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Overall Analysis" sheetId="2" r:id="rId5"/>
    <sheet state="visible" name="LS1A" sheetId="3" r:id="rId6"/>
    <sheet state="visible" name="LS1B" sheetId="4" r:id="rId7"/>
    <sheet state="visible" name="LS2A" sheetId="5" r:id="rId8"/>
    <sheet state="visible" name="LS2B" sheetId="6" r:id="rId9"/>
    <sheet state="visible" name="LS3A" sheetId="7" r:id="rId10"/>
    <sheet state="visible" name="LS3B" sheetId="8" r:id="rId11"/>
    <sheet state="visible" name="IGCSE 1A" sheetId="9" r:id="rId12"/>
    <sheet state="visible" name="IGCSE 1B" sheetId="10" r:id="rId13"/>
    <sheet state="visible" name="IGCSE 1C" sheetId="11" r:id="rId14"/>
    <sheet state="visible" name="IGCSE 2A" sheetId="12" r:id="rId15"/>
    <sheet state="visible" name="IGCSE 2B" sheetId="13" r:id="rId16"/>
    <sheet state="visible" name="IGCSE 2C" sheetId="14" r:id="rId17"/>
    <sheet state="visible" name="AS LEVEL" sheetId="15" r:id="rId18"/>
    <sheet state="visible" name="A LEVEL" sheetId="16" r:id="rId19"/>
    <sheet state="visible" name="LS1 A REPORT CARD" sheetId="17" r:id="rId20"/>
    <sheet state="visible" name="LS1 B REPORT CARD" sheetId="18" r:id="rId21"/>
    <sheet state="visible" name="LS2 A REPORT CARD" sheetId="19" r:id="rId22"/>
    <sheet state="visible" name="LS2 B REPORT CARD" sheetId="20" r:id="rId23"/>
    <sheet state="visible" name="LS3 A REPORT CARD" sheetId="21" r:id="rId24"/>
    <sheet state="visible" name="LS3 B REPORT CARD" sheetId="22" r:id="rId25"/>
    <sheet state="visible" name="IGCSE 1A REPORT CARD " sheetId="23" r:id="rId26"/>
    <sheet state="visible" name="IGCSE 1B REPORT CARD " sheetId="24" r:id="rId27"/>
    <sheet state="visible" name="IGCSE 1C REPORT CARD " sheetId="25" r:id="rId28"/>
    <sheet state="visible" name="IGCSE 2A REPORT CARD " sheetId="26" r:id="rId29"/>
    <sheet state="visible" name="IGCSE 2B REPORT CARD " sheetId="27" r:id="rId30"/>
    <sheet state="visible" name="IGCSE 2C REPORT CARD " sheetId="28" r:id="rId31"/>
    <sheet state="visible" name="AS LEVEL REPORT CARD" sheetId="29" r:id="rId32"/>
    <sheet state="visible" name="A LEVEL REPORT CARD" sheetId="30" r:id="rId33"/>
    <sheet state="visible" name="LS1A Analysis" sheetId="31" r:id="rId34"/>
    <sheet state="visible" name="LS1B Analysis" sheetId="32" r:id="rId35"/>
    <sheet state="visible" name="LS2B Analysis" sheetId="33" r:id="rId36"/>
    <sheet state="visible" name="LS2A Analysis" sheetId="34" r:id="rId37"/>
    <sheet state="visible" name="LS3A Analysis" sheetId="35" r:id="rId38"/>
    <sheet state="visible" name="LS3B Analysis" sheetId="36" r:id="rId39"/>
    <sheet state="visible" name="IGCSE 1A Analysis" sheetId="37" r:id="rId40"/>
    <sheet state="visible" name="IGCSE 1B Analysis" sheetId="38" r:id="rId41"/>
    <sheet state="visible" name="IGCSE 1C Analysis" sheetId="39" r:id="rId42"/>
    <sheet state="visible" name="IGCSE 2A Analysis" sheetId="40" r:id="rId43"/>
    <sheet state="visible" name="IGCSE 2B Analysis" sheetId="41" r:id="rId44"/>
    <sheet state="visible" name="IGCSE 2C Analysis" sheetId="42" r:id="rId45"/>
    <sheet state="visible" name="YEARLY DATABASE" sheetId="43" r:id="rId46"/>
    <sheet state="visible" name="GRADES" sheetId="44" r:id="rId47"/>
  </sheets>
  <definedNames>
    <definedName hidden="1" localSheetId="11" name="_xlnm._FilterDatabase">'IGCSE 2A'!$A$1:$AE$31</definedName>
    <definedName hidden="1" localSheetId="42" name="_xlnm._FilterDatabase">'YEARLY DATABASE'!$A$3:$W$210</definedName>
  </definedNames>
  <calcPr/>
  <extLst>
    <ext uri="GoogleSheetsCustomDataVersion2">
      <go:sheetsCustomData xmlns:go="http://customooxmlschemas.google.com/" r:id="rId48" roundtripDataChecksum="b5T4/LmxADu3Rwz/tbgnLRwCQFSTat7SoeoCyiaP+dA="/>
    </ext>
  </extLst>
</workbook>
</file>

<file path=xl/sharedStrings.xml><?xml version="1.0" encoding="utf-8"?>
<sst xmlns="http://schemas.openxmlformats.org/spreadsheetml/2006/main" count="5824" uniqueCount="878">
  <si>
    <t>LUSAKA OAKTREE SCHOOL</t>
  </si>
  <si>
    <t>School management system</t>
  </si>
  <si>
    <t>ALEVEL</t>
  </si>
  <si>
    <t>ASLEVEL</t>
  </si>
  <si>
    <t>IGCSE 1</t>
  </si>
  <si>
    <t>LS3A</t>
  </si>
  <si>
    <t>LS3B</t>
  </si>
  <si>
    <t>LS2A</t>
  </si>
  <si>
    <t>LS2B</t>
  </si>
  <si>
    <t>LS1B</t>
  </si>
  <si>
    <t>LS1A F</t>
  </si>
  <si>
    <t>A LEVEL REPORT CARD</t>
  </si>
  <si>
    <t>LS3 A REPORT CARD</t>
  </si>
  <si>
    <t>LS1 A REPORT CARD F</t>
  </si>
  <si>
    <t>AS LEVEL REPORT CARD</t>
  </si>
  <si>
    <t>LS3 B REPORT CARD</t>
  </si>
  <si>
    <t>LS1 B REPORT CARD</t>
  </si>
  <si>
    <t>IGCSE 2 REPORT CARD</t>
  </si>
  <si>
    <t>LS2 A REPORT CARD</t>
  </si>
  <si>
    <t xml:space="preserve">IGCSE 1 REPORT CARD </t>
  </si>
  <si>
    <t>LS2 B REPORT CARD</t>
  </si>
  <si>
    <t>SECONDARY RESULTS ANALYSIS</t>
  </si>
  <si>
    <t>LS1 A</t>
  </si>
  <si>
    <t>ENGLISH</t>
  </si>
  <si>
    <t>MATHEMATICS</t>
  </si>
  <si>
    <t>SCIENCE</t>
  </si>
  <si>
    <t>SOCIAL STUDIES</t>
  </si>
  <si>
    <t>NEW COMPUTING</t>
  </si>
  <si>
    <t>BUSINESS STUDIES</t>
  </si>
  <si>
    <t>FRENCH</t>
  </si>
  <si>
    <t>ART</t>
  </si>
  <si>
    <t>MDD</t>
  </si>
  <si>
    <t>PE</t>
  </si>
  <si>
    <t>Average</t>
  </si>
  <si>
    <t>NO. Students</t>
  </si>
  <si>
    <t>Pass</t>
  </si>
  <si>
    <t>Fail</t>
  </si>
  <si>
    <t>Pass Rate %</t>
  </si>
  <si>
    <t>LS1 B</t>
  </si>
  <si>
    <t>LS2 A</t>
  </si>
  <si>
    <t>LS2 B</t>
  </si>
  <si>
    <t>LS3 A</t>
  </si>
  <si>
    <t>LS3 B</t>
  </si>
  <si>
    <t>IGCSE 1A</t>
  </si>
  <si>
    <t>BIOLOGY</t>
  </si>
  <si>
    <t>PHYSICS</t>
  </si>
  <si>
    <t>GEOGRAPHY</t>
  </si>
  <si>
    <t>HISTORY</t>
  </si>
  <si>
    <t>ICT</t>
  </si>
  <si>
    <t>CHEMISTRY</t>
  </si>
  <si>
    <t>IGCSE 1B</t>
  </si>
  <si>
    <t>IGCSE 1C</t>
  </si>
  <si>
    <t>IGCSE 2A</t>
  </si>
  <si>
    <t>IGCSE 2B</t>
  </si>
  <si>
    <t>IGCSE 2C</t>
  </si>
  <si>
    <t>AS LEVEL</t>
  </si>
  <si>
    <t>COMPUTER SCIENCE</t>
  </si>
  <si>
    <t>IT</t>
  </si>
  <si>
    <t>ACCOUNTS</t>
  </si>
  <si>
    <t xml:space="preserve">   </t>
  </si>
  <si>
    <t>Roll N0.</t>
  </si>
  <si>
    <t>Name</t>
  </si>
  <si>
    <t xml:space="preserve">                                        English</t>
  </si>
  <si>
    <t>Mathematics</t>
  </si>
  <si>
    <t>Science</t>
  </si>
  <si>
    <t>Global Perspective</t>
  </si>
  <si>
    <t>New Computing</t>
  </si>
  <si>
    <t>Business Studies</t>
  </si>
  <si>
    <t xml:space="preserve">                                                    French</t>
  </si>
  <si>
    <t xml:space="preserve">                                                        Art</t>
  </si>
  <si>
    <t xml:space="preserve">                                                   MDD</t>
  </si>
  <si>
    <t xml:space="preserve">                                                      PE</t>
  </si>
  <si>
    <t>AVERAGE</t>
  </si>
  <si>
    <t>POSITION</t>
  </si>
  <si>
    <t>CREATIVITY</t>
  </si>
  <si>
    <t>RESPECT</t>
  </si>
  <si>
    <t>EXCELLENCE</t>
  </si>
  <si>
    <t>EMPATHY</t>
  </si>
  <si>
    <t>DISCIPLINE</t>
  </si>
  <si>
    <t>CLASS TEACHER'S COMMENT</t>
  </si>
  <si>
    <t>Formative</t>
  </si>
  <si>
    <t>Summative</t>
  </si>
  <si>
    <t>Final Mark</t>
  </si>
  <si>
    <t>Grade</t>
  </si>
  <si>
    <t>Maine Ralesite</t>
  </si>
  <si>
    <t>A</t>
  </si>
  <si>
    <t>A+</t>
  </si>
  <si>
    <t>B</t>
  </si>
  <si>
    <t>Ralesite is a very respectful and well-mannered student who works well in class. His academic performance is good, showing clear understanding of key concepts. To improve further, he should participate more actively and ask questions to deepen his understanding. Regular practice and reviewing class notes will strengthen his learning. I encourage Ralesite to continue his positive behaviour and maintain steady effort towards higher achievement.</t>
  </si>
  <si>
    <t xml:space="preserve">AIsha </t>
  </si>
  <si>
    <t>C</t>
  </si>
  <si>
    <t>Aisha behaves well and participates positively in class. However, she needs to improve in Science, Maths, and English. Paying close attention during lessons and completing extra practice will help her strengthen her skills. Asking questions when unsure and revising daily will support her learning. I encourage her to remain focused and dedicated. With consistent effort, Aisha can make great progress.</t>
  </si>
  <si>
    <t>Chokr Mohammad</t>
  </si>
  <si>
    <t>D</t>
  </si>
  <si>
    <t>Mohammed shows average behaviour and finds it difficult to sit still for long periods, often becoming distracted by friends. Despite this, his academic performance is very good. To improve further, he should work on managing distractions and developing better concentration habits. Sitting in a quiet area and following structured study routines will help him stay focused. Mohammed is encouraged to continue working hard while improving his behaviour.</t>
  </si>
  <si>
    <t>Munshi Khadijah</t>
  </si>
  <si>
    <t>Khadijah demonstrates very good behaviour and a positive attitude towards learning. Her academic performance is good and shows clear potential for further growth. She can improve by taking more initiative in challenging tasks and deepening her understanding through wider reading. Maintaining consistent study habits will support her progress. I encourage Khadijah to continue her strong effort and stay committed to excellence.</t>
  </si>
  <si>
    <t>Mwewa Likezo</t>
  </si>
  <si>
    <t>Likezo behaves well but struggles to stay focused for long periods and often isolates himself. He needs improvement in Science, Maths, and English. Developing better engagement in class and participating more actively will support his progress. Completing regular practice at home and reviewing lessons will help strengthen his understanding. I encourage Likezo to interact more</t>
  </si>
  <si>
    <t>Blount Jaxen</t>
  </si>
  <si>
    <t>Jaxen displays average behaviour and often loses focus, becoming easily distracted. His performance in Science, Maths, and English needs improvement. I would also like to acknowledge his effort and confidence in presenting at TEDx, which is a commendable achievement. He should practise staying attentive in class and completing tasks without rushing. Regular revision, extra exercises, and asking for help when needed will support his progress. Improving his study routines and reducing distractions will greatly benefit him. With consistent effort and a more focused approach, Jaxen has the potential to achieve much stronger results.</t>
  </si>
  <si>
    <t>Shamiso</t>
  </si>
  <si>
    <t>Shamiso behaves well and participates positively in class. However, she needs to improve in Science, Maths, and English. Paying close attention during lessons and completing extra practice will help her strengthen her skills. Asking questions when unsure and revising daily will support her learning. I encourage her to remain focused and dedicated. With consistent effort, Shamiso can make great progress.</t>
  </si>
  <si>
    <t>Mwansa Louise Elizabeth</t>
  </si>
  <si>
    <t>Louise displays average behaviour and often moves around a lot, which affects her concentration. She needs improvement in Science, Maths, and English. Staying focused in class and reducing unnecessary movement will help improve her understanding. Regular practice at home and revising key concepts will support her progress. With greater focus and discipline, Louise can achieve stronger academic results. I encourage her to stay motivated and committed.</t>
  </si>
  <si>
    <t>Patel Maahir</t>
  </si>
  <si>
    <t>Maahir demonstrates excellent behaviour and consistently shows a positive attitude towards learning. His academic performance is very strong across all subjects. To extend his skills further, he should continue exploring challenging tasks and developing independent study habits. Engaging confidently in discussions will enrich his learning. Maahir is encouraged to maintain his outstanding effort and continue striving for excellence.</t>
  </si>
  <si>
    <t>Aloyo Viola</t>
  </si>
  <si>
    <t>Viola maintains good behaviour and shows willingness to learn. She needs improvement in Science, Maths, and English. Strengthening her focus and completing tasks carefully will support her progress in these subjects. Regular revision and independent practice at home will help build confidence. I encourage her to keep working hard and stay dedicated. With determination, Viola can achieve better results.</t>
  </si>
  <si>
    <t>Mohamed Moaz</t>
  </si>
  <si>
    <t>Moaz is generally well-behaved and interacts positively with others. His performance in Science, Maths, and English needs improvement. Staying attentive, participating more actively, and completing all class tasks will support his academic development. Additional practice at home and reviewing lessons will strengthen his understanding. Moaz is encouraged to remain motivated and take responsibility for his learning. With effort, he can achieve steady improvement.</t>
  </si>
  <si>
    <t>Mutonga Israel</t>
  </si>
  <si>
    <t>Israel behaves well overall but becomes easily distracted, which affects his performance. He needs to improve in Science, Maths, and English. Staying focused during lessons and managing distractions will greatly help his learning. Extra practice at home, reading regularly, and revising daily will support improvement. Israel is encouraged to participate more actively and ask questions for clarity. With consistent effort, he can make strong academic progress.</t>
  </si>
  <si>
    <t>Abdulle Abdullahi</t>
  </si>
  <si>
    <t>Abdullahi is a polite and well-behaved learner who engages positively in class activities. His academic performance shows potential, but he needs to put in more consistent effort to achieve better results. He would benefit from improving his concentration during lessons and completing tasks with greater care. Regular revision at home and seeking clarification when unsure will support his progress. I encourage him to remain committed and to stay focused during class. With steady effort, Abdullahi can make significant improvement.</t>
  </si>
  <si>
    <t>Sillitoe Alan</t>
  </si>
  <si>
    <t>Aaban behaves reasonably well but is easily distracted, which affects his concentration in class. His academic performance is good when he remains focused. He needs to work on minimising distractions and staying engaged throughout lessons. Using short study routines and sitting away from distractions will support his progress. With improved concentration, Aaban can achieve even better results. I encourage him to stay committed and focused.</t>
  </si>
  <si>
    <t>Kaoma Natasha</t>
  </si>
  <si>
    <t>Natasha is a very well-behaved student who always sets a positive example for others. Her academic performance is excellent, and she shows great commitment to her studies. To extend her abilities further, she should continue challenging herself with higher-level tasks. Continued reading and independent study will help deepen her knowledge. Natasha is encouraged to maintain her outstanding attitude and keep striving for excellence.</t>
  </si>
  <si>
    <t>Chauhan Humera</t>
  </si>
  <si>
    <t>Humera maintains good behaviour and displays a positive attitude towards learning. Her academic performance is strong, and she consistently produces good work. I would also like to commend her for confidently presenting at TEDx, a remarkable achievement that reflects her dedication and courage. To reach even higher levels, she should continue building her confidence in class discussions and challenge herself with extended tasks. Maintaining her current study habits and practising regular revision will help her excel. I encourage Humera to keep up her excellent attitude and continue striving for excellence.</t>
  </si>
  <si>
    <t>Ntinda Joy</t>
  </si>
  <si>
    <t>Joy shows average behaviour and often moves around unnecessarily, which affects her focus. She needs to improve in Science, Maths, and English. Staying seated, listening attentively, and following instructions will help her concentrate better. Regular revision and practising core skills at home will support her learning. With improved discipline and commitment, Joy can achieve much stronger results. I encourage her to keep trying and stay motivated.</t>
  </si>
  <si>
    <t>Msoni Zhange</t>
  </si>
  <si>
    <t>Zhange is generally well-behaved and polite. However, she needs to improve her performance in Science, Maths, and English. She would benefit from developing better focus during lessons and practising regularly at home. Using additional learning materials and reviewing class notes will help strengthen her understanding. I encourage Zhange to stay motivated and seek support whenever needed. With determination, she can make steady progress.</t>
  </si>
  <si>
    <t>Nalishuwa Zeruiah</t>
  </si>
  <si>
    <t>Zeruiah is a very well-behaved learner who consistently shows a positive attitude. Her academic performance is good, and she completes tasks to a high standard. To develop further, she should continue challenging herself with extension activities and practising independent study. Regular reading will also strengthen her skills. Zeruiah is encouraged to maintain her excellent attitude and continue striving for success.</t>
  </si>
  <si>
    <t>Shalak Jad</t>
  </si>
  <si>
    <t>Jad consistently demonstrates very good behaviour and enthusiasm for learning. His academic performance is very strong across subjects. To further enrich his learning, he should continue developing his critical-thinking skills through independent tasks and wider reading. Participating even more confidently in class discussions will also benefit him. Jad is encouraged to maintain his high standards and keep up his excellent work.</t>
  </si>
  <si>
    <t>Nyirenda Lauzi</t>
  </si>
  <si>
    <t>Lauzi shows an average level of behaviour, and she sometimes needs reminders to remain fully focused. Academically she performs well, demonstrating good understanding of classwork. To reach her full potential, she should work on staying attentive during lessons and organising her tasks more effectively. Setting small study goals at home will help reinforce learning. With improved focus and consistency, Lauzi can continue to grow academically.</t>
  </si>
  <si>
    <t>Hasan Aaban</t>
  </si>
  <si>
    <t>Malijani Kasonde</t>
  </si>
  <si>
    <t>Kasonde is a very well-behaved learner who approaches her work positively. Her academic performance is good, and she completes tasks to a satisfactory standard. She can improve further by challenging herself with more complex questions and participating more actively in class. Regular home revision will also strengthen her understanding. Kasonde is encouraged to continue her positive approach and show confidence in her abilities.</t>
  </si>
  <si>
    <t>Mwiimbwa Chileleko</t>
  </si>
  <si>
    <t>Chileleko is a very well-behaved student, though he needs to improve his punctuality as late-coming affects his learning. Academically, he performs well and shows clear potential for further success. He can make even greater progress by maintaining focus and completing tasks with deeper detail. Ensuring he arrives on time will benefit his overall performance. I encourage Chileleko to keep up his good work and improve his punctuality.</t>
  </si>
  <si>
    <t>Omar</t>
  </si>
  <si>
    <t>Adeaze</t>
  </si>
  <si>
    <t>Elijah</t>
  </si>
  <si>
    <t>00-19</t>
  </si>
  <si>
    <t>U</t>
  </si>
  <si>
    <t>20-29</t>
  </si>
  <si>
    <t>G</t>
  </si>
  <si>
    <t>30-39</t>
  </si>
  <si>
    <t>F</t>
  </si>
  <si>
    <t>40-49</t>
  </si>
  <si>
    <t>E</t>
  </si>
  <si>
    <t>50-59</t>
  </si>
  <si>
    <t>60-69</t>
  </si>
  <si>
    <t>70-79</t>
  </si>
  <si>
    <t>80-89</t>
  </si>
  <si>
    <t>90-100</t>
  </si>
  <si>
    <t>A*</t>
  </si>
  <si>
    <t>HOME</t>
  </si>
  <si>
    <t>Global Perspectives</t>
  </si>
  <si>
    <t>Nhundu Nokutenda</t>
  </si>
  <si>
    <t>Nokutenda shows generally good behavior in class, following instructions and participating in activities with a positive attitude. She is respectful toward teachers and classmates and complete assignments on time. However, there are times when her focus lapses, especially during independent work, and she would benefit from engaging more actively in class discussions. With increased concentration and confidence, Nokutenda has the potential to make even greater progress this term.</t>
  </si>
  <si>
    <t>Maponga Taonga</t>
  </si>
  <si>
    <t>Taonga is a polite and cooperative student who has shown some effort this term. However, his academic performance requires significant improvement, particularly in English, Mathematics, and Science, as well as in other subjects. He would benefit greatly from close monitoring, regular revision, and attending support classes. I encourage strong cooperation between home and school to support his progress.</t>
  </si>
  <si>
    <t xml:space="preserve">Chilufya Loisa Njavwa </t>
  </si>
  <si>
    <t>Njavwa is an energetic and friendly learner who enjoys interacting with peers. Although she has the potential to perform well, her distractibility affects the quality of her work. She must improve her concentration and develop consistent study habits. Mathematics and Science especially require additional support. I recommend structured revision, limited distractions at home, and regular teacher-parent follow-ups.</t>
  </si>
  <si>
    <t>Ncube Nkosazana</t>
  </si>
  <si>
    <t>Nkosazana is a polite and cooperative student who has demonstrated some effort this term. However, her academic progress requires improvement, with Mathematics being a primary area of focus. To support her development, she would benefit greatly from close monitoring, consistent revision, and participation in support classes. I strongly encourage close collaboration between home and school to help Nkosazana build her confidence and skills. With targeted support and sustained effort, she has the potential to achieve stronger results.</t>
  </si>
  <si>
    <t>Munshi Mahira</t>
  </si>
  <si>
    <t>Mahira is a respectful and well-mannered student who relates well with peers and teachers. Despite her good behaviour, she needs to put more effort into her academic work, particularly in Mathematics and English and Science . She must develop stronger study habits and complete assignments more thoroughly. Close collaboration between home and school will help her unlock her potential.</t>
  </si>
  <si>
    <t>Mavhunga Mukudzei</t>
  </si>
  <si>
    <t>Mukudzei is an energetic and friendly learner who enjoys interacting with peers. Although he has the potential to perform well, his distractibility affects the quality of his work. He must improve his concentration and develop consistent study habits. English and Science especially require additional support. I recommend structured revision, limited distractions at home, and regular teacher-parent follow-ups.</t>
  </si>
  <si>
    <t>Rakindas Rijith Hayagriv</t>
  </si>
  <si>
    <t>Rijith consistently demonstrates very good behaviour and enthusiasm for learning. His academic performance is good across subjects. To further enrich his learning, he should continue developing his critical-thinking skills through independent tasks and wider reading. Participating even more confidently in class discussions will also benefit him. Jad is encouraged to maintain his high standards and keep up his excellent work.</t>
  </si>
  <si>
    <t>Konnur Vibha</t>
  </si>
  <si>
    <t>Vibha maintains good behaviour and displays a positive attitude towards learning. Her academic performance is strong, and she consistently produces good work. To reach even higher levels, she should continue building her confidence in class discussions and challenge herself with extended tasks. Maintaining her current study habits and practising regular revision will help her excel. I encourage Vibha to keep up her excellent attitude and continue striving for excellence.</t>
  </si>
  <si>
    <t>Sanderse Chendi</t>
  </si>
  <si>
    <t>Chendi is a very well-behaved student who consistently sets a positive example for others. She shows great commitment to her studies; however, to enhance her Good performance, she should focus on strengthening her core skills in Math, English, and Science subjects where she currently earns C. I recommend she dedicate extra practice and study time specifically in these areas. Continuing to read widely, challenge herself with more complex tasks, and engage in independent study will help deepen her understanding and raise her achievement. I encourage Chendi to maintain her outstanding attitude and keep striving for excellence.</t>
  </si>
  <si>
    <t>Khalil Sara Ahmed Mohamed</t>
  </si>
  <si>
    <t>Sara is a respectful and well-mannered student who relates well with peers and teachers. Despite her good behaviour, she needs to put more effort into her academic work, particularly in Mathematics and English,Science.She must develop stronger study habits and complete assignments more thoroughly. Close collaboration between home and school will help her unlock her potential.</t>
  </si>
  <si>
    <t>Mutombo Marlo Mande</t>
  </si>
  <si>
    <t>Marlo generally shows acceptable behavior but often requires reminders to remain attentive and follow instructions carefully. He can become easily distracted by conversations with peers, which causes him to lose track of tasks. By improving his focus and time management during lessons particularly in English, Mathematics, and Science. Marlo can make significant gains in his participation and achievement. If he can maintain good classroom conduct and manage distractions, he has the clear potential to achieve strong grades. Additional support in building these executive skills is recommended to help him excel.</t>
  </si>
  <si>
    <t>Mushipe Angel Tasimbiswa</t>
  </si>
  <si>
    <t>Angel exhibits average behavior, frequently moving around unnecessarily, which disrupts her concentration and focus in class. She requires improvement in core subjects, especially Science, Mathematics, and English. To support her academic progress, it is important for her to remain seated during lessons, listen attentively, and follow instructions carefully. Regular revision and consistent practice of foundational skills at home will further reinforce her learning. With greater self-discipline and commitment, Angel has the clear potential to achieve significantly stronger results. I encourage her to stay motivated and continue striving for improvement.</t>
  </si>
  <si>
    <t>Mohammed Tasneem</t>
  </si>
  <si>
    <t>Tasneem is a quiet and respectful student who approaches her work with dedication. She has performed well in most subjects and demonstrates a good organisational skills. However, she needs to put more efforts Math and build confidence in speaking tasks and group discussions. I encourage her to participate more actively so she can fully benefit from collaborative learning. Continued support at home will help further boost her confidence.</t>
  </si>
  <si>
    <t>Pandor Aila Ishmail</t>
  </si>
  <si>
    <t>Pandor Aila joined the school partway through the term and has settled in well. She is very enthusiastic in class and demonstrates good behaviour towards her teachers and peers. To build on this strong start next term, I encourage her to fully engage with all lessons and to devote extra time to her studies, particularly in core subjects. Continuing to participate actively and asking questions when unsure will help her solidify her understanding and feel more confident. With consistent effort, she is well-placed to make excellent academic progress.</t>
  </si>
  <si>
    <t>Shimwambwa Natalie</t>
  </si>
  <si>
    <t>Natalie consistently demonstrates outstanding behavior in class. She shows great respect to both teachers and classmates, listens attentively, and approaches all tasks with enthusiasm. Her ability to stay focused and complete assignments on time is commendable. Additionally, she actively participates in discussions and willingly supports her peers, contributing to a positive classroom atmosphere. I encourage Natalie to maintain this high level of commitment and continue to be a role model for others.</t>
  </si>
  <si>
    <t>Kyalusanza Mukwami</t>
  </si>
  <si>
    <t xml:space="preserve">Mukwami is an energetic and friendly learner who enjoys interacting with peers. Although he has the potential to perform well, he needs to improve in Science, Maths, English, French, and Social Studies. Staying focused during lessons and managing distractions will greatly help his learning. Extra practice at home, regular reading, and daily revision will support his improvement. He is encouraged to participate more actively and ask questions for clarity. With consistent effort, he can make strong academic progress.
</t>
  </si>
  <si>
    <t>Mwamba Mwamba</t>
  </si>
  <si>
    <t xml:space="preserve">Mwamba is an energetic and friendly learner who enjoys interacting with peers. Although he has the potential to perform well, he needs to improve in Science, Maths, English, and Social Studies. Staying focused during lessons and managing distractions will greatly help his learning. Extra practice at home, regular reading, and daily revision will support his improvement. He is encouraged to participate more actively and ask questions for clarity. With consistent effort, he can make strong academic progress.
</t>
  </si>
  <si>
    <t>Ghumra Shazneen</t>
  </si>
  <si>
    <t xml:space="preserve">Shazneem is a well-behaved student who shows respect and kindness in class. She completes assignments reliably and listens attentively. There is room for improvement, especially in Math, Science, and English, as well as in sustaining focus throughout the lesson and speaking more confidently during activities. I encourage her to take small steps toward greater classroom involvement, which will strengthen her academic skills and self-assurance.
</t>
  </si>
  <si>
    <t>Pathak Akshat</t>
  </si>
  <si>
    <t>Akshat demonstrates excellent behaviour and consistently shows a positive attitude towards learning. His academic performance is very strong across all subjects. To extend his skills further, he should continue exploring challenging tasks and developing independent study habits. Engaging confidently in discussions will enrich his learning. Maahir is encouraged to maintain his outstanding effort and continue striving for excellence.</t>
  </si>
  <si>
    <t>Pardesi Mariam</t>
  </si>
  <si>
    <t>Mariam is a very well-behaved student who always sets a positive example for others. Her academic performance is excellent, and she shows great commitment to her studies. To extend her abilities further, she should continue challenging herself with higher-level tasks. Continued reading and independent study will help deepen her knowledge.Mariam is encouraged to maintain her outstanding attitude and keep striving for excellence.</t>
  </si>
  <si>
    <t>Mutena Michelle</t>
  </si>
  <si>
    <t>Michelle displays average behaviour and often moves around a lot, which affects her concentration. She needs improvement in Science, Maths, and English. Staying focused in class and reducing unnecessary movement will help improve her understanding. Regular practice at home and revising key concepts will support her progress. With greater focus and discipline, Michele  can achieve stronger academic results. I encourage her to stay motivated and committed.</t>
  </si>
  <si>
    <t>Nacidze Raquel</t>
  </si>
  <si>
    <t>Raquel maintains good behaviour and displays a positive attitude towards learning. Her academic performance is consistently strong, and she produces good quality work. To reach an even higher level, she should focus on challenging herself further, particularly in Math and Science, and engage with more extended tasks. Maintaining her diligent study habits and practising regular revision will help her excel. I encourage Raquel to keep up her excellent attitude and continue striving for excellence.</t>
  </si>
  <si>
    <t>Bredt Bupe</t>
  </si>
  <si>
    <t>Bupe maintains good behaviour and displays a positive attitude towards learning. Her academic performance is consistently strong, and she produces good quality work. To reach an even higher level, she should focus on challenging herself further, particularly in Math and Science, and engage with more extended tasks. Maintaining her diligent study habits and practising regular revision will help her excel. I encourage Bupe to keep up her excellent attitude and continue striving for excellence.</t>
  </si>
  <si>
    <t>Hamze Jaad</t>
  </si>
  <si>
    <t>Hamze Hamze is well-behaved in class. To make further progress, he should work on maintaining his focus for longer periods and minimizing side conversations, as these distractions can cause him to disengage from lessons. He would benefit from targeted improvement in Science, Math, and English.I encourage him to participate more actively and interact with the lesson and his peers to strengthen his understanding. To support this, consistent practice at home and a daily review of lessons are essential. Organizing extra, structured study time at home will be particularly helpful in building his concentration and consolidating his learning, which will lead to strong academic improvement.</t>
  </si>
  <si>
    <t>Kalupahana Kevin</t>
  </si>
  <si>
    <t>Kevin is an energetic and friendly learner who enjoys interacting with peers. Although he has the potential to perform well, his distractibility affects the quality of his work. He must improve his concentration and develop consistent study habits. Mathematics, English and Science especially require additional support. I recommend structured revision, limited distractions at home, and regular teacher-parent follow-ups.</t>
  </si>
  <si>
    <t>Bhagchandani Maahi</t>
  </si>
  <si>
    <t>Maahi is a respectful and conscientious student with a positive attitude. While she generally demonstrates a good level of academic performance, she can be easily distracted by social conversations during lessons, which affects her focus. To achieve her full potential, she should aim to minimize these distractions and channel her efforts more consistently into her core subjects particularly English, Mathematics, and Science. By working extra hard in these areas and maintaining attentive participation in class, Maahi is well-positioned to achieve even stronger results.</t>
  </si>
  <si>
    <t>Jeri Ethan Moses</t>
  </si>
  <si>
    <t>Ethan conducts himself well but his frequent absences significantly disrupt his learning in key subjects. When in class, he struggles with focus and side conversations. To improve, he must prioritize regular attendance and active participation. A structured study routine at home will also be vital for reinforcing concepts and improving concentration. With consistent effort, Ethan can make meaningful academic progress.</t>
  </si>
  <si>
    <t xml:space="preserve"> </t>
  </si>
  <si>
    <t>DISCPLINE</t>
  </si>
  <si>
    <t>Dakwa Isia Yanis</t>
  </si>
  <si>
    <t>Yanis is a polite and cooperative learner who shows effort in class activities. He performs better in practical and creative subjects such as Art and MDD. Core subjects like English and Mathematics require significant improvement. With regular support and consistent effort, Dakwa can make steady progress.</t>
  </si>
  <si>
    <t>Heald Z'bella</t>
  </si>
  <si>
    <t>Z’bella is a highly motivated and disciplined student who consistently strives for excellence. She has shown remarkable performance across subjects, with consistently strong results. She should continue challenging herself with advanced reading and extension tasks. Overall, she is an exemplary learner and a role model. Her interest in debate and public speaking is commendable and enables her to develop research skills; let us encourage her to continue on this path.</t>
  </si>
  <si>
    <t>De-miranda Stella</t>
  </si>
  <si>
    <t>Stella is a dedicated student who generally performs well. However, she needs to intensify her effort in Mathematics and Science to achieve balanced progress. With targeted practice and continued support, she can improve further. Her interest in debate and public speaking is commendable and enables her to develop research skills; let us encourage her to continue on this path.</t>
  </si>
  <si>
    <t>Vlasonjic Andrej</t>
  </si>
  <si>
    <t>Andrej has had limited engagement with schoolwork this term, which has affected his performance. He requires strong support to re-engage with learning. Close cooperation between home and school is essential for improvement.</t>
  </si>
  <si>
    <t>Kalala Enoch</t>
  </si>
  <si>
    <t>Enoch is a calm and responsible student who has shown steady performance this term. While he performs well overall, Mathematics and Science still require strengthened practice. Regular revision will greatly benefit him.</t>
  </si>
  <si>
    <t>Rovira Phiri Lucas</t>
  </si>
  <si>
    <t>Lucas is a learning to be a more focused, dependable and responsible student. He has continued to perform well in Science and MDD. Mathematics remains a challenge and needs extra attention. Continued effort and support at home will help him progress well in semester 2.</t>
  </si>
  <si>
    <t>Sialwindi Maria</t>
  </si>
  <si>
    <t>Maria is a friendly learner who participates willingly but is struggling academically. She requires strong support, particularly in English and Mathematics. Regular revision and close monitoring are strongly recommended.</t>
  </si>
  <si>
    <t>Temba Nicholas</t>
  </si>
  <si>
    <t>Nicholas is a steady learner who shows effort across subjects. His performance is average, with room for improvement in English and Mathematics. With consistent revision and parental support, he can improve.</t>
  </si>
  <si>
    <t>Mavhunga Mufaro</t>
  </si>
  <si>
    <t>Mufaro is a bright and responsible student who has performed strongly this term. He shows great potential and engages meaningfully in learning activities. With continued effort, he will excel even further. His interest in debate and public speaking is commendable and enables him to develop research skills; let us encourage him to continue on this path.</t>
  </si>
  <si>
    <t>Aori Ryan</t>
  </si>
  <si>
    <t>Ryan is a disciplined and enthusiastic student who performs very well. His results show solid understanding across subjects. He should continue practising regularly to refine higher-order skills. A very impressive learner. His interest in debate and public speaking as demonstrated through is participation in the TedX Youth is commendable and enables him to develop research skills; let us encourage him to continue on this path.</t>
  </si>
  <si>
    <t>Chulu Chaulela</t>
  </si>
  <si>
    <t>Chaulela is a calm and respectful student who works steadily in class. He would benefit from pushing himself further, particularly in Mathematics and English. Increased participation will support his progress.</t>
  </si>
  <si>
    <t>Khanve Lakshya</t>
  </si>
  <si>
    <t>Lakshya is an excellent and highly disciplined learner who consistently achieves outstanding results across subjects. His work ethic and enthusiasm are commendable. He is a model student.</t>
  </si>
  <si>
    <t>Shalak Walid</t>
  </si>
  <si>
    <t>Walid is a focused and ambitious student who has demonstrated strong performance, especially in Science and Business Studies. Continued attention to English will help maintain balance. He has had a strong term.</t>
  </si>
  <si>
    <t>Sikasula Gladys</t>
  </si>
  <si>
    <t>Siame Kayla</t>
  </si>
  <si>
    <t>Kayla is an excellent student who demonstrates strong academic ability and admirable focus. Her participation in class is impressive, and her results reflect consistent hard work. She should continue extending herself through advanced practice. A commendable achiever. Her interest in debate and public speaking is commendable and enables her to develop research skills; let us encourage her to continue on this path.</t>
  </si>
  <si>
    <t>Ngoshi Jayden</t>
  </si>
  <si>
    <t>Jayden is a confident and well-organised student whose performance this term is impressive. He demonstrates strong understanding across subjects. Continued extension work will help push him even further.</t>
  </si>
  <si>
    <t>Chiwoni Isabella</t>
  </si>
  <si>
    <t>Isabella is a diligent and attentive learner who continues to perform well. Her results across subjects show strong effort and ability. She is encouraged to maintain consistent revision and keep pushing for excellence. Her interest in expressive arts as demonstrated through her participation in the End of Year Production is commendable; let us encourage her to continue on this path.</t>
  </si>
  <si>
    <t>Vergeer Aiden</t>
  </si>
  <si>
    <t>Aiden is a well-behaved and responsible learner who demonstrates a positive attitude. His performance has been steady, with strengths in several subjects. Mathematics and Science require additional practice. With focused revision and continued support, he has the potential to excel.</t>
  </si>
  <si>
    <t>Mustafa Amina</t>
  </si>
  <si>
    <t>Amina is a well-mannered learner who needs to work on speakingly responsibly. She has performed steadily across subjects, though Mathematics needs more focused attention. She is encouraged to practise regularly and attend support sessions to achieve even better balance. Her interest in debate and public speaking is commendable and enables her to develop research skills; let us encourage her to continue on this path.</t>
  </si>
  <si>
    <t>Chinyemba Asia Adele</t>
  </si>
  <si>
    <t>Asia is a quiet but hardworking student who approaches tasks with seriousness. Her performance is strong overall. She is encouraged to build more confidence in group work and discussion tasks. Continued support at home will boost her learning further. Her interest in expressive arts as demonstrated through her participation in the End of Year Production is commendable; let us encourage her to continue on this path.</t>
  </si>
  <si>
    <t>Khalifeh Julia</t>
  </si>
  <si>
    <t>Julia is a friendly and cooperative student with average performance. She shows strengths in creative subjects, while English and Mathematics require more practice. Encouragement and revision will help her progress.</t>
  </si>
  <si>
    <t>Dubey Navya</t>
  </si>
  <si>
    <t>Navya is a focused and hardworking student who consistently produces quality work. She excels in several subjects and shows strong commitment. Continuing to challenge herself with advanced tasks will further strengthen her progress.</t>
  </si>
  <si>
    <t>Jane Shane</t>
  </si>
  <si>
    <t>Shane is a committed student who continues to produce excellent work. His strong performance across subjects is commendable. To maintain this trajectory, he is encouraged to continue practising regularly and engaging in extension activities. Shane's enthusiastic participation in TEDx LOTS demonstrated growing confidence and a willingness to engage beyond the classroom. He is an exemplary learner. His interest in debate and public speaking as demonstrated through is participation in the TedX Youth is commendable and enables him to develop research skills; let us encourage him to continue on this path.</t>
  </si>
  <si>
    <t>Chileshe Chebo</t>
  </si>
  <si>
    <t>Chebo is a polite and hardworking student who performs well in several subjects. Her consistent effort is evident in her results. Strengthening areas of slight weakness through more practice will help her excel even more.</t>
  </si>
  <si>
    <t>Ahmed Hussein Ali</t>
  </si>
  <si>
    <t>Hussein is an enthusiastic learner who participates actively in class. His performance is generally strong, though he needs to give more focused effort to Mathematics. With consistent revision, he will continue to improve.</t>
  </si>
  <si>
    <t>Mathur Sumay</t>
  </si>
  <si>
    <t>Sumay is a well-behaved and responsible learner who consistently demonstrates a positive attitude. He participates actively in lessons and works well with his peers. His performance this term has been steady; however, English  and French require additional attention. I recommend regular practice and consistency in written work. With continued support, Sumay has the potential to excel across all subjects. Beyond the classroom, Sumay has also demonstrated impressive leadership and communication skills by actively participating in MUN  activities. His ability to express his ideas clearly and persuasively is truly outstanding.</t>
  </si>
  <si>
    <t>Muhire Blair</t>
  </si>
  <si>
    <t xml:space="preserve">Blair is a self motivated and disciplined student who consistently strives to excel in his academic work. He has performed well in all subjects and his engagement in class discussions is commendable. To further strengthen his learning, he should continue challenging himself with advanced reading and extension activities. Beyond the classroom, Blair has also demonstrated impressive leadership and communication skills by actively participating in MUN and debate activities. His ability to express his ideas clearly and persuasively is truly outstanding.
</t>
  </si>
  <si>
    <t>Ncube Zanele</t>
  </si>
  <si>
    <t>Zanele has performed quite well and is a creative and imaginative learner who enjoys expressing ideas through art and storytelling. She excels in practical and expressive subjects. However, she needs to focus on time management in Math and improving the retrieval of information during English comprehension tasks.</t>
  </si>
  <si>
    <t>Kandela Elisha</t>
  </si>
  <si>
    <t xml:space="preserve">Elisha is a polite and cooperative student. Although there has been a slight decline in his English and Science performance this term, he continues to show potential. With regular revision, strengthened foundational skills, and improved organisation during assessments, Elisha can make steady progress.
</t>
  </si>
  <si>
    <t>Gichinga Anaya</t>
  </si>
  <si>
    <t xml:space="preserve">Anaya has had an excellent term and has performed very well across all subjects. She is a diligent and motivated learner who approaches tasks with enthusiasm and focus. Her participation in class is consistent, and she collaborates effectively with her peers. Anaya demonstrates a strong understanding of concepts and applies knowledge confidently in both practical and theoretical work. </t>
  </si>
  <si>
    <t>Young Jessica</t>
  </si>
  <si>
    <t xml:space="preserve">Jessica shows steady progress and has the potential to achieve stronger results. She should focus on improving consistency, revising regularly, and seeking clarification whenever concepts are unclear. She is encouraged to work hard in Mathematics, enhance her retrieval of information in English, and develop greater organisation and consistency in her written work.
</t>
  </si>
  <si>
    <t>Sanoj Sephania</t>
  </si>
  <si>
    <t>Sephania has shown notable improvement this term and is beginning to take greater responsibility for her learning. She benefits from individual guidance and should continue studying and challenging herself. Her enthusiastic participation in TEDx LOTS demonstrated growing confidence and a willingness to engage beyond the classroom. With consistent effort and continued support, she is likely to make further progress.</t>
  </si>
  <si>
    <t>Sharma Shivik</t>
  </si>
  <si>
    <t>Shivik is a new member of the class who has settled in well. He is a self-motivated and disciplined student who consistently strives in his academic work. He has performed well across all subjects, and his engagement in class discussions is commendable. To further strengthen his learning, he should continue challenging himself with advanced reading and extension activities. Additionally, he needs to focus on improving his work layout and the presentation of well-structured work in English.</t>
  </si>
  <si>
    <t>Sebaiindira Abdul-Ahad</t>
  </si>
  <si>
    <t>Abdul-Ahad has settled in well this term and demonstrates a positive attitude towards learning. He is polite and interacts well with his peers. He has performed fairly well across all subjects achieving good scores.However, in English, he needs to improve in punctuation, accurately retrieving information, and carefully reading questions before attempting them.</t>
  </si>
  <si>
    <t>Nebhwani Jay</t>
  </si>
  <si>
    <t>Jay has made steady progress this term and demonstrates a positive attitude towards learning. He participates well in class and interacts positively with his peers. He has performed well in some subjects; however, in English, his results indicate that he needs to focus on consolidating concepts and improving consistency. With continued effort and support, Jay has the potential to make further progress and achieve even stronger results across all subjects.</t>
  </si>
  <si>
    <t>Yff Samuel</t>
  </si>
  <si>
    <t>Samuel is a student who demonstrates potential; however, his academic performance requires improvement, particularly across all subjects. In English, he struggles with comprehension and retrieving information. He would benefit greatly from close monitoring, regular revision, and attending support classes.</t>
  </si>
  <si>
    <t>Katupisha Mwambuye</t>
  </si>
  <si>
    <t>Mwambuye is a polite and respectful member of the class who demonstrates strong commitment to his studies. He has achieved good results and can further improve by refining his organisational skills and consistently reviewing class notes across all subjects.</t>
  </si>
  <si>
    <t>Kaonga Walusungu</t>
  </si>
  <si>
    <t>Walusungu is a capable learner who shows clear potential; however, his performance has been inconsistent throughout the term. He performs well when focused but tends to lose track when distracted. Subjects that require regular practice, such as Mathematics and Science, are particularly affected. I recommend that he establish a steady study routine and attend support lessons. With improved consistency, his performance will rise significantly.</t>
  </si>
  <si>
    <t>Dube Ryan</t>
  </si>
  <si>
    <t>Ryan has shown good progress in several subjects. To improve further, he should focus on improving consistency and strengthening revision techniques for greater accuracy.</t>
  </si>
  <si>
    <t>Sinyangwe James</t>
  </si>
  <si>
    <t>James is a well-behaved and responsible learner who consistently demonstrates a positive attitude. His performance this term has been steady; however, Mathematics and English require additional attention. I recommend regular practice and close monitoring at home. With continued support, James has the potential to excel across all subjects.</t>
  </si>
  <si>
    <t>Swima Rabbi</t>
  </si>
  <si>
    <t>Rabbi is a polite and cooperative student who has shown some effort this term. However, his academic performance requires improvement, particularly in English. He struggles with comprehension and retrieving of information, and would benefit greatly from close monitoring, regular revision, and attending support classes.</t>
  </si>
  <si>
    <t>Chisupa Mwila</t>
  </si>
  <si>
    <t>Mwila is a quiet and respectful student who approaches all tasks with dedication. She has performed well across most subjects and displays strong organizational skills. However, she needs to build confidence during class discussions. I encourage her to participate more actively so she can fully benefit from collaborative learning. Continued support at home will help strengthen her confidence.</t>
  </si>
  <si>
    <t>Sakala Ethan</t>
  </si>
  <si>
    <t>Ethan is a highly motivated and disciplined student who consistently strives to excel in his academic work. He has performed well in all subjects, and his engagement in class discussions is commendable. To further extend his potential, Ethan should continue exploring enrichment opportunities and focus on developing higher-level critical thinking skills.</t>
  </si>
  <si>
    <t>Global Pesperctive</t>
  </si>
  <si>
    <t>Lemba Yahya</t>
  </si>
  <si>
    <r>
      <rPr>
        <rFont val="&quot;Arial&quot;,sans-serif"/>
        <b/>
        <color theme="1"/>
        <sz val="12.0"/>
      </rPr>
      <t>Yahya</t>
    </r>
    <r>
      <rPr>
        <rFont val="&quot;Arial&quot;,sans-serif"/>
        <color theme="1"/>
        <sz val="12.0"/>
      </rPr>
      <t xml:space="preserve"> shows a strong understanding of the material and participates confidently. However Mathematics requires additional attention. With continued support Yahya has the potential to excel across all subjects and taking on further challenges will help him advance even more.</t>
    </r>
  </si>
  <si>
    <t>Milestead Tiago</t>
  </si>
  <si>
    <r>
      <rPr>
        <rFont val="&quot;Arial&quot;,sans-serif"/>
        <b/>
        <color theme="1"/>
        <sz val="12.0"/>
      </rPr>
      <t>Tiago</t>
    </r>
    <r>
      <rPr>
        <rFont val="&quot;Arial&quot;,sans-serif"/>
        <color theme="1"/>
        <sz val="12.0"/>
      </rPr>
      <t>, is a capable learner who shows potential, however he should work on maintaining personal space and respecting boundaries to help create a positive classroom atmosphere. Subjects requiring consistent practice such as English, mathematics and science, I recommend establishing steady study routine and attend support lessons.</t>
    </r>
  </si>
  <si>
    <t>Rezk Macarius</t>
  </si>
  <si>
    <r>
      <rPr>
        <rFont val="&quot;Arial&quot;,sans-serif"/>
        <b/>
        <color theme="1"/>
        <sz val="12.0"/>
      </rPr>
      <t>Macarius,</t>
    </r>
    <r>
      <rPr>
        <rFont val="&quot;Arial&quot;,sans-serif"/>
        <color theme="1"/>
        <sz val="12.0"/>
      </rPr>
      <t xml:space="preserve"> has strong potential that has yet to be fully realized, he is energetic and friendly learner who enjoys interacting with peers. With encouragement to challenge himself, he can make significant progress.</t>
    </r>
  </si>
  <si>
    <t>Kashoka Susanna</t>
  </si>
  <si>
    <r>
      <rPr>
        <rFont val="&quot;Arial&quot;,sans-serif"/>
        <b/>
        <color theme="1"/>
        <sz val="12.0"/>
      </rPr>
      <t>Susanna</t>
    </r>
    <r>
      <rPr>
        <rFont val="&quot;Arial&quot;,sans-serif"/>
        <color theme="1"/>
        <sz val="12.0"/>
      </rPr>
      <t xml:space="preserve"> is very sociable and friendly. To improve her learning, she should focus more consistently on staying on task during lessons especially in Mathematics.</t>
    </r>
  </si>
  <si>
    <t>Yadav Pallavi</t>
  </si>
  <si>
    <r>
      <rPr>
        <rFont val="&quot;Arial&quot;,sans-serif"/>
        <b/>
        <color theme="1"/>
        <sz val="12.0"/>
      </rPr>
      <t>Pallavi</t>
    </r>
    <r>
      <rPr>
        <rFont val="&quot;Arial&quot;,sans-serif"/>
        <color theme="1"/>
        <sz val="12.0"/>
      </rPr>
      <t>, has settled well into school and has also shown notable progress this term, further she is also a capable learner who would benefit from building her confidence and developing strategies to overcome challenges.</t>
    </r>
  </si>
  <si>
    <t>Nair Aadhya</t>
  </si>
  <si>
    <r>
      <rPr>
        <rFont val="&quot;Arial&quot;,sans-serif"/>
        <b/>
        <color theme="1"/>
        <sz val="12.0"/>
      </rPr>
      <t>Aadhya</t>
    </r>
    <r>
      <rPr>
        <rFont val="&quot;Arial&quot;,sans-serif"/>
        <color theme="1"/>
        <sz val="12.0"/>
      </rPr>
      <t>, is a cooperative team player who readily collaborates and helps her classmates. She performs well in practical and expressive subjects. I recommend structured revision, practice exercises and closer follow up at home.</t>
    </r>
  </si>
  <si>
    <t>Niu Yitong</t>
  </si>
  <si>
    <r>
      <rPr>
        <rFont val="&quot;Arial&quot;,sans-serif"/>
        <b/>
        <color theme="1"/>
        <sz val="12.0"/>
      </rPr>
      <t>Yitong</t>
    </r>
    <r>
      <rPr>
        <rFont val="&quot;Arial&quot;,sans-serif"/>
        <color theme="1"/>
        <sz val="12.0"/>
      </rPr>
      <t xml:space="preserve"> is bright and capable but tends to hold back due to lack of effort. Encouraging consistent motivation will help him excel in sciences. I recommend consistent practice, attending targeted support lessons and parental reinforcement at home. With balanced efforts, he can improve significantly. </t>
    </r>
  </si>
  <si>
    <t>Nsenje Joanna</t>
  </si>
  <si>
    <r>
      <rPr>
        <rFont val="&quot;Arial&quot;,sans-serif"/>
        <b/>
        <color theme="1"/>
        <sz val="12.0"/>
      </rPr>
      <t>Joanna</t>
    </r>
    <r>
      <rPr>
        <rFont val="&quot;Arial&quot;,sans-serif"/>
        <color theme="1"/>
        <sz val="12.0"/>
      </rPr>
      <t xml:space="preserve"> is enthusiastic about outdoor activities, but she is encouraged to give more attention to her school tasks and remain engaged in lessons. Subjects like English and Mathematics requires improvement, I recommend structured revision, limited distractions at home and regular teacher-parent follow-ups.</t>
    </r>
  </si>
  <si>
    <t>Dejohn Lucas</t>
  </si>
  <si>
    <r>
      <rPr>
        <rFont val="&quot;Arial&quot;,sans-serif"/>
        <b/>
        <color theme="1"/>
        <sz val="12.0"/>
      </rPr>
      <t>Lucas</t>
    </r>
    <r>
      <rPr>
        <rFont val="&quot;Arial&quot;,sans-serif"/>
        <color theme="1"/>
        <sz val="12.0"/>
      </rPr>
      <t>, has a good understanding of the subject and participates actively. However his academic performance requires improvement particularly in Mathematics, PE and Science. Taking on more challenging tasks will help him continue to grow academically.</t>
    </r>
  </si>
  <si>
    <t xml:space="preserve">Naniso Dannelle Dauramanzi </t>
  </si>
  <si>
    <r>
      <rPr>
        <rFont val="&quot;Arial&quot;,sans-serif"/>
        <b/>
        <color theme="1"/>
        <sz val="12.0"/>
      </rPr>
      <t>Naniso</t>
    </r>
    <r>
      <rPr>
        <rFont val="&quot;Arial&quot;,sans-serif"/>
        <color theme="1"/>
        <sz val="12.0"/>
      </rPr>
      <t>, has settled very well into school. She consistently displays excellent manners and is a pleasure to teach. However her academic performance requires improvement particularly in Mathematics. I encourage strong cooperation between home and school to help Naniso progress.</t>
    </r>
  </si>
  <si>
    <t>Simango Natasha</t>
  </si>
  <si>
    <r>
      <rPr>
        <rFont val="&quot;Arial&quot;,sans-serif"/>
        <b/>
        <color theme="1"/>
        <sz val="12.0"/>
      </rPr>
      <t>Natasha</t>
    </r>
    <r>
      <rPr>
        <rFont val="&quot;Arial&quot;,sans-serif"/>
        <color theme="1"/>
        <sz val="12.0"/>
      </rPr>
      <t>, has settled well in class, however, she can be overly talkative at times, which may distract herself and others. She needs to put more effort into her academic work particularly in Mathematics and science. Developing active listening will support her progress.</t>
    </r>
  </si>
  <si>
    <t>Chowdhary Trishna</t>
  </si>
  <si>
    <r>
      <rPr>
        <rFont val="&quot;Arial&quot;,sans-serif"/>
        <b/>
        <color theme="1"/>
        <sz val="12.0"/>
      </rPr>
      <t>Trishna</t>
    </r>
    <r>
      <rPr>
        <rFont val="&quot;Arial&quot;,sans-serif"/>
        <color theme="1"/>
        <sz val="12.0"/>
      </rPr>
      <t>, has adapted well to the class environment. She is a quiet student, considerate and always willing to support others.She has performed well in most of the subjects. However she should be active in PE, I encourage her to participate more actively so she can fully benefit from collaborative learning.</t>
    </r>
  </si>
  <si>
    <t>Malan Chellah</t>
  </si>
  <si>
    <r>
      <rPr>
        <rFont val="&quot;Arial&quot;,sans-serif"/>
        <b/>
        <color theme="1"/>
        <sz val="12.0"/>
      </rPr>
      <t>Chellah</t>
    </r>
    <r>
      <rPr>
        <rFont val="&quot;Arial&quot;,sans-serif"/>
        <color theme="1"/>
        <sz val="12.0"/>
      </rPr>
      <t>, demonstrates a solid understanding of classwork and contributes well in lessons. However subjects like Science and Mathematics need more focused attention. Encouraging her to tackle more advanced challenges could further develop her skills.</t>
    </r>
  </si>
  <si>
    <t>Woods Caiden</t>
  </si>
  <si>
    <r>
      <rPr>
        <rFont val="&quot;Arial&quot;,sans-serif"/>
        <b/>
        <color theme="1"/>
        <sz val="12.0"/>
      </rPr>
      <t>Caiden</t>
    </r>
    <r>
      <rPr>
        <rFont val="&quot;Arial&quot;,sans-serif"/>
        <color theme="1"/>
        <sz val="12.0"/>
      </rPr>
      <t>, is encouraged to improve his awareness of personal space and boundaries to ensure a comfortable and inclusive environment for everyone. Although he has the potential to perform well, he must improve his concentration and develop consistent study habits. I encourage strong cooperation between home and school to help Caiden progress.</t>
    </r>
  </si>
  <si>
    <t>Simutende Themba</t>
  </si>
  <si>
    <r>
      <rPr>
        <rFont val="&quot;Arial&quot;,sans-serif"/>
        <b/>
        <color theme="1"/>
        <sz val="12.0"/>
      </rPr>
      <t>Themba</t>
    </r>
    <r>
      <rPr>
        <rFont val="&quot;Arial&quot;,sans-serif"/>
        <b val="0"/>
        <color theme="1"/>
        <sz val="12.0"/>
      </rPr>
      <t xml:space="preserve">, is working consistently and understands the material fairly well. However his academic performance requires improvement, particularly in Mathematics and Science. Increased effort and focus would help him reach higher levels of achievement. </t>
    </r>
  </si>
  <si>
    <t>Sakala Mumbilwe</t>
  </si>
  <si>
    <r>
      <rPr>
        <rFont val="&quot;Arial&quot;,sans-serif"/>
        <b/>
        <color theme="1"/>
        <sz val="12.0"/>
      </rPr>
      <t>Mumbilwe</t>
    </r>
    <r>
      <rPr>
        <rFont val="&quot;Arial&quot;,sans-serif"/>
        <color theme="1"/>
        <sz val="12.0"/>
      </rPr>
      <t xml:space="preserve">, is progressing steadily and demonstrates a fair grasp of the content. However Mathematics and Science requires additional attention. With improved engagement and motivation, he can perform even better. </t>
    </r>
  </si>
  <si>
    <t>Mhlanga Thandulenge</t>
  </si>
  <si>
    <r>
      <rPr>
        <rFont val="&quot;Arial&quot;,sans-serif"/>
        <b/>
        <color theme="1"/>
        <sz val="12.0"/>
      </rPr>
      <t>Thandi,</t>
    </r>
    <r>
      <rPr>
        <rFont val="&quot;Arial&quot;,sans-serif"/>
        <color theme="1"/>
        <sz val="12.0"/>
      </rPr>
      <t xml:space="preserve"> needs to stay more engaged and motivated in class to achieve improved outcomes. However she must improve her consistency to improve grades in most subjects. With consistent effort and continued support from home and school, she will continue progressing well.</t>
    </r>
  </si>
  <si>
    <t>Saadi Zahraa</t>
  </si>
  <si>
    <r>
      <rPr>
        <rFont val="&quot;Arial&quot;,sans-serif"/>
        <b/>
        <color theme="1"/>
        <sz val="12.0"/>
      </rPr>
      <t>Zahraa</t>
    </r>
    <r>
      <rPr>
        <rFont val="&quot;Arial&quot;,sans-serif"/>
        <color theme="1"/>
        <sz val="12.0"/>
      </rPr>
      <t>, is making steady progress and shows a reasonable understanding of the work. However her academic performance requires improvement in most subjects particularly Mathematics and Science. Greater focus and motivation will help her achieve stronger results.</t>
    </r>
  </si>
  <si>
    <t>Abdulle Abdiasis</t>
  </si>
  <si>
    <r>
      <rPr>
        <rFont val="&quot;Arial&quot;,sans-serif"/>
        <b/>
        <color theme="1"/>
        <sz val="12.0"/>
      </rPr>
      <t xml:space="preserve">Abdiasis, </t>
    </r>
    <r>
      <rPr>
        <rFont val="&quot;Arial&quot;,sans-serif"/>
        <color theme="1"/>
        <sz val="12.0"/>
      </rPr>
      <t>works steadily and shows a fair understanding of the work. With increased focus, he has the potential to improve further. I encourage him to participate more actively so he can fully benefit from collaboration learning.</t>
    </r>
  </si>
  <si>
    <t>Bath Iman</t>
  </si>
  <si>
    <r>
      <rPr>
        <rFont val="&quot;Arial&quot;,sans-serif"/>
        <b/>
        <color theme="1"/>
        <sz val="12.0"/>
      </rPr>
      <t>Iman</t>
    </r>
    <r>
      <rPr>
        <rFont val="&quot;Arial&quot;,sans-serif"/>
        <b val="0"/>
        <color theme="1"/>
        <sz val="12.0"/>
      </rPr>
      <t xml:space="preserve"> should continue developing self-regulation and maintaining focus during lessons to make the most of her learning opportunities. Although she has potential to perform well, she still needs focused efforts. Close collaboration between home and school will help her unlock her potential.</t>
    </r>
  </si>
  <si>
    <t>Chunga Nomasizwe</t>
  </si>
  <si>
    <r>
      <rPr>
        <rFont val="&quot;Arial&quot;,sans-serif"/>
        <b/>
        <color theme="1"/>
        <sz val="12.0"/>
      </rPr>
      <t>Nomasizwe</t>
    </r>
    <r>
      <rPr>
        <rFont val="&quot;Arial&quot;,sans-serif"/>
        <color theme="1"/>
        <sz val="12.0"/>
      </rPr>
      <t xml:space="preserve">, should continue developing self-regulation and maintaining focus during lessons to make the most of her learning opportunities. Despite her good behaviour she needs to put more efforts into her academic work, particularly Mathematics and science. She must develop stronger study habits and complete assignments more thoroughly. Close collaboration between home and school will help her unlock her potential.  </t>
    </r>
  </si>
  <si>
    <t>Mulenga Katlego</t>
  </si>
  <si>
    <r>
      <rPr>
        <rFont val="Arial"/>
        <b/>
        <color rgb="FF000000"/>
        <sz val="12.0"/>
      </rPr>
      <t xml:space="preserve">Katlego, </t>
    </r>
    <r>
      <rPr>
        <rFont val="Arial"/>
        <color rgb="FF000000"/>
        <sz val="12.0"/>
      </rPr>
      <t>is an energetic and friendly learner who enjoys interacting with peers. Although he has the potential to perform well, his distractibility affects the quality of his work. He must improve his concentration and develop study habits. Mathemtics especially require additional support. I recommend structured revision, limited distractions at home and regular teacher-parent follow-ups.</t>
    </r>
  </si>
  <si>
    <t>Sampa Asher</t>
  </si>
  <si>
    <r>
      <rPr>
        <rFont val="Arial"/>
        <b/>
        <color rgb="FF000000"/>
        <sz val="12.0"/>
      </rPr>
      <t>Asher</t>
    </r>
    <r>
      <rPr>
        <rFont val="Arial"/>
        <color rgb="FF000000"/>
        <sz val="12.0"/>
      </rPr>
      <t xml:space="preserve">, is a well behaved and responsible learner who consistently demonstrates a positive attitude. He participates actively an works well with his peers. His performance this term has been steady, with particular strengths in Mathematics and science. With continued support, Asher has the potential to excel across all subjects. </t>
    </r>
  </si>
  <si>
    <t>SIAME SALIFYANJI</t>
  </si>
  <si>
    <t>Salifyanji is a gentle, respectful, and well-organized student who takes pride in her appearance and her work. She performs well academically, especially in areas like Science, but sometimes settles for less than she is capable of in subjects such as Mathematics. With a little more confidence, higher personal goals, and steady practice, she can achieve even more. I encourage her to ask questions freely whenever she needs support.</t>
  </si>
  <si>
    <t>Chokr Aya</t>
  </si>
  <si>
    <t>Aya is respectful, punctual, and responsible in her class behaviour. She is a quiet learner who can be hesitant to ask for help, which affects her progress in some subjects like Mathematics and Science. With improved study habits, better use of her free time, and regular attendance in support sessions, she will grow stronger and more confident in her learning.</t>
  </si>
  <si>
    <t>Saad Karim</t>
  </si>
  <si>
    <t>Karim is energetic, honest, and expresses himself well when he needs clarification. His enthusiasm is a strength, but sometimes struggles with settling down and following school expectations, which interrupts his learning. With improved discipline, consistency, and focus, Saad can channel his energy positively and see great improvement across all his subjects.</t>
  </si>
  <si>
    <t>Saad Aseel</t>
  </si>
  <si>
    <t>Aseel is respectful and completes her tasks well. However, her occasional absences and limited revision time have affected her performance in several subjects. With regular attendance, better time management, and a little more focused revision, she will begin to see steady academic growth.</t>
  </si>
  <si>
    <t>Simuyi Shannel</t>
  </si>
  <si>
    <t>Shannel participates actively in class and shows eagerness to learn. She is capable, but she sometimes insists on her own methods instead of accepting guidance, which affects her understanding and progress, including in subjects like Mathematics and Science. With a more open attitude and willingness to follow instructions, she will excel even further.</t>
  </si>
  <si>
    <t>Shimwambwa Nicola Twambo</t>
  </si>
  <si>
    <t>Nicola is hardworking, respectful, and consistently performs at a high level across all subjects. She should continue nurturing her good habits while challenging herself through extension work. Remaining focused and avoiding complacency will help her maintain her strong academic journey.</t>
  </si>
  <si>
    <t>Chilufya Bwembya</t>
  </si>
  <si>
    <t>Bwembya is a quiet and reliable student who completes his tasks on time. To reach his full potential, especially in subjects like Science, he needs to review and revise more regularly. A little more confidence and consistent practice will greatly strengthen his understanding.</t>
  </si>
  <si>
    <t>Mguni Ethanim</t>
  </si>
  <si>
    <t>Ethanim is well-behaved, hardworking, and shows a strong desire to succeed. She excels in her work but is very quiet, which sometimes limits her engagement during group activities. Participating more openly will help her share her strengths with others and build confidence.</t>
  </si>
  <si>
    <t>Eagle Andrew</t>
  </si>
  <si>
    <t>Andrew has shown positive growth in behaviour and completes his tasks well. However, his tendency to move around unnecessarily may affects his ability to follow lessons, which is reflected in his overall progress. Staying seated, focused, and following a regular study routine will help him improve holistically.</t>
  </si>
  <si>
    <t>Phiri Takondwa</t>
  </si>
  <si>
    <t>Takondwa is respectful, follows instructions, and completes his tasks responsibly. At times he loses concentration during lessons, which affects his understanding in some subjects. With improved focus, active participation, and steady practice, he will continue to grow academically.</t>
  </si>
  <si>
    <t>Wallace Tanzyn Ryan</t>
  </si>
  <si>
    <t>Tanzyn is polite, respectful, and consistently engages in lessons. She shows maturity and apologizes when necessary. Sometimes she prefers to be alone, which limits opportunities for peer learning. Encouraging more collaboration and steady practice will support her continued growth.</t>
  </si>
  <si>
    <t>Wang Yishi</t>
  </si>
  <si>
    <t>Yishi is polite, respectful, and performs strongly in practical subjects such as Mathematics. However, he struggles with punctuality, uniform expectations, and language-based subjects. Improving his time management, following school guidelines, and dedicating focused time to English and French will help him grow holistically.</t>
  </si>
  <si>
    <t>Mapiye Lerato Atipaishe</t>
  </si>
  <si>
    <t>Lerato is hardworking, respectful, and truly enjoys learning. She performs excellently but can sometimes feel shy to ask questions when she needs clarity. Asking for help without hesitation will help her continue to excel and fully understand all concepts.</t>
  </si>
  <si>
    <t>Jinwalla Aisha</t>
  </si>
  <si>
    <t>Aisha is neat, organized, and dedicated to doing her best. At times, she can be influenced by friends, which may distract her from her goals. Maintaining her independent study habits, setting personal learning targets, and surrounding herself with positive influences will support her continued success.</t>
  </si>
  <si>
    <t>Kanche Wongani</t>
  </si>
  <si>
    <t>Wongani is respectful and gentle in nature. His quietness and hesitance to ask questions sometimes holds him back, particularly in subjects like Mathematics and Science. Building confidence to speak up and attending support sessions will help him strengthen his understanding.</t>
  </si>
  <si>
    <t>Nyirongo Kutemwa</t>
  </si>
  <si>
    <t>Kutemwa is friendly, polite, and always puts in her best effort. She sometimes is forgetful of some concepts and panics during assessments, which affects her progress. Daily revision, summarizing notes, and using memory tools will help her retain more information and improve her performance.</t>
  </si>
  <si>
    <t>Pardesi Amaan</t>
  </si>
  <si>
    <t>Amaan is polite, well-behaved, and always neatly presented. He sometimes becomes influenced by friends and forgets previously learned content. Choosing supportive peers, maintaining a regular revision routine, and staying focused during lessons will help him improve across all subjects.</t>
  </si>
  <si>
    <t>Van Jaarsveld Blake</t>
  </si>
  <si>
    <t>Blake is social, punctual, and enjoys participating in class. However, he can be overly talkative and sometimes claims to understand work when he does not, which affects his performance. He will benefit from staying focused, being honest about his learning needs, and asking for clarification when unsure</t>
  </si>
  <si>
    <t>Saadi Omar</t>
  </si>
  <si>
    <t>Omar is a hardworking student who completes his tasks well, and shows leadership potential. His challenges include inconsistent uniform and relying too heavily on group work instead of developing independence. Taking responsibility for his learning, following school rules, and strengthening his individual study habits, especially in areas like science will support his growth.</t>
  </si>
  <si>
    <t>Namaiko Tunji</t>
  </si>
  <si>
    <t>Tunji is respectful, quiet, and naturally intelligent. His main challenge is remembering concepts over time, which impacts his grades. Regular revision, active participation, and using memory strategies will greatly help him progress</t>
  </si>
  <si>
    <t>Viner Alexia</t>
  </si>
  <si>
    <t>Alexia is polite and respectful. She can be very quiet at times and hesitant to challenge herself academically, leading to low performance. She is encouraged to put more effort into her tasks, participate in class activities, and seek one-on-one support to strengthen her foundational understanding.</t>
  </si>
  <si>
    <t>Marques Fabiana</t>
  </si>
  <si>
    <t>Fabiana is an energetic student and has made improvements in areas such as completion of tasks. She enjoys extracurricular activities such as volleyball. However, she can sometimes be rude to peers or teachers and struggles with following school expectations. Working on her communication skills, showing respect, and dedicating more time to her studies will help her improve in all areas.</t>
  </si>
  <si>
    <t>Kanobana Heiley</t>
  </si>
  <si>
    <t>Heiley is hardworking, respectful, and well-behaved. At times she becomes comfortable with average results even though she is capable of much more, especially in subjects like Mathematics. Setting higher goals and challenging herself with more advanced activities will help her reach her true potential.</t>
  </si>
  <si>
    <t>Sampa Ethan</t>
  </si>
  <si>
    <t>Ethan is a hardworking student and has shown a noticeable improvement in his learning attitude. He pays more attention and works diligently. However, he is too quiet sometimes and often hesitant to seek clarification. He is encouraged to ask questions confidently and participate in group study to reinforce his understanding.</t>
  </si>
  <si>
    <t>Dakik Kawthar</t>
  </si>
  <si>
    <t>Kawthar is quiet, respectful, and completes her tasks faithfully. Her hesitation to ask for help and occasional absences have slowed her progress. Consistent attendance, open communication with teachers, and steady revision at home will be important for her continued improvement.</t>
  </si>
  <si>
    <t>English</t>
  </si>
  <si>
    <t>Biology</t>
  </si>
  <si>
    <t>Physics</t>
  </si>
  <si>
    <t>French</t>
  </si>
  <si>
    <t>BS</t>
  </si>
  <si>
    <t>Literature</t>
  </si>
  <si>
    <t>Chemistry</t>
  </si>
  <si>
    <t>Phiri Tapewa</t>
  </si>
  <si>
    <t>Tapewa is a respectful and inquisitive learner who demonstrates creativity and determination in completing his school work. While he has shown understanding in some subjects, his performance in ICT and Physics is below expectations, which has affected his overall results. He is encouraged to dedicate more time to personal study, particularly in these subjects, and to seek guidance when needed. With consistent effort, focus, and support from both home and school, Tapewa has the potential to significantly improve his performance and achieve better results.</t>
  </si>
  <si>
    <t>Romana Tembo Miracle</t>
  </si>
  <si>
    <t>Romana is a disciplined and mature learner who displays strong leadership qualities. She has shown steady commitment to her studies. To strengthen her academic progress, she is encouraged to seek clarification from teachers and peers whenever she encounters difficult concepts. She should put in more effort in studying PE, Mathematics, and Physics, where she did not perform well this term. Good effort.</t>
  </si>
  <si>
    <t>Chilufya Lisa</t>
  </si>
  <si>
    <t>Lisa is a highly social and energetic student who loves interacting with her peers. She demonstrates enthusiasm in class and participates actively in group activities. However, she needs to dedicate more time to personal study to maximize her academic potential. Focusing particularly on the basics in Physics and mathematics will help her master the subject requirements and improve her performance. She may also need to read widely to improve her literature skills, which will help her achieve better results in English. Good effort, and with consistent practice, she can do better!</t>
  </si>
  <si>
    <t>Kalala Percida</t>
  </si>
  <si>
    <t>Percida is a respectful and cooperative student who approaches her school work with a willing and growth-oriented mindset. While occasional unproductive chatting can slightly affect her focus and overall performance, her general progress remains strong. She is encouraged to work hard on improving her PE performance and, with consistent effort, can continue to achieve even better results.</t>
  </si>
  <si>
    <t>Nkunika Thobile</t>
  </si>
  <si>
    <t>Thobile demonstrates strong leadership skills and maintains a joyful and positive attitude in class. She engages well with her peers and contributes actively to classroom activities. To further enhance her academic performance, she should read thoroughly to strengthen her knowledge in Physics, which will support her understanding and improvement in the subject. Good effort!</t>
  </si>
  <si>
    <t>Sialwindi Chipego</t>
  </si>
  <si>
    <t>Chipego is a respectful and cooperative student. She approaches her school work with a willing mindset and shows a positive attitude in class. However, she is currently struggling in some subjects and will need extra support to improve her understanding, particularly in English, Mathematics, and Science. Working on her confidence in class participation and completing tasks independently will also be beneficial. Continued encouragement and support at home will help her make significant progress. She can do better!</t>
  </si>
  <si>
    <t>Shukla Ananya</t>
  </si>
  <si>
    <t>Ananya is a resilient and dedicated student. She consistently demonstrates exceptional commitment to her studies and always aims high. She is encouraged to maintain this discipline; she will keep soaring high. She can consolidate her knowledge through practising past examination questions; this will strengthen her understanding of key concepts. Keep it up!</t>
  </si>
  <si>
    <t>Mwamba Juanita</t>
  </si>
  <si>
    <t>Juanita is a respectful and cooperative student who approaches her school work with a willing and growth-oriented mindset. While occasional unproductive chatting can reduce her focus, her overall performance remains strong, particularly in Chemistry, where she has demonstrated excellent skill. With improved concentration, she is capable of reaching even higher levels of achievement. Keep up the hard work.</t>
  </si>
  <si>
    <t>Kanchela Keturah</t>
  </si>
  <si>
    <t>Keturah is a quiet and respectful student, self-motivated and dedicated to her school work. She is a team player and engages positively with her peers. Keturah may need to work extra hard to improve her grades in all subjects, with concerted effort in Physics and Mathematics-where she can seek help from both her peers and the teacher. I encourage strong cooperation between home and school to support her continued academic growth. Good effort.</t>
  </si>
  <si>
    <t>Muhamuud Shirhana</t>
  </si>
  <si>
    <t>Shirhana is a quiet and respectful student, self-motivated and dedicated to her school work. She has blended well with other peers. Shirhana has been able to pass most subjects, but continued effort is required to achieve better grades in the coming term. I encourage strong cooperation between home and school to support her continued academic growth.</t>
  </si>
  <si>
    <t>Lungwe Nancy</t>
  </si>
  <si>
    <t>Nancy is a quiet and respectful student, self-motivated and dedicated to her school work. She has blended well with her peers. While she has been able to pass most subjects, continued effort will be necessary to achieve higher grades in the coming term. She is encouraged to minimize chatting during lessons to maximize her focus and learning.</t>
  </si>
  <si>
    <t>Silanda Zewelanji</t>
  </si>
  <si>
    <t>Zewelanji is a brilliant and enthusiastic student and engages actively with her classmates. She has shown a strong passion for learning and a genuine eagerness to explore new academic knowledge. To maximise her academic potential, she is encouraged to continue seeking guidance from both her peers and teachers whenever necessary. Keep it up.</t>
  </si>
  <si>
    <t>Sangalapalli Likith</t>
  </si>
  <si>
    <t>Likith is a high achiever who continues to work diligently toward his academic targets. He is enthusiastic, collaborates well with his peers, and often offers valuable academic support when needed. He demonstrates strong aptitude in Science, and his motivation and proactive attitude are truly commendable. He is encouraged to continue being a positive inspiration in the classroom.
On a lighter note, his TEDx speech was impressive-well done, and keep it up!</t>
  </si>
  <si>
    <t>Swima Bacharie</t>
  </si>
  <si>
    <t>Bacharie has remained a dedicated learner and is very committed to his studies. He approaches everything with a high-achiever mindset, which is commendable. To continue improving his performance, he is encouraged to engage more actively in solving past examination questions to reinforce his understanding of the Cambridge Board examination requirements. In the comming term,bacharie should work extra hard to improve his english grade. Good effort.</t>
  </si>
  <si>
    <t>Muyangwa Namonda</t>
  </si>
  <si>
    <t>Namonda is a quiet and respectful student. She approaches school work with hard work and dedication. She has performed excellently in Chemistry. However, she may need to work extra hard in the coming term in English, Physics, and Mathematics. She should also work on building confidence in speaking tasks and presentations. Continued support at home will help further boost her confidence.Good effort!</t>
  </si>
  <si>
    <t>Nassour Israa</t>
  </si>
  <si>
    <t>Israa is a very creative student who demonstrates excellent planning skills. She actively participates in class activities and collaborates well with her peers. To further enhance her academic performance, regular self-study will help her gain mastery and address any doubts, particularly in Physics. With continued focus and dedication, she is capable of achieving even higher grades. Good effort.</t>
  </si>
  <si>
    <t>Saad Adam</t>
  </si>
  <si>
    <t>Adam is a respectful and cooperative student. He approaches his school work with a willing and growth mindset. However, at times he engages in unproductive chats with peers, which can hinder his full comprehension and reduce his focus. He has done well in most subjects, but he should take time to study the basics in Physics to gain mastery of the subject. Good effort.</t>
  </si>
  <si>
    <t>Taj Eshan</t>
  </si>
  <si>
    <t>Eshan is a respectful and cooperative student. He approaches his school work with a willing and growth mindset. However, at times he engages in unproductive chats with peers, which can hinder his full comprehension and reduce his focus. He has done well in most subjects and has shown great skills in Chemistry. Keep it up.</t>
  </si>
  <si>
    <t>Blumears Malik</t>
  </si>
  <si>
    <t>Malik is a respectful and inquisitive learner. He is creative and always determined to complete his school work. He has shown good understanding in most subjects, as reflected in his results. He should keep working hard and put more concerted effort in Physics. However, he should avoid chatting with his peers when lessons are in progress to ensure he maintains focus and maximizes his learning. With continued effort, he can further improve his overall performance.</t>
  </si>
  <si>
    <t>Chilambwe Sibongile</t>
  </si>
  <si>
    <t>Sibongile is a respectful and inquisitive learner. She is creative and always determined to complete her school work. Sibongile should continue working hard in all subjects to improve her overall average, with more concerted effort in English, where she scored a lower grade.Good effort.</t>
  </si>
  <si>
    <t>Geography</t>
  </si>
  <si>
    <t>History</t>
  </si>
  <si>
    <t>Ziad Alammediene</t>
  </si>
  <si>
    <t>Ziad is a capable learner who shows potential; however, his performance has been inconsistent throughout the term. He performs well when focused but loses track when distracted. Most of the subjects he takes require consistent practice. I recommend establishing a steady study routine and attending support lessons. With improved consistency, his performance will rise significantly.</t>
  </si>
  <si>
    <t>Fatima Dagha</t>
  </si>
  <si>
    <t>Faitima is a capable learner who shows potential; however, her performance has been inconsistent throughout the term. She performs well when focused but loses track when distracted. I recommend establishing a steady study routine and attending support lessons. With improved consistency, her performance will rise significantly.</t>
  </si>
  <si>
    <t>Clint Mubanga Hiwa</t>
  </si>
  <si>
    <t>Clint has shown notable improvement this term and is beginning to take greater responsibility for his learning. His performance has generally  improved, though other subjects still need focused effort. With consistent effort and continued support from home, he will continue progressing well.</t>
  </si>
  <si>
    <t>Rayan Khaazal</t>
  </si>
  <si>
    <t>Kamfwa Nyirenda</t>
  </si>
  <si>
    <t>Kamfwa is a polite and cooperative student who has shown some effort this term. However, his academic performance requires improvement. He struggles with comprehension and basic numeracy skills. He would benefit greatly from close monitoring, regular revision, and attending support classes. I encourage strong cooperation between home and school to help Kamfwa progress.</t>
  </si>
  <si>
    <t>Neha Sukhnani</t>
  </si>
  <si>
    <t>Neha is a highly motivated and disciplined student who consistently strives for excellence. She has shown remarkable performance in most subjects. Her engagement in class discussions is commendable. To further strengthen her learning, she should continue challenging herself with advanced reading and extension activities. Overall, she is an exemplary learner and role model.</t>
  </si>
  <si>
    <t>Shaharan Thapa</t>
  </si>
  <si>
    <t>Shaharan is an energetic and friendly learner who enjoys interacting with peers. Although he has the potential to perform well, his distractibility affects the quality of his work. He must improve his concentration and develop consistent study habits. He requires additional support. I recommend structured revision, limited distractions at home, and regular teacher-parent follow-ups.</t>
  </si>
  <si>
    <t>Gabriel Chikopela</t>
  </si>
  <si>
    <t>Gabriel is good student who is well behaved. He has settled in well. He has the potential to do better with continued effort.</t>
  </si>
  <si>
    <t>;.</t>
  </si>
  <si>
    <t>Bwalya Chanda</t>
  </si>
  <si>
    <t>Bwalya is a well-behaved learner who consistently demonstrates a positive attitude. She participates actively and works well with her peers. Her performance this semister has been steady, with particular strengths in English and Mathematics. However, ICT  and Business studies require additional attention. I recommend rugular practice, attending remedial and close monitoring at home. With continued support Bwalya has the potential to excel across all subjects.</t>
  </si>
  <si>
    <t>Rayan Khazaal</t>
  </si>
  <si>
    <t>Rayan is an energetic and friendly learner who enjoys interacting with peers. Although he has potential to perform well, his distractibility affects the quality of his work. He must improve his ,concentration and develop consistent study habits. English ,Business and P.E especially require additional support. I recommned structured revision, limited distractions at home and regular teacher-parent follow-ups.</t>
  </si>
  <si>
    <t>Chubo Kabende</t>
  </si>
  <si>
    <t>Chubo is a polite and cooperative student who has shown some effort this term. However, his academic performance requires improvement, particularly in English and History. He struggles with comprehension and subsequently affecting his written responses. He would benefit greatly from close monitoring, regular revision and attending support classes. I encourage strong cooperation between home and school to help Chubo progress.</t>
  </si>
  <si>
    <t>Joshua Kateka</t>
  </si>
  <si>
    <t>Joshua is an energetic and friendly learner who enjoys interacting with peers. Although he has potential to perform well, his distractibility affects the quality of his work. He must improve his concentration and develop consistent study habits. English, Mathematics,Business Studies and ICT especially require additional support. I recommned structured revision, limited distractions at home and regular teacher-parent follow-ups.</t>
  </si>
  <si>
    <t>Philani Lungu</t>
  </si>
  <si>
    <t>Philani is an energetic and friendly learner who enjoys interacting with peers. Although he has potential to perform well, his distractibility affects the quality of his work. He must improve his concentration and develop consistent study habits. English, Mathematics, Business Studies and ICT especially require additional support. I recommned structured revision, limited distractions at home and regular teacher-parent follow-ups.</t>
  </si>
  <si>
    <t>Tapewa Malama</t>
  </si>
  <si>
    <t>Tapewa has shown notable improvement this term and is beginning to take greater responsibility for his learning. His performance in History has improved, though ICT still needs focused effort. He benefits from individual guidance and should continue revsing through his work. With consistent effort and continued support from home, he will continue progressing well.</t>
  </si>
  <si>
    <t>Kunda Alfred Malijani</t>
  </si>
  <si>
    <t>Kunda is a highly motivated and disciplined student who consistently strives for excellence. Despite not having written most of his Summative exams due to attending the Grade Nine Examination Councill of Zambia exams, his formative test results reflect his excellence as well as the two summative exams he wrote. To further strengthen his learning, he should continue challenging himself with advanced reading and extension activities. Overal, he is an exemplary learner and role model.</t>
  </si>
  <si>
    <t>Carmen- Grace Mare</t>
  </si>
  <si>
    <t>Carmen is a capable learner who shows potential; however, her performance has been inconsistent throughout the semister. She performs well when focused but loses track when distracted. Subjetcs requring consistent practice-such as Mathematics and P.E are most affected. I recommend establishing a steady study routine and attending support lessons. With improved consistency, her performance will rise significantly.</t>
  </si>
  <si>
    <t>Mali Mestry</t>
  </si>
  <si>
    <t>Mali is a capable learner who shows potential; however, her performance has been inconsistent. She performs well when focused but loses track when distracted. I recommend establishing a steady study routine and attending support lessons. With improved consistency, her performance will rise significantly.</t>
  </si>
  <si>
    <t>Zenani Mulikita</t>
  </si>
  <si>
    <t>Zenani is a respectful and well mannered student who relates well with peers and teachers. Despite his good behaviour, he needs to put more effort into his academic work particularly in Maths, Business Studies and ICT. He must develop strong study habits and complete assignmeents more thoroughly. Close collaboration between home and school will help him unlock his potential.</t>
  </si>
  <si>
    <t>Sahil Munshi</t>
  </si>
  <si>
    <t>Sahil has shown notable improvement this term and is beginning to take greater responsibility for his learning. His performance in History has improved, though English  and Business Studies still needs focused effort. He benefits from individual guidance and should continue revsing through his work. With consistent effort and continued support from home, he will continue progressing well.</t>
  </si>
  <si>
    <t>Mulambo Mweemba</t>
  </si>
  <si>
    <t>Malambo is a creative and imaginative learner who enjoys expressing ideas through art. She performs well in practical and expressive subjects. However, subjects such as Mathemattics, Business Studies and IC T need more focused attention. I recommend structured revision, practice exercises and follow up at home. Supporting her creativity while strenghthening skills will help achieve balanced progress.</t>
  </si>
  <si>
    <t>Israel Phiri</t>
  </si>
  <si>
    <t>Israel is an energetic and friendly learner who enjoys interacting with peers. Although he has potential to perform well, his distractibility affects the quality of his work. He must improve his concentration and develop consistent study habits. English, Business Studies and Mathematics  especially require additional support. I recommned structured revision, limited distractions at home and regular teacher-parent follow-ups.</t>
  </si>
  <si>
    <t>Alexander Sakala</t>
  </si>
  <si>
    <t>Alexander is a highly motivated and disciplined student who consistently strives for excellence. To further strengthen his learning , he should continue challenging himself with advanced reading and extension activities. Overal, he is an exemplary learner and role model.</t>
  </si>
  <si>
    <t>Lwiito Sikapoto</t>
  </si>
  <si>
    <t>Lwiito is an enthusiastic student who excels in English and Social Scinces showing strong comprehension and communication skills. She faces challenges in Mathematics and  ICT. I recommend consistent practice, attending targeted support lessons and parental reinforcement at home. With balanced effort, she can improve significantly.</t>
  </si>
  <si>
    <t>Rudo Simbayi</t>
  </si>
  <si>
    <t>Rudo has shown notable improvement this term and is beginning to take greater responsibility for her learning. Her performance in Chemistry has improved, though English and ICT still needs focused effort.  She benefits from individual guidance and should continue revsing through her work. With consistent effort and continued support from home, she will continue progressing well.</t>
  </si>
  <si>
    <t>Nsenthaka Soko</t>
  </si>
  <si>
    <t>Nsenthako has shown notable improvement this term and is beginning to take greater responsibility for his learning. His performance in History has improved, though English still needs focused effort. He benefits from individual guidance and should continue revsing through his work. With consistent effort and continued support from home, he will continue progressing well.</t>
  </si>
  <si>
    <t>Ira Arieri Aori</t>
  </si>
  <si>
    <t>Ira shows steady academic progress, and is developing confidence in his learning. He usually exhibits good behaviour and participates when prompted. With more consistent effort, he can achieve even better results. It is highly recommended that Ira prioritises regular revision and practice to strengthen his understanding of key concepts in subjects he has shown weaknesses.</t>
  </si>
  <si>
    <t>Aayesha Bhatti</t>
  </si>
  <si>
    <t>Aayesha shows steady academic progress, and is developing confidence in her learning. She usually exhibits good behaviour and participates when prompted. With more consistent effort, she can achieve even better results. It is highly recommended that Aayesha prioritises regular revision and practice to strengthen her understanding of key concepts in subjects she has shown weaknesses.</t>
  </si>
  <si>
    <t>Stephanie Rose Bwalya</t>
  </si>
  <si>
    <t>Stephanie consistently demonstrates strong academic performance, and a very good understanding of most of the concepts taught. She shows great initiative, participates actively in class, and maintains good behaviour. Her positive attitude and dedication to learning are commendable. To continue growing, Stephanie is encouraged to avoid complacency, but instead challenge herself further by improving her grades in subjects (especially English) she did not perform well, exploring enrichment activities and deepening critical-thinking skills. Beyond the classroom, Stephanie remains fully dedicated and involved in extra curricula activities such as sports, student leadership, TEDx and Model United Nations (MUN), where she has attained remarkable success and recognition.</t>
  </si>
  <si>
    <t>Laurddy Yav Chansa</t>
  </si>
  <si>
    <t>Yav, consistently demonstrates strong academic performance and a very good understanding of most of the concepts taught. She shows great initiative, participates actively in class, and maintains fairly good behaviour for the most part. Her positive attitude and dedication to learning are commendable. To continue growing, Yav is encouraged to avoid complacency, but instead challenge herself further by improving her grades in subjects (especially English and Mathematics) she did not perform well,  exploring enrichment activities and deepening critical-thinking skills. Beyond the classroom, Yav remains fully dedicated and involved in extra curricula activities such as sports and performances, where she has attained success and recognition.</t>
  </si>
  <si>
    <t>Samuel Chikaka</t>
  </si>
  <si>
    <t>Samuel possesses immense potential to make progress, but currently requires additional support to improve his academic performance. He is a very well behaved student. To enhance learning outcomes, Samuel should concentrate on completing tasks on time, reviewing foundational concepts, making use of available learner resources provided by the school, and seeking help whenever needed, especially in subjects he has shown clear weaknesses. Consistent and collaborative efforts between the school and home will significantly benefit his overall progress. Beyond the classroom, Samuel remains fully dedicated and involved in extra curricula activities such as sports, where he has attained success and recognition.</t>
  </si>
  <si>
    <t>Bulayo Chikopela</t>
  </si>
  <si>
    <t xml:space="preserve">Bulayo can make progress, but currently requires additional support to improve academic performance. He is very well behaved and respectful. However, he sometimes needs reminders to stay focused and engaged in learning. To enhance learning outcomes, Bulayo should concentrate on completing tasks on time, reviewing foundational concepts, making use of available learner resources provided by the school, and seeking help whenever needed, especially in subjects he has shown clear weaknesses. Consistent and collaborative efforts between the school and home will significantly benefit his overall progress. Beyond the classroom, Bulayo remains fully dedicated and involved in extra curricula activities such as sports, where he has attained success and recognition. </t>
  </si>
  <si>
    <t>Mutambwa Chizebuka</t>
  </si>
  <si>
    <t>Mutambwa possesses potential to make progress, but currently requires additional support to improve academic performance. His behaviour is generally acceptable. However, he sometimes needs reminders to stay focused and engaged in learning. To enhance learning outcomes, Mutambwa should concentrate on completing tasks on time, reviewing foundational concepts, making use of available learner resources provided by the school, and seeking help whenever needed, espcially in subjects he has shown clear weaknesses. Consistent and collaborative efforts between the school and home will significantly benefit his overall progress.</t>
  </si>
  <si>
    <t>Kesso Paulina Dakwa</t>
  </si>
  <si>
    <t>Paulina shows steady academic progress, and is developing confidence in her learning. She generally exhibits good behaviour although she is sometimes playful and non-compliant with the school's uniform policy. She actively participates in learning, especially when prompted. With more consistent effort, she can achieve even better results. It is highly recommended that Paulina prioritises regular revision and practice to strengthen her understanding of key concepts in subjects she has shown weaknesses.</t>
  </si>
  <si>
    <t>Luyando Hamulumbu</t>
  </si>
  <si>
    <t>Luyando shows steady academic progress, and is developing confidence in her learning. She usually exhibits good behaviour and participates actively in class, especially when prompted. With more consistent effort, she can achieve even better results. It is highly recommended that Luyando prioritises regular revision and practice to strengthen her understanding of key concepts in subjects she has shown weaknesses. Beyond the classroom, Luyando remains fully dedicated and involved in extra curricula activities such as sports and performances, where she has attained success and recognition.</t>
  </si>
  <si>
    <t>Thandiwe christina Hiwa</t>
  </si>
  <si>
    <t>Thandiwe possesses potential to make progress, but currently requires additional support to improve academic performance. She is generally very well behaved and respectful. However, she needs to put in more effort in staying focused and engaged during lessons. To enhance learning outcomes, Thandiwe should concentrate on completing tasks on time, reviewing foundational concepts, making use of available learner resources provided by the school, and seeking help whenever needed, especially in subjects she has shown clear weaknesses. Consistent and collaborative effort between the school and home will significantly benefit her overall progress. Beyond the classroom, Thandiwe remains fully dedicated and involved in extra curricula activities such as student leadership, where she has attained success and recognition.</t>
  </si>
  <si>
    <t>Aseel Kaedbey</t>
  </si>
  <si>
    <t>Aseel consistently demonstrates strong academic performance and a very good understanding of most of the concepts taught. She shows great initiative, participates actively in class, and maintains exemplary behaviour. Her positive attitude and dedication to learning are commendable. To continue growing, Aseel is encouraged to avoid complacency, but instead challenge herself further by improving her grades in subjects (especially English) she did not perform well, exploring academically stimulating activities and deepening critical-thinking skills.</t>
  </si>
  <si>
    <t>Joanna Kashoka</t>
  </si>
  <si>
    <t>Joanna shows steady academic progress, and is developing confidence in her learning. She usually exhibits good behavior and participates during lessons, especially when prompted. With more consistent effort, she can achieve even better results. It is highly recommended that Joanna prioritises regular revision and practice to strengthen her understanding of key concepts in subjects she has shown weaknesses. Beyond the classroom, Joanna remains fully dedicated and involved in extra curricula activities such as TEDx and Model United Nations (MUN), where she has attained remarkable success and recognition.</t>
  </si>
  <si>
    <t>Rutendo Mazhandu</t>
  </si>
  <si>
    <t>Rutendo shows steady academic progress, and is developing confidence in her learning. She usually exhibits good behaviour and actively participates in learning. However, she needs to build more focus and engagement during lessons to avoid potential distractions. With more consistent effort, she can achieve even better results. It is highly recommended that Rutendo prioritises regular revision and practice to strengthen her understanding of key concepts in subjects she has shown weaknesses. Beyond the classroom, Rutendo remains fully dedicated and involved in extra curricula activities such as sports, performances and student leadership, where she has attained success and recognition.</t>
  </si>
  <si>
    <t>Choolwe Mizinga</t>
  </si>
  <si>
    <t>Choolwe shows steady academic progress, and is developing gradual confidence in her learning. She usually exhibits exemplary behaviour and actively participates in learning. With more consistent effort, she can achieve even better results. It is highly recommended that Choolwe prioritises regular consultation, revision and practice to strengthen her understanding of key concepts in subjects she has shown weaknesses.</t>
  </si>
  <si>
    <t>Nandipa Moyo</t>
  </si>
  <si>
    <t>Gerald Mpande</t>
  </si>
  <si>
    <t>Gerald shows steady academic progress, and is developing confidence in his learning. He is generally well behaved, and participates actively in learning. However, he usually struggles to maintain focus during learning, owing to his distractive conduct. With more consistent effort, he can achieve even better results. It is highly recommended that Gerald prioritises maintaining focus during lessons, in addition to regular revision and practice to strengthen his understanding of key concepts in subjects he has shown weaknesses. Beyond the classroom, Gerald remains fully dedicated and involved in extra curricula activities such as sports and performances, where he has attained remarkable success and recognition</t>
  </si>
  <si>
    <t>Ayanda Chama Mwansa</t>
  </si>
  <si>
    <t>Ayanda shows steady academic progress, and is developing confidence in her learning. She generally exhibits good behaviour and participates actively, especially when prompted. However, she needs to cultivate more respect and discipline in line with the core values of the school. With more consistent effort, she can achieve better results. It is highly recommended that Ayanda prioritises more attention toward her school work, regular revision and practice to strengthen her understanding of key concepts in subjects she has shown weaknesses. Beyond the classroom, Ayanda remains fully dedicated and involved in extra curricula activities such as sports and performances, where she has attained success and recognition.</t>
  </si>
  <si>
    <t>Chanozya Ng'ambi</t>
  </si>
  <si>
    <t>Chanozya possesses potential to make progress, but currently requires additional support to improve academic performance. Her behaviour is exemplary. However, she needs to build more focus and engagement in her learning. To further enhance learning outcomes, Chanozya should concentrate more on reviewing foundational concepts, making use of available learner resources provided by the school, and seeking help whenever needed, especially in subjects she has shown weaknesses. Consistent and collaborative efforts between the school and home will significantly benefit her overall progress.</t>
  </si>
  <si>
    <t>Daniel Emmanuel Rumsey</t>
  </si>
  <si>
    <t xml:space="preserve">Daniel possesses potential to make progress, but currently requires additional support to improve academic performance. His behaviour is generally acceptable. However, he sometimes needs constant reminders to stay focused and engaged. To enhance learning outcomes, Daniel should concentrate on completing tasks on time, reviewing foundational concepts, making use of available learner resources provided by the school, and seeking help whenever needed, especially in subjects he has shown clear weaknesses. Consistent and collaborative effort between the school and home will significantly benefit him overall progress. Beyond the classroom, Daniel remains fully dedicated and involved in extra curricula activities such as sports, where he has attained remarkable success and recognition.
</t>
  </si>
  <si>
    <t>Esha Shenny</t>
  </si>
  <si>
    <t xml:space="preserve"> Esha consistently demonstrates strong academic performance and a very good understanding of majority of the concepts taught. She shows great initiative, participates actively in class, and maintains exemplary behaviour. Her positive attitude and dedication to learning are commendable. To continue growing, Esha is encouraged to avoid complacency, but instead challenge herself further by exploring enrichment activities and deepening critical-thinking skills.
</t>
  </si>
  <si>
    <t>Lwiindi Siakabeya</t>
  </si>
  <si>
    <t>Lwiindi shows steady academic progress, and is developing confidence in his learning. He usually exhibits good behaviour, and participates very actively in learning. With more consistent effort, he can achieve even better results to match his potential. It is highly recommended that Lwiindi prioritises regular revision and practice to strengthen his understanding of key concepts in subjects he has shown weaknesses. Beyond the classroom, Lwiindi remains actively involved in extra curricula activities such as sports and student leadership, where he has attained remarkable success and recognition.</t>
  </si>
  <si>
    <t>Jay Hawjm</t>
  </si>
  <si>
    <t>Jay possesses immense potential to make progress, but currently requires additional support to improve academic performance. His behaviour is very good. However, the language barrier continues to be his major hindrance although he has been showing steady improvement in that area. Further, the impact of his absence from some exams is also evidenced by his performance. To enhance learning outcomes, Jay should concentrate on completing tasks on time, reviewing foundational concepts, making use of available learner resources provided by the school, and seeking help whenever needed, especially in subjects he has shown clear weaknesses. Consistent and collaborative effort between the school and home will significantly benefit his overall progress.</t>
  </si>
  <si>
    <t>Arthur Jonah Malenji</t>
  </si>
  <si>
    <t xml:space="preserve"> Arthur consistently demonstrates excellent academic performance, and an exceptional understanding of most of the concepts taught. He shows great initiative, participates actively in class, and maintains exemplary behaviour. His positive attitude and dedication to learning are commendable. To continue growing, Arthur is encouraged to avoid complacency, but instead challenge himself further by improving his grade in English, exploring enrichment activities and deepening critical-thinking skills. Beyond the classroom, Arthur remains fully dedicated and involved in extra curricula activities such as the Model United Nations (MUN), where he has attained outstanding success and recognition.</t>
  </si>
  <si>
    <t>Musama Chamunda</t>
  </si>
  <si>
    <t>Musama can make progress but currently requires additional support to improve academic performance. Her behavior is generally acceptable, though sometimes she needs reminders to stay focused and engaged. To enhance learning outcomes, Musama should concentrate on completing tasks on time, reviewing foundational concepts, and seeking help when needed especially in Mathematics, Biology, Physics and Chemistry. Consistent effort will significantly benefit her overall progress.</t>
  </si>
  <si>
    <t>Kapungwe Kabali</t>
  </si>
  <si>
    <t>Kapungwe shows steady academic progress and is developing confidence in his learning. He usually exhibits good behavior and participates when prompted. With more consistent effort and better focus during lessons, he can achieve even higher results. It is recommended that he prioritize regular revision and practice to strengthen his understanding of key concepts especially in english and ICT.</t>
  </si>
  <si>
    <t>Harry Kanobana</t>
  </si>
  <si>
    <t>Harry shows steady academic progress and is developing confidence in his learning. He usually exhibits good behavior and participates when prompted. With more consistent effort and better focus during lessons, he can achieve even higher results. It is recommended that he prioritize regular revision and practice to strengthen his understanding of key concepts.</t>
  </si>
  <si>
    <t>Ackim Mwale</t>
  </si>
  <si>
    <t>Ackim can make progress but currently requires additional support to improve academic performance. His behavior is generally acceptable, though sometimes he needs reminders to stay focused and engaged. To enhance learning outcomes, Ackim should concentrate on completing tasks on time, reviewing foundational concepts, and seeking help when needed especially in Mathematics, English and Business studies. Consistent effort will significantly benefit his overall progress.</t>
  </si>
  <si>
    <t>Pious Ngoma</t>
  </si>
  <si>
    <t xml:space="preserve"> Pious has the potential to improve, but he currently requires additional support to strengthen his academic performance. While his behaviour is generally acceptable, he often plays too much and is easily influenced by his peers, which results in a loss of focus during lessons. To support his progress, Pious is encouraged to complete assignments promptly, review key foundational concepts, and seek help when needed, particularly in Mathematics, Business studies, and English. With consistent effort, improved focus, and better decision-making regarding peer interactions, he can make meaningful progress in his overall development.</t>
  </si>
  <si>
    <t>Nerbet Katambo</t>
  </si>
  <si>
    <t>Nerbert shows potential for growth but currently requires additional support to strengthen his academic performance. While his behaviour is acceptable overall, he would benefit from improving her general conduct and maintaining better focus during lessons. To advance his progress, Nerbert is encouraged to complete assignments on time, review fundamental concepts, and seek clarification when needed, particularly in Mathematics and English. With sustained effort and improved engagement, she can make significant strides in her overall development.</t>
  </si>
  <si>
    <t>Roland Tom Zebron Temba</t>
  </si>
  <si>
    <t>Roland can make progress but currently requires additional support to improve academic performance. His behavior is generally acceptable, though sometimes he needs reminders to stay focused and engaged during lessons. To enhance learning outcomes, Roland should concentrate on completing tasks on time, reviewing foundational concepts, and seeking help when needed especially in Mathematics, physics and ICT. Consistent effort will significantly benefit hIS overall progress.</t>
  </si>
  <si>
    <t>Nandipa has the potential to improve, but she currently needs extra guidance to strengthen her academic performance. Her behaviour is mostly appropriate, although she occasionally requires prompts to remain attentive and involved in class activities. To support her progress, Nandipa should prioritise completing assignments promptly, revisiting key foundational ideas, and asking for assistance when necessary, particularly in Mathematics, Biology, and English. Steady and consistent effort will greatly enhance her overall development.</t>
  </si>
  <si>
    <t>Nour Rassalan</t>
  </si>
  <si>
    <t>Ibrahim Aadil</t>
  </si>
  <si>
    <t>Aadil has shown steady progress this semester, demonstrating increasing confidence when he applies himself. Although his performance fluctuates, he engages positively when focused and can achieve more with consistent revision and completion of tasks. His involvement in the Student Council highlights a growing sense of responsibility and leadership. However, he is encouraged to show greater maturity and discipline to excel in this role. Additionally, representing the school in ISAZ sports has helped build his teamwork and resilience. With stronger study habits and sustained effort, he has the ability to make meaningful academic gains across all his subjects.</t>
  </si>
  <si>
    <t>Ahmad Amin</t>
  </si>
  <si>
    <t>Ahmad has the potential to do considerably better than his current performance suggests. His results reflect periods of effort mixed with inconsistency, which affects his overall progress. A more disciplined approach to classwork and regular revision will help him achieve stronger outcomes. His participation in ISAZ sports demonstrates commitment outside the classroom and this same energy applied academically would lead to significant improvement. With focus and determination, Ahmad can work towards fulfilling his true potential.</t>
  </si>
  <si>
    <t>Tamika Bredt</t>
  </si>
  <si>
    <t>Tamika has made encouraging progress this semester and her performance indicates growing confidence and understanding. When she applies herself, the quality of her work rises noticeably. As a Student Council member, she has demonstrated admirable leadership and a willingness to contribute to school life. Additionally, participating in ISAZ sports has strengthened her teamwork and perseverance. To sustain her academic momentum, she is encouraged to maintain regular revision habits and seek clarification whenever needed. Her positive attitude remains an asset to her learning.</t>
  </si>
  <si>
    <t>Chibwe Chasaya</t>
  </si>
  <si>
    <t>Chibwe continues to show strong engagement and commendable effort. Her performance reflects a solid balance of understanding and commitment. She represented the school impressively at both the Zambia Model United Nations and the Baobab MUN conferences, stepping out of her comfort zone and developing confidence in public speaking and diplomacy. These experiences have supported her academic maturity and communication skills. To elevate her performance further, she is encouraged to maintain consistent study routines and continue refining her analytical abilities.</t>
  </si>
  <si>
    <t>Lukonde Chilufya</t>
  </si>
  <si>
    <t>Lukonde has delivered consistently excellent performance throughout the semester. She demonstrates maturity, discipline and a strong grasp of key concepts, often producing work of outstanding quality. Her role as Co-Host of the TEDx Youth LOTS Conference showcased her confidence, eloquence and leadership in a demanding, high-profile setting. Additionally, her participation in the Zambia Model United Nations strengthened her global awareness, critical thinking and public speaking abilities. Lukonde’s commitment to learning and involvement in school events is remarkable. She is encouraged to continue embracing challenges with enthusiasm.</t>
  </si>
  <si>
    <t>Kelly Chungu</t>
  </si>
  <si>
    <t>Kelly has been outstanding this semester. She consistently demonstrates excellent understanding, strong analytical ability and an impressive work ethic. Her contributions in class are thoughtful and well informed. Kelly also represented the school at the Zambia Model United Nations Conference, where she excelled and displayed maturity, diplomacy and confidence as a delegate. This experience has further enriched her communication skills and broadened her perspectives. She continues to set a high standard for her peers through her consistency and drive. Well done, Kelly.</t>
  </si>
  <si>
    <t>Ahmad Hamir</t>
  </si>
  <si>
    <t>Ahmad has shown steady improvement and increasing confidence in his work. He benefits greatly from active participation and asking questions when uncertain. With continued commitment and regular practice, he can build on his progress and achieve stronger results. Although not involved in extracurricular representations this term, Ahmad’s growing maturity in class is commendable. He is encouraged to maintain this upward trajectory through disciplined revision.</t>
  </si>
  <si>
    <t>Justin Kapilikisha</t>
  </si>
  <si>
    <t>Justin is capable of strong performance when he remains focused and committed. His work improves noticeably during periods of consistent effort. As a Student Council member, he has demonstrated leadership and a willingness to contribute positively to the school community. His involvement in ISAZ sports has further helped him build teamwork, resilience, and discipline. To strengthen his academic attainment, Justin is encouraged to adopt more regular study habits and complete tasks with increased focus. With greater consistency, he can achieve meaningful progress.</t>
  </si>
  <si>
    <t>Tamika Mpho Kumwenda</t>
  </si>
  <si>
    <t>Tamika demonstrates potential and shows ability in her written work, especially when she is fully engaged. Her results indicate inconsistency, suggesting a need for strengthened revision habits and more sustained effort. As a Student Council member, she has shown commendable leadership qualities. She also represented the school at the Zambia Model United Nations Conference, gaining valuable exposure to debate, diplomacy and global issues. Furthermore, her involvement in ISAZ sports reflects her versatility and commitment. With improved consistency and focus, Tamika can achieve far more academically.</t>
  </si>
  <si>
    <t>Anoushka Kutenha</t>
  </si>
  <si>
    <t>Anoushka has shown promising ability, particularly in analytical thinking and class engagement. She would benefit from participating in discussions and demonstrates clear potential academically. Her positive attitude is appreciated. Going forward, maintaining consistent attendance, completing all assigned tasks, and revising regularly will strengthen her understanding and confidence. Anoushka is encouraged to continue building on her potential with commitment and discipline.</t>
  </si>
  <si>
    <t>Victoria Lanyero</t>
  </si>
  <si>
    <t>Victoria has shown gradual improvement and maintains a positive approach to her work. Her understanding of key concepts is growing steadily. As an official TEDx Youth LOTS Speaker, she demonstrated exceptional bravery, articulation and dedication, representing the school at an international standard. This achievement reflects her developing confidence and communication skills. With greater consistency in revision and more active classroom engagement, Victoria can continue making strong academic progress.</t>
  </si>
  <si>
    <t>Tapiwanashe Luwabelwa</t>
  </si>
  <si>
    <t>Tapiwanashe has the ability to do well, but inconsistent effort and occasional behavioural issues have limited his progress. Strengthening his study habits through regular revision and more responsible task completion will help him improve. Maintaining positive behaviour in class will also be essential. When he applies himself, he demonstrates clear potential, and with better discipline overall, he can achieve more consistent and meaningful progress.</t>
  </si>
  <si>
    <t>Ethan Mwansa</t>
  </si>
  <si>
    <t>Ethan is capable of better performance, though his effort levels fluctuate. He is encouraged to participate more actively, revise regularly and approach all assigned tasks with greater concentration. His representation of the school in ISAZ sports is commendable and has helped build discipline, teamwork and resilience which are qualities he can extend to his academic life. With stronger commitment, Ethan can significantly improve his attainment and confidence.</t>
  </si>
  <si>
    <t>Denise Mwape</t>
  </si>
  <si>
    <t>Denise has worked steadily this term and shows a positive attitude towards her learning. She demonstrates sound understanding of key areas, but would benefit from reinforcing her revision habits and engaging more deeply with challenging tasks regularly. Denise represented the school with pride at the Zambia Model United Nations Conference, developing confidence, diplomacy and analytical skills. With increased academic focus and persistence, she can continue strengthening her performance.</t>
  </si>
  <si>
    <t>Nandeka Mwenda</t>
  </si>
  <si>
    <t>Nandeka has shown outstanding ability in her classwork and coursework tasks. She demonstrates clarity of thought, strong analytical skills and dedicated work habits. Her role as a TEDx Youth LOTS Speaker this term highlighted her bravery, eloquence and ability to engage a wide audience with confidence and originality. Though her results fluctuate at times, her potential for high achievement is evident. With a more structured approach to exam practice, Nandeka can elevate her performance even further. Her enthusiasm and hard work are highly commendable.</t>
  </si>
  <si>
    <t>Jalal Ossaily</t>
  </si>
  <si>
    <t>Jalal demonstrates understanding of most of his syllabus content, but needs to make his effort more consistent. More active participation in discussions, alongside regular revision, will help him strengthen his progress. His role on the Student Council reflects leadership capacity and representing the school in ISAZ sports has helped him develop discipline and teamwork skills. With improved focus and determination, Jalal has the potential to make significant academic gains.</t>
  </si>
  <si>
    <t>Fatima Patel</t>
  </si>
  <si>
    <t>Fatima has shown consistent progress and a steady work ethic. She approaches tasks responsibly and engages positively in lessons. Her involvement in the Baobab Model United Nations Conference demonstrated her willingness to take on new challenges, refine her communication skills and broaden her perspectives. To continue building on her strengths, she is encouraged to challenge herself more analytically and revise regularly. Her positive attitude is a valued part of the class.</t>
  </si>
  <si>
    <t>Choolwe Samboko</t>
  </si>
  <si>
    <t>Choolwe has made noticeable improvement this term and often works with commendable focus. She represented the school exceptionally well at both the Zambia Model United Nations and the Baobab MUN conferences, where she demonstrated confidence, diplomacy and growing leadership. These experiences have strengthened her communication and critical-thinking skills. With continued practice and sustained effort, Choolwe can further elevate her academic performance.</t>
  </si>
  <si>
    <t>Houssien Seblini</t>
  </si>
  <si>
    <t>Houssein shows potential but needs to adopt more consistent study habits to make meaningful progress. He is encouraged to participate more actively in lessons, complete tasks with care and revise regularly to strengthen his understanding. With improved focus and sustained effort, Houssein can significantly enhance his academic performance and confidence.</t>
  </si>
  <si>
    <t xml:space="preserve">m </t>
  </si>
  <si>
    <t>Accounts</t>
  </si>
  <si>
    <t>Judah Blount</t>
  </si>
  <si>
    <t>Judah is a high achiever and continues working hard to reach his academic targets. He is enthusiastic and a team player. He shows good aptitude in sport. His motivation and proactive attitude are commendable. To ensure he keeps thriving in his academic excellence, he is encouraged to maintain a balanced approach between academics and sports, while dedicating consistent time to revision and independent study.</t>
  </si>
  <si>
    <t>Joshua Kanche</t>
  </si>
  <si>
    <t xml:space="preserve">       </t>
  </si>
  <si>
    <t>Joshua has remained a dedicated learner and is very committed to his studies. He approaches everything with a high-achiever mindset, which is commendable. To continue improving his performance, he is encouraged to engage more actively in solving past examination questions to reinforce his understanding of the Cambridge Board examination requirements.</t>
  </si>
  <si>
    <t>Iyah Kante</t>
  </si>
  <si>
    <t>Iyah is a determined learner and shows mature conduct. She is a natural leader. She has shown commendable commitment to her studies. To further support her academic growth, she is encouraged to seek clarification from peers and teachers whenever she encounters challenging concepts.</t>
  </si>
  <si>
    <t>Shadia Mahamuud</t>
  </si>
  <si>
    <t>Shadia is a brilliant and enthusiastic student and engages actively with her classmates. She has shown a strong passion for learning and a genuine eagerness to explore new academic knowledge. To maximise her academic potential, she is encouraged to continue seeking guidance from both her peers and teachers whenever necessary. Good effort.</t>
  </si>
  <si>
    <t>Aisha Patel</t>
  </si>
  <si>
    <t>Aisha is a resilient and dedicated student. She consistently demonstrates exceptional commitment to her studies and always aims high. She is encouraged to maintain this discipline; she will keep soaring high. She can consolidate her knowledge through practising past examination questions; this will strengthen her understanding of key concepts. Keep it up!</t>
  </si>
  <si>
    <t>Palini Sharma</t>
  </si>
  <si>
    <t>Palini is a dedicated and enthusiastic student and cooperatively engages well with her classmates. She has shown consistent commitment to her studies; however, she is encouraged to seek support from peers and teachers whenever she finds certain concepts challenging. To further improve her academic performance, especially in Mathematics and Business Studies, she should invest additional time in revision and practise using past examination papers.</t>
  </si>
  <si>
    <t>Alexandra Evelyn Temba</t>
  </si>
  <si>
    <t>Alexandra is not just brilliant but also dedicated. She is determined, always putting in effort to catch up on topics missed during the first three weeks of the semester. To fully reach her academic potential, she is encouraged to review foundational topics across all subjects, seek clarification from peers whenever needed, and regularly practise past examination questions. Good effort.</t>
  </si>
  <si>
    <t>Aarya Choubey</t>
  </si>
  <si>
    <r>
      <rPr>
        <rFont val="Arial"/>
        <color theme="1"/>
      </rPr>
      <t xml:space="preserve">Aarya has demonstrated noticeable improvement in her participation, particularly during morning mentorship sessions and class-based tasks. She has also shown commendable enthusiasm for wider school activities, including her willingness to take part in events such as the Student Council elections.
In English, Aarya exhibits strength in descriptive writing and is often able to craft vivid and engaging pieces. In Biology, she demonstrates the ability to connect theoretical content to real-life applications, frequently contributing relevant scenarios that enhance class discussion. These are valuable academic qualities that, if built upon consistently, can contribute to significant progress.
Despite these positive attributes, Aarya has continued to face academic challenges this year, and her overall performance has been affected by several recurring issues. These include missing scheduled lessons and assessments, inconsistent completion of assigned work, and insufficient study of previously covered material. In addition, she would benefit from developing a more positive and receptive attitude when receiving guidance from her teachers, as feedback is provided to support her growth and success.
To improve her academic standing, Aarya is encouraged to adopt a more disciplined and structured approach to her studies. Regular class attendance, daily revision, and consistent completion of tasks are essential. Working through past examination papers will help reinforce key concepts and improve examination technique. Given the gaps in foundational knowledge, engaging a private tutor in both English and Biology is strongly recommended to provide targeted support.
She is also encouraged to make use of high-quality study resources such as:
SaveMyExams.com
ZNotes
</t>
    </r>
    <r>
      <rPr>
        <rFont val="Arial"/>
        <color rgb="FF1155CC"/>
        <u/>
      </rPr>
      <t>PapaCambridge.com</t>
    </r>
  </si>
  <si>
    <t>Andy Muteba Dakwa</t>
  </si>
  <si>
    <r>
      <rPr>
        <rFont val="Arial"/>
        <color theme="1"/>
      </rPr>
      <t xml:space="preserve">Andy has been a valuable and positive presence in the classroom throughout the year. He is empathetic, supportive of class initiatives, and consistently contributes to creating a respectful and collaborative learning environment. His commitment to the wider school community, particularly through his service as Student Council President, is highly commendable and reflects strong leadership qualities.
In his subjects, he demonstrates some engagement with his learning. He actively participates in lessons, seeks clarification when needed, and provides thoughtful feedback. This level of involvement shows a willingness to improve and a genuine interest in the subject. However, he wastes a lot of time   chatting with friends during his free periods instead of studying.
To strengthen his academic performance further, Andy is encouraged to adopt a more structured and disciplined study approach. Creating and adhering to a study timetable will help ensure consistent syllabus coverage across all his subjects. He is also advised to make regular use of study resources, including:
SaveMyExams.com
ZNotes
</t>
    </r>
    <r>
      <rPr>
        <rFont val="Arial"/>
        <color rgb="FF1155CC"/>
        <u/>
      </rPr>
      <t>Papa Cambridge</t>
    </r>
  </si>
  <si>
    <t>ZHI CHAO HUANG</t>
  </si>
  <si>
    <t>N/A</t>
  </si>
  <si>
    <t>Sean Christus Mulikita</t>
  </si>
  <si>
    <t xml:space="preserve">Sean is a capable learner who has the potential to achieve exceptionally strong results when he applies discipline and focus. He demonstrates a willingness to learn, engages positively in lessons, and participates well in class initiatives. Across his subjects, he shows genuine interest and a desire to improve. However, he would benefit from seeking clarification more proactively and making fuller use of the support available from his teachers while in school. 
Despite his strengths, Sean’s academic performance has been hindered by inconsistent study habits. He often spends free periods socialising rather than dedicating time to revision, and this has had a noticeable impact on his progress, particularly in Biology and Chemistry. As has been discussed with him previously, the central challenge remains his lack of a consistent and disciplined study routine. He tends to rely heavily on what is covered directly in class and has not yet developed the level of independent study required at this stage. With limited time remaining before the board examinations, it is essential that we address this immediately. 
To strengthen his academic performance, Sean is strongly encouraged to adopt a structured and disciplined study plan. Establishing and following a clear study timetable will help ensure thorough and consistent syllabus coverage across all subjects. While his teachers will continue providing guidance, notes, and support, he should also make regular use of high-quality revision platforms, including: 
SaveMyExams.com 
ZNotes 
PapaCambridge 
With sustained commitment, focus, and improved independent study habits, Sean can make significant progress and position himself for success in his forthcoming examinations. 
</t>
  </si>
  <si>
    <t>Chansa Mwila</t>
  </si>
  <si>
    <t>Chansa is a quiet learner who shows a willingness to engage in both school and classroom initiatives. Throughout the year, he has been a positive and valuable presence in lessons, demonstrating interest in his subjects and a readiness to participate. He is generally engaged in his learning and displays a genuine desire to improve.
However, Chansa has not yet met expectations in English and Chemistry, and this is largely due to his inconsistent approach to study while in school, and not managing his time productivley. He frequently spends free periods socialising rather than using the time for revision and seeking clarity on unclear concepts, which has hindered his progress.
To strengthen his academic performance, Chansa is strongly encouraged to adopt a more structured and disciplined study habit. Developing and adhering to a clear study timetable will support consistent syllabus coverage across all of his subjects. Just as importantly, he should actively seek assistance in topics he finds challenging and request support where he needs it, this is something I have been encouraging him to do. While his teachers will continue to provide guidance, materials, and support, he is also advised to make regular use of study resources from:
SaveMyExams.com
ZNotes
PapaCambridge</t>
  </si>
  <si>
    <t>ID NO</t>
  </si>
  <si>
    <t>STUDENT NAME</t>
  </si>
  <si>
    <t>CLASS</t>
  </si>
  <si>
    <t>Subject</t>
  </si>
  <si>
    <t>Final Grade</t>
  </si>
  <si>
    <t>Position</t>
  </si>
  <si>
    <t>Class Average</t>
  </si>
  <si>
    <t>ART &amp; DESIGN</t>
  </si>
  <si>
    <t>PERFORMANCE</t>
  </si>
  <si>
    <t xml:space="preserve">             RESULTS SUMMARY</t>
  </si>
  <si>
    <t>Average Mark</t>
  </si>
  <si>
    <t>Subject Passed</t>
  </si>
  <si>
    <t>Subject Failed</t>
  </si>
  <si>
    <t>Position in class</t>
  </si>
  <si>
    <t>No.in Class</t>
  </si>
  <si>
    <t/>
  </si>
  <si>
    <t>CLASS TEACHER'S COMMENT:</t>
  </si>
  <si>
    <t>KEY TO GRADES</t>
  </si>
  <si>
    <t xml:space="preserve">KEY TO CREED </t>
  </si>
  <si>
    <t>RANGE(%)</t>
  </si>
  <si>
    <t>GRADE</t>
  </si>
  <si>
    <t>ACHIEVED</t>
  </si>
  <si>
    <t>DISTINCTION</t>
  </si>
  <si>
    <t>80-100</t>
  </si>
  <si>
    <t>MERIT</t>
  </si>
  <si>
    <t>CREDIT</t>
  </si>
  <si>
    <t>SATISFACTORY</t>
  </si>
  <si>
    <t>0-49</t>
  </si>
  <si>
    <t>UNSATISFACTORY</t>
  </si>
  <si>
    <t>N/A ….....NOT APPLICABLE</t>
  </si>
  <si>
    <t>0….........ABSENT/OPTIONAL</t>
  </si>
  <si>
    <t>Erick Mweba</t>
  </si>
  <si>
    <t>Teacher's Name</t>
  </si>
  <si>
    <t>Principal's Signature</t>
  </si>
  <si>
    <t>HOS Signature</t>
  </si>
  <si>
    <t>Rank</t>
  </si>
  <si>
    <t>Class average</t>
  </si>
  <si>
    <t>PERFOMANCE</t>
  </si>
  <si>
    <t>Manda Chishala</t>
  </si>
  <si>
    <t>Susan Wamundila</t>
  </si>
  <si>
    <t>Mary Thole</t>
  </si>
  <si>
    <t>George Sabiti</t>
  </si>
  <si>
    <t>Nathan Mwambazi</t>
  </si>
  <si>
    <t>Marks</t>
  </si>
  <si>
    <t>Remarks</t>
  </si>
  <si>
    <t>Pass/Fail</t>
  </si>
  <si>
    <t>Position/Rank</t>
  </si>
  <si>
    <t>Richard Mwanza</t>
  </si>
  <si>
    <t>Kapambwe Mulenga</t>
  </si>
  <si>
    <t>IGCSE 2</t>
  </si>
  <si>
    <t>Frank K. Mwasile</t>
  </si>
  <si>
    <t>Jabes Tembo</t>
  </si>
  <si>
    <t>Thokozile M. Bwalya</t>
  </si>
  <si>
    <t>LITERATURE</t>
  </si>
  <si>
    <t>EMPARTHY</t>
  </si>
  <si>
    <t>KEY TO GRADES-EXTENDED</t>
  </si>
  <si>
    <t>Hensley Chabinga</t>
  </si>
  <si>
    <t>A LEVEL</t>
  </si>
  <si>
    <t>Denny Sepiso</t>
  </si>
  <si>
    <t>Number</t>
  </si>
  <si>
    <t>GP</t>
  </si>
  <si>
    <t>Art</t>
  </si>
  <si>
    <t xml:space="preserve">            ENGLISH </t>
  </si>
  <si>
    <t xml:space="preserve">            MATH</t>
  </si>
  <si>
    <t>PHYSICS / SCIENCE</t>
  </si>
  <si>
    <t>BIOLOGY / ART</t>
  </si>
  <si>
    <t>PE / CS</t>
  </si>
  <si>
    <t xml:space="preserve"> GEOGRAPHY/ MDD /ACCOUNTS</t>
  </si>
  <si>
    <t>HISTORY/ SOCIAL STUDIES</t>
  </si>
  <si>
    <t>IT  /  ICT</t>
  </si>
  <si>
    <t>Class</t>
  </si>
  <si>
    <t>T 1</t>
  </si>
  <si>
    <t>T 2</t>
  </si>
  <si>
    <t>T 3</t>
  </si>
  <si>
    <t>T1</t>
  </si>
  <si>
    <t>T2</t>
  </si>
  <si>
    <t>T3</t>
  </si>
  <si>
    <t>Haardik Haardy Choubey</t>
  </si>
  <si>
    <t>TATENDA DUBE</t>
  </si>
  <si>
    <t>KING JOHN</t>
  </si>
  <si>
    <t>MARIA JUNE</t>
  </si>
  <si>
    <t>Isabella Kakokota</t>
  </si>
  <si>
    <t>Muini N'kuutxi</t>
  </si>
  <si>
    <t>MUSTAFA PARDESI</t>
  </si>
  <si>
    <t>JAD SHEHADE</t>
  </si>
  <si>
    <t>MALCOM TANATSWA MTSI</t>
  </si>
  <si>
    <t>XIYANG ZHANG</t>
  </si>
  <si>
    <t>MWENDALUBI MULEYA</t>
  </si>
  <si>
    <t>TAPIWA LUKAMA</t>
  </si>
  <si>
    <t>NATASHA NGULUBE</t>
  </si>
  <si>
    <t>UNFISA NAFEES</t>
  </si>
  <si>
    <t>HUUDA PATEL</t>
  </si>
  <si>
    <t>Ali Saad</t>
  </si>
  <si>
    <t>Abdullah</t>
  </si>
  <si>
    <t>Chikondi</t>
  </si>
  <si>
    <t>Deyannah</t>
  </si>
  <si>
    <t>Esanju</t>
  </si>
  <si>
    <t>Hamza</t>
  </si>
  <si>
    <t>Hilal</t>
  </si>
  <si>
    <t>Ibrahim</t>
  </si>
  <si>
    <t>James</t>
  </si>
  <si>
    <t>Jerome</t>
  </si>
  <si>
    <t>Joshua</t>
  </si>
  <si>
    <t>Josphat</t>
  </si>
  <si>
    <t>Khahinee</t>
  </si>
  <si>
    <t>Karim</t>
  </si>
  <si>
    <t>Kaylah</t>
  </si>
  <si>
    <t>Lulu</t>
  </si>
  <si>
    <t>Mela</t>
  </si>
  <si>
    <t>Mauwa</t>
  </si>
  <si>
    <t>Mutemwe</t>
  </si>
  <si>
    <t xml:space="preserve">Paul </t>
  </si>
  <si>
    <t>Raphael</t>
  </si>
  <si>
    <t>Simon</t>
  </si>
  <si>
    <t>Tapiwa</t>
  </si>
  <si>
    <t>FAKHRUDDIN AKBERALI</t>
  </si>
  <si>
    <t>Makumba Bwachya</t>
  </si>
  <si>
    <t>Ntanda Chabala</t>
  </si>
  <si>
    <t>KHALIL CHEHAB</t>
  </si>
  <si>
    <t>Isaiah Chiwoni</t>
  </si>
  <si>
    <t>EVANGELIA CHRONIS</t>
  </si>
  <si>
    <t>Fiza Dagha</t>
  </si>
  <si>
    <t>HASSAN Dakik</t>
  </si>
  <si>
    <t>THANDEKA DZIMWASHA</t>
  </si>
  <si>
    <t>Hussen Elali</t>
  </si>
  <si>
    <t>Yulara Kalidas</t>
  </si>
  <si>
    <t>IYAH KANTE</t>
  </si>
  <si>
    <t>MUHANNAD KHAZAAL</t>
  </si>
  <si>
    <t>Peter Kimathi</t>
  </si>
  <si>
    <t>ABDULFAHMAN MOSALIM</t>
  </si>
  <si>
    <t>Busuma Mulenga</t>
  </si>
  <si>
    <t>JOSHUA MUZANDU</t>
  </si>
  <si>
    <t>Huzeefa Nafees</t>
  </si>
  <si>
    <t>MOHAMMAD NAHLE</t>
  </si>
  <si>
    <t>Dabwiso Ndlovu</t>
  </si>
  <si>
    <t>Yala N'kutxi</t>
  </si>
  <si>
    <t>Razeen Patel</t>
  </si>
  <si>
    <t>AMAL SAAD</t>
  </si>
  <si>
    <t>Alisha Sillitoe</t>
  </si>
  <si>
    <t>ZAHRAA Yeyha</t>
  </si>
  <si>
    <t>Tarisai Zimindo</t>
  </si>
  <si>
    <t>STEPHANIE ROSE BWALYA</t>
  </si>
  <si>
    <t>MILENKO DUCIC</t>
  </si>
  <si>
    <t>DELIGHT IROULO</t>
  </si>
  <si>
    <t>HUSSEIN JAWAD</t>
  </si>
  <si>
    <t>ASEEL KAEDBEY</t>
  </si>
  <si>
    <t>NERBERT KATAMBO</t>
  </si>
  <si>
    <t>Ameliyah Khan</t>
  </si>
  <si>
    <t>ANOUSHKA KUTENHA</t>
  </si>
  <si>
    <t>Chisomo Malambo</t>
  </si>
  <si>
    <t>CHOOLWE MIZINGA</t>
  </si>
  <si>
    <t>YASMEN MOKHTAR</t>
  </si>
  <si>
    <t>AHANA NAIR</t>
  </si>
  <si>
    <t>Daniel Rumsey</t>
  </si>
  <si>
    <t>Housein Siblin</t>
  </si>
  <si>
    <t>Jason Yff</t>
  </si>
  <si>
    <t>SABRINA ABDULLAHI</t>
  </si>
  <si>
    <t>Malik Blumears</t>
  </si>
  <si>
    <t>BWALYA CHANDA</t>
  </si>
  <si>
    <t>Sibongile Chilambwe</t>
  </si>
  <si>
    <t>Daniel Jedburghj</t>
  </si>
  <si>
    <t>Kateka Kateka</t>
  </si>
  <si>
    <t>Sikapoto Lwiito</t>
  </si>
  <si>
    <t>Namonda Muyangwa</t>
  </si>
  <si>
    <t>Thobile Nkunika</t>
  </si>
  <si>
    <t>TAPEWA PHIRI</t>
  </si>
  <si>
    <t>ADAM SAAD</t>
  </si>
  <si>
    <t>Chipego Sialwindi</t>
  </si>
  <si>
    <t>THULANI SITALI</t>
  </si>
  <si>
    <t>Bacharie Swima</t>
  </si>
  <si>
    <t>ESHAN TAJ</t>
  </si>
  <si>
    <t>Milstead Tiago</t>
  </si>
  <si>
    <t>SARA ALI Burhan</t>
  </si>
  <si>
    <t>AYAAN AZIZ</t>
  </si>
  <si>
    <t>HUSSEIN EL MAAZ</t>
  </si>
  <si>
    <t>CHUBO KABENDE</t>
  </si>
  <si>
    <t>Aydin Khan</t>
  </si>
  <si>
    <t>Alfred Malijani Kunda</t>
  </si>
  <si>
    <t>NALEDI MAPOSA</t>
  </si>
  <si>
    <t>KAMIMA MTONGA</t>
  </si>
  <si>
    <t>Luumuno Mweemba</t>
  </si>
  <si>
    <t>ISRAA NASSOUR</t>
  </si>
  <si>
    <t>Lwenji N'kutxi</t>
  </si>
  <si>
    <t>TEMBO ROMANA</t>
  </si>
  <si>
    <t>ANANYA SHUKLA</t>
  </si>
  <si>
    <t>RUDO SIMBAYI</t>
  </si>
  <si>
    <t>NSENTHAKA SOKO</t>
  </si>
  <si>
    <t>SHAHARAN THAPA</t>
  </si>
  <si>
    <t>Ava Weir</t>
  </si>
  <si>
    <t>Abdiasis Abdulle</t>
  </si>
  <si>
    <t>Iman Bath</t>
  </si>
  <si>
    <t>Kapesa Buna</t>
  </si>
  <si>
    <t>SHEKINAH CHANDA</t>
  </si>
  <si>
    <t>Alessio Charriere</t>
  </si>
  <si>
    <t>CELINE CHEHADE</t>
  </si>
  <si>
    <t>YUXUAN CHEN</t>
  </si>
  <si>
    <t>Nomasizwe Chunga</t>
  </si>
  <si>
    <t>Lucas De John</t>
  </si>
  <si>
    <t>PROSPER IROULO</t>
  </si>
  <si>
    <t>Heiley Kanobana</t>
  </si>
  <si>
    <t>MICHEAL MARCARIUS</t>
  </si>
  <si>
    <t>Fabiana Marques</t>
  </si>
  <si>
    <t>Katlego Mulenga</t>
  </si>
  <si>
    <t>AADHYA NAIR</t>
  </si>
  <si>
    <t>Tunji Namaiko</t>
  </si>
  <si>
    <t>NASSOUR NOUR</t>
  </si>
  <si>
    <t>JANA OSSAILY</t>
  </si>
  <si>
    <t>YASHVI PATEL</t>
  </si>
  <si>
    <t>Macarius Rezk</t>
  </si>
  <si>
    <t>Omar Saadi</t>
  </si>
  <si>
    <t>ETHAN SAMPA</t>
  </si>
  <si>
    <t>SALIFYANJI SIAME</t>
  </si>
  <si>
    <t>Alexia Viner</t>
  </si>
  <si>
    <t>Olivia Woodford</t>
  </si>
  <si>
    <t>Hadi Akbar</t>
  </si>
  <si>
    <t>FARUK AZIZ</t>
  </si>
  <si>
    <t>MOHAMMAD CHEHAB</t>
  </si>
  <si>
    <t>KAWTHAR DAKIK</t>
  </si>
  <si>
    <t>Jad Ossaily Hussein</t>
  </si>
  <si>
    <t>Jayson Jhala</t>
  </si>
  <si>
    <t>Aisha Jinwala</t>
  </si>
  <si>
    <t>Wongani Kanche</t>
  </si>
  <si>
    <t>Chellah Malan</t>
  </si>
  <si>
    <t>Thandulenge Mhlanga</t>
  </si>
  <si>
    <t>Mary Nachamba</t>
  </si>
  <si>
    <t>AMRITANJALI NAIR</t>
  </si>
  <si>
    <t>Kutemwa Nyirongo</t>
  </si>
  <si>
    <t>Amaan Pardesi</t>
  </si>
  <si>
    <t>Blumears Reyhan</t>
  </si>
  <si>
    <t>Zahraa Saadi</t>
  </si>
  <si>
    <t>Mumbilwe Sakala</t>
  </si>
  <si>
    <t>ASHER SAMPA</t>
  </si>
  <si>
    <t>Likith Sangalapalli</t>
  </si>
  <si>
    <t>Nicola Shimwambwa</t>
  </si>
  <si>
    <t>Themba Simutende</t>
  </si>
  <si>
    <t>SHANNEL SIMUYI</t>
  </si>
  <si>
    <t>Maria Syalwindi</t>
  </si>
  <si>
    <t>Aarefa Ujjainwala</t>
  </si>
  <si>
    <t>Blake Van Jaaroveld</t>
  </si>
  <si>
    <t>Caiden Woods</t>
  </si>
  <si>
    <t>Taonga Tembo</t>
  </si>
  <si>
    <t xml:space="preserve"> nnnnb</t>
  </si>
  <si>
    <t>YEARLY REPORT CARD</t>
  </si>
  <si>
    <t>ID NO.</t>
  </si>
  <si>
    <t xml:space="preserve">NAME:                                                                                       CLASS:                                                         YEAR:                                </t>
  </si>
  <si>
    <t>CLASS:</t>
  </si>
  <si>
    <t>YEAR:</t>
  </si>
  <si>
    <t>STATUS:</t>
  </si>
  <si>
    <t>TERM ONE EXAMS</t>
  </si>
  <si>
    <t>TERM TWO EXAMS</t>
  </si>
  <si>
    <t>TERM THREE EXAMS</t>
  </si>
  <si>
    <t>POSITION :</t>
  </si>
  <si>
    <t>SUBJECT</t>
  </si>
  <si>
    <t>MARKS</t>
  </si>
  <si>
    <t>GRADES</t>
  </si>
  <si>
    <t>STATUS</t>
  </si>
  <si>
    <t>CS</t>
  </si>
  <si>
    <t>CLASS TEACHER SIGN: …..............................................</t>
  </si>
  <si>
    <t>PRINCIPAL SIGN: …..........................................</t>
  </si>
  <si>
    <t>HEAD OF SCHOOL SIGN: …............................................</t>
  </si>
</sst>
</file>

<file path=xl/styles.xml><?xml version="1.0" encoding="utf-8"?>
<styleSheet xmlns="http://schemas.openxmlformats.org/spreadsheetml/2006/main" xmlns:x14ac="http://schemas.microsoft.com/office/spreadsheetml/2009/9/ac" xmlns:mc="http://schemas.openxmlformats.org/markup-compatibility/2006">
  <fonts count="64">
    <font>
      <sz val="10.0"/>
      <color rgb="FF000000"/>
      <name val="Arial"/>
      <scheme val="minor"/>
    </font>
    <font>
      <sz val="9.0"/>
      <color theme="1"/>
      <name val="Arial"/>
      <scheme val="minor"/>
    </font>
    <font>
      <sz val="10.0"/>
      <color rgb="FF000000"/>
      <name val="Arial"/>
    </font>
    <font>
      <sz val="16.0"/>
      <color theme="0"/>
      <name val="Times New Roman"/>
    </font>
    <font>
      <sz val="24.0"/>
      <color theme="0"/>
      <name val="Times New Roman"/>
    </font>
    <font/>
    <font>
      <sz val="14.0"/>
      <color theme="0"/>
      <name val="Times New Roman"/>
    </font>
    <font>
      <u/>
      <sz val="10.0"/>
      <color rgb="FF0000FF"/>
      <name val="Arial"/>
    </font>
    <font>
      <u/>
      <sz val="10.0"/>
      <color rgb="FF0000FF"/>
      <name val="Arial"/>
    </font>
    <font>
      <color theme="1"/>
      <name val="Arial"/>
    </font>
    <font>
      <b/>
      <sz val="16.0"/>
      <color theme="1"/>
      <name val="Arial"/>
    </font>
    <font>
      <b/>
      <sz val="19.0"/>
      <color theme="1"/>
      <name val="Arial"/>
    </font>
    <font>
      <b/>
      <color theme="1"/>
      <name val="Arial"/>
    </font>
    <font>
      <b/>
      <sz val="10.0"/>
      <color theme="1"/>
      <name val="Arial"/>
    </font>
    <font>
      <b/>
      <sz val="10.0"/>
      <color rgb="FFFF0000"/>
      <name val="Arial"/>
    </font>
    <font>
      <sz val="10.0"/>
      <color theme="1"/>
      <name val="Arial"/>
    </font>
    <font>
      <sz val="11.0"/>
      <color theme="1"/>
      <name val="Calibri"/>
    </font>
    <font>
      <sz val="11.0"/>
      <color rgb="FF000000"/>
      <name val="Calibri"/>
    </font>
    <font>
      <color rgb="FF000000"/>
      <name val="Calibri"/>
    </font>
    <font>
      <sz val="12.0"/>
      <color theme="1"/>
      <name val="Arial"/>
    </font>
    <font>
      <sz val="12.0"/>
      <color rgb="FF000000"/>
      <name val="Times New Roman"/>
    </font>
    <font>
      <sz val="12.0"/>
      <color theme="1"/>
      <name val="&quot;Times New Roman&quot;"/>
    </font>
    <font>
      <sz val="12.0"/>
      <color theme="1"/>
      <name val="Times New Roman"/>
    </font>
    <font>
      <color rgb="FF000000"/>
      <name val="Arial"/>
    </font>
    <font>
      <u/>
      <sz val="10.0"/>
      <color rgb="FF0000FF"/>
      <name val="Arial"/>
    </font>
    <font>
      <sz val="10.0"/>
      <color rgb="FF0F1115"/>
      <name val="Arial"/>
    </font>
    <font>
      <sz val="10.0"/>
      <color theme="1"/>
      <name val="Calibri"/>
    </font>
    <font>
      <color theme="1"/>
      <name val="Arial"/>
      <scheme val="minor"/>
    </font>
    <font>
      <color rgb="FF000000"/>
      <name val="Arimo"/>
    </font>
    <font>
      <sz val="10.0"/>
      <color rgb="FFFF0000"/>
      <name val="Arial"/>
    </font>
    <font>
      <color rgb="FFFF0000"/>
      <name val="Calibri"/>
    </font>
    <font>
      <sz val="11.0"/>
      <color rgb="FF000000"/>
      <name val="Arial"/>
    </font>
    <font>
      <sz val="12.0"/>
      <color theme="1"/>
      <name val="&quot;Arial&quot;"/>
    </font>
    <font>
      <b/>
      <sz val="12.0"/>
      <color theme="1"/>
      <name val="&quot;Arial&quot;"/>
    </font>
    <font>
      <sz val="12.0"/>
      <color rgb="FF000000"/>
      <name val="Arial"/>
    </font>
    <font>
      <b/>
      <color rgb="FFFF0000"/>
      <name val="Arial"/>
    </font>
    <font>
      <sz val="12.0"/>
      <color theme="1"/>
      <name val="&quot;Calibri&quot;"/>
    </font>
    <font>
      <sz val="11.0"/>
      <color theme="1"/>
      <name val="Cambria"/>
    </font>
    <font>
      <sz val="10.0"/>
      <color rgb="FF0000FF"/>
      <name val="Arial"/>
    </font>
    <font>
      <u/>
      <color theme="1"/>
      <name val="Arial"/>
    </font>
    <font>
      <b/>
      <sz val="12.0"/>
      <color rgb="FF000000"/>
      <name val="Arial"/>
    </font>
    <font>
      <b/>
      <sz val="14.0"/>
      <color rgb="FF000000"/>
      <name val="Arial"/>
    </font>
    <font>
      <b/>
      <sz val="14.0"/>
      <color rgb="FF000000"/>
      <name val="Times New Roman"/>
    </font>
    <font>
      <sz val="14.0"/>
      <color rgb="FF000000"/>
      <name val="Arial"/>
    </font>
    <font>
      <b/>
      <sz val="19.0"/>
      <color rgb="FF000000"/>
      <name val="Times New Roman"/>
    </font>
    <font>
      <b/>
      <sz val="15.0"/>
      <color rgb="FF000000"/>
      <name val="Times New Roman"/>
    </font>
    <font>
      <b/>
      <sz val="15.0"/>
      <color rgb="FF000000"/>
      <name val="Arial"/>
    </font>
    <font>
      <b/>
      <sz val="17.0"/>
      <color rgb="FF000000"/>
      <name val="Times New Roman"/>
    </font>
    <font>
      <b/>
      <sz val="10.0"/>
      <color rgb="FF000000"/>
      <name val="Arial"/>
    </font>
    <font>
      <sz val="11.0"/>
      <color theme="1"/>
      <name val="Arial"/>
    </font>
    <font>
      <b/>
      <sz val="13.0"/>
      <color theme="1"/>
      <name val="Arial"/>
    </font>
    <font>
      <sz val="13.0"/>
      <color theme="1"/>
      <name val="Arial"/>
    </font>
    <font>
      <sz val="9.0"/>
      <color rgb="FF000000"/>
      <name val="Arial"/>
    </font>
    <font>
      <b/>
      <sz val="11.0"/>
      <color theme="1"/>
      <name val="Calibri"/>
    </font>
    <font>
      <b/>
      <sz val="13.0"/>
      <color rgb="FF000000"/>
      <name val="Arial"/>
    </font>
    <font>
      <b/>
      <sz val="16.0"/>
      <color rgb="FF000000"/>
      <name val="Times New Roman"/>
    </font>
    <font>
      <b/>
      <sz val="18.0"/>
      <color rgb="FF000000"/>
      <name val="Times New Roman"/>
    </font>
    <font>
      <b/>
      <sz val="12.0"/>
      <color rgb="FF000000"/>
      <name val="Times New Roman"/>
    </font>
    <font>
      <b/>
      <sz val="11.0"/>
      <color rgb="FF000000"/>
      <name val="Times New Roman"/>
    </font>
    <font>
      <b/>
      <sz val="10.0"/>
      <color rgb="FF000000"/>
      <name val="Times New Roman"/>
    </font>
    <font>
      <b/>
      <sz val="13.0"/>
      <color rgb="FF000000"/>
      <name val="Times New Roman"/>
    </font>
    <font>
      <sz val="13.0"/>
      <color rgb="FF000000"/>
      <name val="Arial"/>
    </font>
    <font>
      <b/>
      <color theme="1"/>
      <name val="Arial"/>
      <scheme val="minor"/>
    </font>
    <font>
      <b/>
      <sz val="20.0"/>
      <color rgb="FF000000"/>
      <name val="Arial"/>
    </font>
  </fonts>
  <fills count="34">
    <fill>
      <patternFill patternType="none"/>
    </fill>
    <fill>
      <patternFill patternType="lightGray"/>
    </fill>
    <fill>
      <patternFill patternType="solid">
        <fgColor theme="0"/>
        <bgColor theme="0"/>
      </patternFill>
    </fill>
    <fill>
      <patternFill patternType="solid">
        <fgColor rgb="FF1F6166"/>
        <bgColor rgb="FF1F6166"/>
      </patternFill>
    </fill>
    <fill>
      <patternFill patternType="solid">
        <fgColor rgb="FFB4E4E8"/>
        <bgColor rgb="FFB4E4E8"/>
      </patternFill>
    </fill>
    <fill>
      <patternFill patternType="solid">
        <fgColor rgb="FF4A86E8"/>
        <bgColor rgb="FF4A86E8"/>
      </patternFill>
    </fill>
    <fill>
      <patternFill patternType="solid">
        <fgColor rgb="FFF4CCCC"/>
        <bgColor rgb="FFF4CCCC"/>
      </patternFill>
    </fill>
    <fill>
      <patternFill patternType="solid">
        <fgColor rgb="FFA2C4C9"/>
        <bgColor rgb="FFA2C4C9"/>
      </patternFill>
    </fill>
    <fill>
      <patternFill patternType="solid">
        <fgColor rgb="FFD5A6BD"/>
        <bgColor rgb="FFD5A6BD"/>
      </patternFill>
    </fill>
    <fill>
      <patternFill patternType="solid">
        <fgColor rgb="FF6FA8DC"/>
        <bgColor rgb="FF6FA8DC"/>
      </patternFill>
    </fill>
    <fill>
      <patternFill patternType="solid">
        <fgColor rgb="FFB6D7A8"/>
        <bgColor rgb="FFB6D7A8"/>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B7B7B7"/>
        <bgColor rgb="FFB7B7B7"/>
      </patternFill>
    </fill>
    <fill>
      <patternFill patternType="solid">
        <fgColor rgb="FF7F6000"/>
        <bgColor rgb="FF7F6000"/>
      </patternFill>
    </fill>
    <fill>
      <patternFill patternType="solid">
        <fgColor rgb="FFBF9000"/>
        <bgColor rgb="FFBF9000"/>
      </patternFill>
    </fill>
    <fill>
      <patternFill patternType="solid">
        <fgColor rgb="FF6AA84F"/>
        <bgColor rgb="FF6AA84F"/>
      </patternFill>
    </fill>
    <fill>
      <patternFill patternType="solid">
        <fgColor rgb="FFA64D79"/>
        <bgColor rgb="FFA64D79"/>
      </patternFill>
    </fill>
    <fill>
      <patternFill patternType="solid">
        <fgColor rgb="FFC27BA0"/>
        <bgColor rgb="FFC27BA0"/>
      </patternFill>
    </fill>
    <fill>
      <patternFill patternType="solid">
        <fgColor rgb="FF0000FF"/>
        <bgColor rgb="FF0000FF"/>
      </patternFill>
    </fill>
    <fill>
      <patternFill patternType="solid">
        <fgColor rgb="FFFFFF00"/>
        <bgColor rgb="FFFFFF00"/>
      </patternFill>
    </fill>
    <fill>
      <patternFill patternType="solid">
        <fgColor rgb="FF00FFFF"/>
        <bgColor rgb="FF00FFFF"/>
      </patternFill>
    </fill>
    <fill>
      <patternFill patternType="solid">
        <fgColor rgb="FFE6B8AF"/>
        <bgColor rgb="FFE6B8AF"/>
      </patternFill>
    </fill>
    <fill>
      <patternFill patternType="solid">
        <fgColor rgb="FF9900FF"/>
        <bgColor rgb="FF9900FF"/>
      </patternFill>
    </fill>
    <fill>
      <patternFill patternType="solid">
        <fgColor rgb="FFFF00FF"/>
        <bgColor rgb="FFFF00FF"/>
      </patternFill>
    </fill>
    <fill>
      <patternFill patternType="solid">
        <fgColor rgb="FFCC4125"/>
        <bgColor rgb="FFCC4125"/>
      </patternFill>
    </fill>
    <fill>
      <patternFill patternType="solid">
        <fgColor rgb="FFA5A5A5"/>
        <bgColor rgb="FFA5A5A5"/>
      </patternFill>
    </fill>
    <fill>
      <patternFill patternType="solid">
        <fgColor rgb="FFBC8D03"/>
        <bgColor rgb="FFBC8D03"/>
      </patternFill>
    </fill>
    <fill>
      <patternFill patternType="solid">
        <fgColor rgb="FFD9F1F3"/>
        <bgColor rgb="FFD9F1F3"/>
      </patternFill>
    </fill>
  </fills>
  <borders count="51">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top/>
      <bottom/>
    </border>
    <border>
      <top/>
      <bottom/>
    </border>
    <border>
      <left style="medium">
        <color rgb="FF000000"/>
      </left>
    </border>
    <border>
      <right style="medium">
        <color rgb="FF000000"/>
      </righ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right/>
      <bottom/>
    </border>
    <border>
      <left/>
      <right/>
      <top/>
    </border>
    <border>
      <right/>
      <top/>
      <bottom/>
    </border>
    <border>
      <left/>
      <right/>
    </border>
    <border>
      <right/>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top/>
    </border>
    <border>
      <left style="thin">
        <color rgb="FF000000"/>
      </left>
      <top style="thin">
        <color rgb="FF000000"/>
      </top>
    </border>
    <border>
      <top style="thin">
        <color rgb="FF000000"/>
      </top>
    </border>
    <border>
      <right style="thin">
        <color rgb="FF000000"/>
      </right>
      <top style="thin">
        <color rgb="FF000000"/>
      </top>
    </border>
    <border>
      <right style="medium">
        <color rgb="FF000000"/>
      </right>
      <top style="thin">
        <color rgb="FF000000"/>
      </top>
    </border>
    <border>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thin">
        <color rgb="FF000000"/>
      </bottom>
    </border>
    <border>
      <right style="medium">
        <color rgb="FF000000"/>
      </right>
      <bottom style="thin">
        <color rgb="FF000000"/>
      </bottom>
    </border>
    <border>
      <left/>
      <top/>
    </border>
    <border>
      <left style="thin">
        <color rgb="FF000000"/>
      </left>
      <right style="thin">
        <color rgb="FF000000"/>
      </right>
    </border>
    <border>
      <left style="thin">
        <color theme="1"/>
      </left>
      <right style="thin">
        <color theme="1"/>
      </right>
      <top style="thin">
        <color theme="1"/>
      </top>
      <bottom style="thin">
        <color theme="1"/>
      </bottom>
    </border>
    <border>
      <left style="thin">
        <color theme="1"/>
      </left>
      <top style="thin">
        <color theme="1"/>
      </top>
      <bottom style="thin">
        <color theme="1"/>
      </bottom>
    </border>
    <border>
      <top style="thin">
        <color theme="1"/>
      </top>
      <bottom style="thin">
        <color theme="1"/>
      </bottom>
    </border>
    <border>
      <right style="thin">
        <color theme="1"/>
      </right>
      <top style="thin">
        <color theme="1"/>
      </top>
      <bottom style="thin">
        <color theme="1"/>
      </bottom>
    </border>
  </borders>
  <cellStyleXfs count="1">
    <xf borderId="0" fillId="0" fontId="0" numFmtId="0" applyAlignment="1" applyFont="1"/>
  </cellStyleXfs>
  <cellXfs count="47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2" fillId="3" fontId="3" numFmtId="0" xfId="0" applyBorder="1" applyFill="1" applyFont="1"/>
    <xf borderId="3" fillId="3" fontId="2" numFmtId="0" xfId="0" applyBorder="1" applyFont="1"/>
    <xf borderId="4" fillId="3" fontId="2" numFmtId="0" xfId="0" applyBorder="1" applyFont="1"/>
    <xf borderId="5" fillId="3" fontId="2" numFmtId="0" xfId="0" applyBorder="1" applyFont="1"/>
    <xf borderId="1" fillId="3" fontId="2" numFmtId="0" xfId="0" applyBorder="1" applyFont="1"/>
    <xf borderId="6" fillId="3" fontId="2" numFmtId="0" xfId="0" applyBorder="1" applyFont="1"/>
    <xf borderId="7" fillId="3" fontId="4" numFmtId="0" xfId="0" applyAlignment="1" applyBorder="1" applyFont="1">
      <alignment horizontal="center"/>
    </xf>
    <xf borderId="8" fillId="0" fontId="5" numFmtId="0" xfId="0" applyBorder="1" applyFont="1"/>
    <xf borderId="7" fillId="3" fontId="6" numFmtId="0" xfId="0" applyAlignment="1" applyBorder="1" applyFont="1">
      <alignment horizontal="center"/>
    </xf>
    <xf borderId="9" fillId="0" fontId="2" numFmtId="0" xfId="0" applyBorder="1" applyFont="1"/>
    <xf borderId="10" fillId="0" fontId="2" numFmtId="0" xfId="0" applyBorder="1" applyFont="1"/>
    <xf borderId="5" fillId="4" fontId="2" numFmtId="0" xfId="0" applyBorder="1" applyFill="1" applyFont="1"/>
    <xf borderId="1" fillId="4" fontId="2" numFmtId="0" xfId="0" applyBorder="1" applyFont="1"/>
    <xf borderId="6" fillId="4" fontId="2" numFmtId="0" xfId="0" applyBorder="1" applyFont="1"/>
    <xf borderId="5" fillId="4" fontId="7" numFmtId="0" xfId="0" applyBorder="1" applyFont="1"/>
    <xf borderId="1" fillId="4" fontId="8" numFmtId="0" xfId="0" applyBorder="1" applyFont="1"/>
    <xf borderId="0" fillId="4" fontId="9" numFmtId="0" xfId="0" applyFont="1"/>
    <xf borderId="11" fillId="4" fontId="2" numFmtId="0" xfId="0" applyBorder="1" applyFont="1"/>
    <xf borderId="12" fillId="4" fontId="2" numFmtId="0" xfId="0" applyBorder="1" applyFont="1"/>
    <xf borderId="13" fillId="4" fontId="2" numFmtId="0" xfId="0" applyBorder="1" applyFont="1"/>
    <xf borderId="0" fillId="0" fontId="10" numFmtId="0" xfId="0" applyFont="1"/>
    <xf borderId="0" fillId="0" fontId="11" numFmtId="0" xfId="0" applyFont="1"/>
    <xf borderId="14" fillId="0" fontId="12" numFmtId="0" xfId="0" applyBorder="1" applyFont="1"/>
    <xf borderId="0" fillId="0" fontId="12" numFmtId="0" xfId="0" applyFont="1"/>
    <xf borderId="14" fillId="0" fontId="13" numFmtId="0" xfId="0" applyBorder="1" applyFont="1"/>
    <xf borderId="14" fillId="0" fontId="13" numFmtId="1" xfId="0" applyAlignment="1" applyBorder="1" applyFont="1" applyNumberFormat="1">
      <alignment horizontal="left"/>
    </xf>
    <xf borderId="14" fillId="0" fontId="14" numFmtId="0" xfId="0" applyBorder="1" applyFont="1"/>
    <xf borderId="0" fillId="0" fontId="10" numFmtId="0" xfId="0" applyAlignment="1" applyFont="1">
      <alignment readingOrder="0"/>
    </xf>
    <xf borderId="0" fillId="0" fontId="14" numFmtId="0" xfId="0" applyFont="1"/>
    <xf borderId="0" fillId="0" fontId="14" numFmtId="1" xfId="0" applyAlignment="1" applyFont="1" applyNumberFormat="1">
      <alignment horizontal="left"/>
    </xf>
    <xf borderId="0" fillId="0" fontId="13" numFmtId="1" xfId="0" applyAlignment="1" applyFont="1" applyNumberFormat="1">
      <alignment horizontal="left"/>
    </xf>
    <xf borderId="14" fillId="0" fontId="13" numFmtId="0" xfId="0" applyAlignment="1" applyBorder="1" applyFont="1">
      <alignment horizontal="left"/>
    </xf>
    <xf borderId="14" fillId="0" fontId="14" numFmtId="1" xfId="0" applyAlignment="1" applyBorder="1" applyFont="1" applyNumberFormat="1">
      <alignment horizontal="left"/>
    </xf>
    <xf borderId="0" fillId="0" fontId="2" numFmtId="0" xfId="0" applyAlignment="1" applyFont="1">
      <alignment readingOrder="0"/>
    </xf>
    <xf borderId="0" fillId="0" fontId="15" numFmtId="0" xfId="0" applyFont="1"/>
    <xf borderId="0" fillId="2" fontId="15" numFmtId="0" xfId="0" applyAlignment="1" applyFont="1">
      <alignment horizontal="left"/>
    </xf>
    <xf borderId="0" fillId="0" fontId="15" numFmtId="0" xfId="0" applyAlignment="1" applyFont="1">
      <alignment horizontal="left"/>
    </xf>
    <xf borderId="0" fillId="0" fontId="2" numFmtId="0" xfId="0" applyFont="1"/>
    <xf borderId="0" fillId="0" fontId="15" numFmtId="1" xfId="0" applyFont="1" applyNumberFormat="1"/>
    <xf borderId="14" fillId="0" fontId="2" numFmtId="0" xfId="0" applyBorder="1" applyFont="1"/>
    <xf borderId="14" fillId="0" fontId="15" numFmtId="0" xfId="0" applyBorder="1" applyFont="1"/>
    <xf borderId="15" fillId="5" fontId="15" numFmtId="0" xfId="0" applyAlignment="1" applyBorder="1" applyFill="1" applyFont="1">
      <alignment horizontal="left"/>
    </xf>
    <xf borderId="16" fillId="0" fontId="5" numFmtId="0" xfId="0" applyBorder="1" applyFont="1"/>
    <xf borderId="17" fillId="0" fontId="5" numFmtId="0" xfId="0" applyBorder="1" applyFont="1"/>
    <xf borderId="15" fillId="6" fontId="15" numFmtId="0" xfId="0" applyAlignment="1" applyBorder="1" applyFill="1" applyFont="1">
      <alignment horizontal="left"/>
    </xf>
    <xf borderId="15" fillId="7" fontId="15" numFmtId="0" xfId="0" applyAlignment="1" applyBorder="1" applyFill="1" applyFont="1">
      <alignment horizontal="left"/>
    </xf>
    <xf borderId="15" fillId="8" fontId="15" numFmtId="0" xfId="0" applyAlignment="1" applyBorder="1" applyFill="1" applyFont="1">
      <alignment horizontal="left" readingOrder="0"/>
    </xf>
    <xf borderId="15" fillId="9" fontId="15" numFmtId="0" xfId="0" applyAlignment="1" applyBorder="1" applyFill="1" applyFont="1">
      <alignment horizontal="left"/>
    </xf>
    <xf borderId="15" fillId="10" fontId="15" numFmtId="0" xfId="0" applyAlignment="1" applyBorder="1" applyFill="1" applyFont="1">
      <alignment horizontal="left"/>
    </xf>
    <xf borderId="15" fillId="6" fontId="9" numFmtId="0" xfId="0" applyAlignment="1" applyBorder="1" applyFont="1">
      <alignment vertical="bottom"/>
    </xf>
    <xf borderId="15" fillId="11" fontId="9" numFmtId="0" xfId="0" applyAlignment="1" applyBorder="1" applyFill="1" applyFont="1">
      <alignment vertical="bottom"/>
    </xf>
    <xf borderId="15" fillId="12" fontId="9" numFmtId="0" xfId="0" applyAlignment="1" applyBorder="1" applyFill="1" applyFont="1">
      <alignment vertical="bottom"/>
    </xf>
    <xf borderId="15" fillId="13" fontId="9" numFmtId="0" xfId="0" applyAlignment="1" applyBorder="1" applyFill="1" applyFont="1">
      <alignment vertical="bottom"/>
    </xf>
    <xf borderId="14" fillId="2" fontId="15" numFmtId="0" xfId="0" applyAlignment="1" applyBorder="1" applyFont="1">
      <alignment horizontal="left"/>
    </xf>
    <xf borderId="14" fillId="2" fontId="15" numFmtId="1" xfId="0" applyAlignment="1" applyBorder="1" applyFont="1" applyNumberFormat="1">
      <alignment horizontal="left"/>
    </xf>
    <xf borderId="18" fillId="14" fontId="9" numFmtId="0" xfId="0" applyAlignment="1" applyBorder="1" applyFill="1" applyFont="1">
      <alignment vertical="bottom"/>
    </xf>
    <xf borderId="19" fillId="14" fontId="9" numFmtId="0" xfId="0" applyAlignment="1" applyBorder="1" applyFont="1">
      <alignment vertical="bottom"/>
    </xf>
    <xf borderId="14" fillId="14" fontId="9" numFmtId="0" xfId="0" applyAlignment="1" applyBorder="1" applyFont="1">
      <alignment vertical="bottom"/>
    </xf>
    <xf borderId="0" fillId="0" fontId="9" numFmtId="1" xfId="0" applyFont="1" applyNumberFormat="1"/>
    <xf borderId="14" fillId="14" fontId="16" numFmtId="0" xfId="0" applyAlignment="1" applyBorder="1" applyFont="1">
      <alignment readingOrder="0" vertical="bottom"/>
    </xf>
    <xf borderId="14" fillId="0" fontId="17" numFmtId="0" xfId="0" applyAlignment="1" applyBorder="1" applyFont="1">
      <alignment horizontal="left" readingOrder="0" shrinkToFit="0" vertical="bottom" wrapText="0"/>
    </xf>
    <xf borderId="14" fillId="0" fontId="18" numFmtId="0" xfId="0" applyAlignment="1" applyBorder="1" applyFont="1">
      <alignment horizontal="right" readingOrder="0" vertical="bottom"/>
    </xf>
    <xf borderId="17" fillId="0" fontId="18" numFmtId="0" xfId="0" applyAlignment="1" applyBorder="1" applyFont="1">
      <alignment horizontal="right" readingOrder="0" vertical="bottom"/>
    </xf>
    <xf borderId="14" fillId="2" fontId="15" numFmtId="0" xfId="0" applyAlignment="1" applyBorder="1" applyFont="1">
      <alignment horizontal="left" readingOrder="0"/>
    </xf>
    <xf borderId="18" fillId="14" fontId="9" numFmtId="0" xfId="0" applyAlignment="1" applyBorder="1" applyFont="1">
      <alignment readingOrder="0" vertical="bottom"/>
    </xf>
    <xf borderId="19" fillId="14" fontId="9" numFmtId="0" xfId="0" applyAlignment="1" applyBorder="1" applyFont="1">
      <alignment readingOrder="0" vertical="bottom"/>
    </xf>
    <xf borderId="14" fillId="0" fontId="19" numFmtId="0" xfId="0" applyAlignment="1" applyBorder="1" applyFont="1">
      <alignment readingOrder="0" vertical="top"/>
    </xf>
    <xf borderId="14" fillId="0" fontId="18" numFmtId="1" xfId="0" applyAlignment="1" applyBorder="1" applyFont="1" applyNumberFormat="1">
      <alignment horizontal="right" readingOrder="0" vertical="bottom"/>
    </xf>
    <xf borderId="19" fillId="14" fontId="9" numFmtId="1" xfId="0" applyAlignment="1" applyBorder="1" applyFont="1" applyNumberFormat="1">
      <alignment vertical="bottom"/>
    </xf>
    <xf borderId="14" fillId="0" fontId="15" numFmtId="0" xfId="0" applyAlignment="1" applyBorder="1" applyFont="1">
      <alignment horizontal="left"/>
    </xf>
    <xf borderId="14" fillId="0" fontId="15" numFmtId="0" xfId="0" applyAlignment="1" applyBorder="1" applyFont="1">
      <alignment horizontal="left" readingOrder="0"/>
    </xf>
    <xf borderId="14" fillId="0" fontId="20" numFmtId="0" xfId="0" applyAlignment="1" applyBorder="1" applyFont="1">
      <alignment readingOrder="0" vertical="bottom"/>
    </xf>
    <xf borderId="18" fillId="0" fontId="18" numFmtId="0" xfId="0" applyAlignment="1" applyBorder="1" applyFont="1">
      <alignment horizontal="right" readingOrder="0" vertical="bottom"/>
    </xf>
    <xf borderId="19" fillId="0" fontId="18" numFmtId="0" xfId="0" applyAlignment="1" applyBorder="1" applyFont="1">
      <alignment horizontal="right" readingOrder="0" vertical="bottom"/>
    </xf>
    <xf borderId="14" fillId="15" fontId="15" numFmtId="0" xfId="0" applyAlignment="1" applyBorder="1" applyFill="1" applyFont="1">
      <alignment horizontal="left"/>
    </xf>
    <xf borderId="18" fillId="0" fontId="19" numFmtId="0" xfId="0" applyAlignment="1" applyBorder="1" applyFont="1">
      <alignment readingOrder="0" vertical="top"/>
    </xf>
    <xf borderId="18" fillId="0" fontId="18" numFmtId="1" xfId="0" applyAlignment="1" applyBorder="1" applyFont="1" applyNumberFormat="1">
      <alignment horizontal="right" readingOrder="0" vertical="bottom"/>
    </xf>
    <xf borderId="0" fillId="0" fontId="21" numFmtId="0" xfId="0" applyAlignment="1" applyFont="1">
      <alignment readingOrder="0"/>
    </xf>
    <xf borderId="0" fillId="0" fontId="9" numFmtId="0" xfId="0" applyAlignment="1" applyFont="1">
      <alignment readingOrder="0"/>
    </xf>
    <xf borderId="0" fillId="0" fontId="22" numFmtId="0" xfId="0" applyAlignment="1" applyFont="1">
      <alignment readingOrder="0"/>
    </xf>
    <xf borderId="14" fillId="0" fontId="9" numFmtId="0" xfId="0" applyAlignment="1" applyBorder="1" applyFont="1">
      <alignment readingOrder="0"/>
    </xf>
    <xf borderId="0" fillId="0" fontId="9" numFmtId="1" xfId="0" applyAlignment="1" applyFont="1" applyNumberFormat="1">
      <alignment readingOrder="0"/>
    </xf>
    <xf borderId="19" fillId="0" fontId="17" numFmtId="0" xfId="0" applyAlignment="1" applyBorder="1" applyFont="1">
      <alignment readingOrder="0" vertical="bottom"/>
    </xf>
    <xf borderId="18" fillId="0" fontId="17" numFmtId="0" xfId="0" applyAlignment="1" applyBorder="1" applyFont="1">
      <alignment readingOrder="0" vertical="bottom"/>
    </xf>
    <xf borderId="14" fillId="0" fontId="18" numFmtId="0" xfId="0" applyAlignment="1" applyBorder="1" applyFont="1">
      <alignment readingOrder="0" vertical="bottom"/>
    </xf>
    <xf borderId="14" fillId="0" fontId="17" numFmtId="0" xfId="0" applyAlignment="1" applyBorder="1" applyFont="1">
      <alignment horizontal="left" shrinkToFit="0" vertical="bottom" wrapText="0"/>
    </xf>
    <xf borderId="18" fillId="0" fontId="18" numFmtId="0" xfId="0" applyAlignment="1" applyBorder="1" applyFont="1">
      <alignment horizontal="right" vertical="bottom"/>
    </xf>
    <xf borderId="19" fillId="0" fontId="18" numFmtId="0" xfId="0" applyAlignment="1" applyBorder="1" applyFont="1">
      <alignment horizontal="right" vertical="bottom"/>
    </xf>
    <xf borderId="18" fillId="0" fontId="19" numFmtId="0" xfId="0" applyAlignment="1" applyBorder="1" applyFont="1">
      <alignment vertical="top"/>
    </xf>
    <xf borderId="0" fillId="14" fontId="23" numFmtId="0" xfId="0" applyAlignment="1" applyFont="1">
      <alignment horizontal="left"/>
    </xf>
    <xf borderId="18" fillId="0" fontId="23" numFmtId="0" xfId="0" applyAlignment="1" applyBorder="1" applyFont="1">
      <alignment vertical="bottom"/>
    </xf>
    <xf borderId="18" fillId="0" fontId="18" numFmtId="0" xfId="0" applyAlignment="1" applyBorder="1" applyFont="1">
      <alignment readingOrder="0" vertical="bottom"/>
    </xf>
    <xf borderId="18" fillId="0" fontId="18" numFmtId="0" xfId="0" applyAlignment="1" applyBorder="1" applyFont="1">
      <alignment vertical="bottom"/>
    </xf>
    <xf borderId="14" fillId="0" fontId="2" numFmtId="0" xfId="0" applyAlignment="1" applyBorder="1" applyFont="1">
      <alignment shrinkToFit="0" wrapText="1"/>
    </xf>
    <xf borderId="0" fillId="0" fontId="17" numFmtId="0" xfId="0" applyAlignment="1" applyFont="1">
      <alignment shrinkToFit="0" wrapText="1"/>
    </xf>
    <xf borderId="1" fillId="2" fontId="15" numFmtId="0" xfId="0" applyAlignment="1" applyBorder="1" applyFont="1">
      <alignment horizontal="left"/>
    </xf>
    <xf borderId="0" fillId="0" fontId="15" numFmtId="1" xfId="0" applyAlignment="1" applyFont="1" applyNumberFormat="1">
      <alignment horizontal="left"/>
    </xf>
    <xf borderId="0" fillId="14" fontId="9" numFmtId="1" xfId="0" applyAlignment="1" applyFont="1" applyNumberFormat="1">
      <alignment vertical="bottom"/>
    </xf>
    <xf borderId="0" fillId="0" fontId="13" numFmtId="0" xfId="0" applyFont="1"/>
    <xf borderId="1" fillId="2" fontId="13" numFmtId="1" xfId="0" applyAlignment="1" applyBorder="1" applyFont="1" applyNumberFormat="1">
      <alignment horizontal="left"/>
    </xf>
    <xf borderId="0" fillId="2" fontId="13" numFmtId="0" xfId="0" applyAlignment="1" applyFont="1">
      <alignment horizontal="left"/>
    </xf>
    <xf borderId="1" fillId="2" fontId="13" numFmtId="0" xfId="0" applyAlignment="1" applyBorder="1" applyFont="1">
      <alignment horizontal="left"/>
    </xf>
    <xf borderId="0" fillId="0" fontId="13" numFmtId="0" xfId="0" applyAlignment="1" applyFont="1">
      <alignment horizontal="left"/>
    </xf>
    <xf borderId="0" fillId="0" fontId="13" numFmtId="1" xfId="0" applyFont="1" applyNumberFormat="1"/>
    <xf borderId="1" fillId="2" fontId="14" numFmtId="1" xfId="0" applyAlignment="1" applyBorder="1" applyFont="1" applyNumberFormat="1">
      <alignment horizontal="left"/>
    </xf>
    <xf borderId="0" fillId="2" fontId="14" numFmtId="0" xfId="0" applyAlignment="1" applyFont="1">
      <alignment horizontal="left"/>
    </xf>
    <xf borderId="1" fillId="2" fontId="14" numFmtId="0" xfId="0" applyAlignment="1" applyBorder="1" applyFont="1">
      <alignment horizontal="left"/>
    </xf>
    <xf borderId="0" fillId="0" fontId="14" numFmtId="0" xfId="0" applyAlignment="1" applyFont="1">
      <alignment horizontal="left"/>
    </xf>
    <xf borderId="0" fillId="0" fontId="14" numFmtId="1" xfId="0" applyFont="1" applyNumberFormat="1"/>
    <xf borderId="0" fillId="2" fontId="15" numFmtId="0" xfId="0" applyAlignment="1" applyFont="1">
      <alignment horizontal="left" readingOrder="0"/>
    </xf>
    <xf borderId="0" fillId="0" fontId="9" numFmtId="0" xfId="0" applyFont="1"/>
    <xf borderId="0" fillId="0" fontId="16" numFmtId="0" xfId="0" applyAlignment="1" applyFont="1">
      <alignment vertical="bottom"/>
    </xf>
    <xf borderId="0" fillId="0" fontId="16" numFmtId="0" xfId="0" applyAlignment="1" applyFont="1">
      <alignment horizontal="right" vertical="bottom"/>
    </xf>
    <xf borderId="0" fillId="0" fontId="9" numFmtId="0" xfId="0" applyAlignment="1" applyFont="1">
      <alignment vertical="bottom"/>
    </xf>
    <xf borderId="0" fillId="0" fontId="9" numFmtId="0" xfId="0" applyAlignment="1" applyFont="1">
      <alignment horizontal="right" vertical="bottom"/>
    </xf>
    <xf borderId="0" fillId="0" fontId="24" numFmtId="0" xfId="0" applyFont="1"/>
    <xf borderId="15" fillId="7" fontId="15" numFmtId="1" xfId="0" applyAlignment="1" applyBorder="1" applyFont="1" applyNumberFormat="1">
      <alignment horizontal="left"/>
    </xf>
    <xf borderId="14" fillId="2" fontId="15" numFmtId="1" xfId="0" applyAlignment="1" applyBorder="1" applyFont="1" applyNumberFormat="1">
      <alignment horizontal="left" readingOrder="0"/>
    </xf>
    <xf borderId="14" fillId="0" fontId="2" numFmtId="0" xfId="0" applyAlignment="1" applyBorder="1" applyFont="1">
      <alignment readingOrder="0"/>
    </xf>
    <xf borderId="0" fillId="0" fontId="15" numFmtId="0" xfId="0" applyAlignment="1" applyFont="1">
      <alignment readingOrder="0"/>
    </xf>
    <xf borderId="14" fillId="14" fontId="9" numFmtId="0" xfId="0" applyAlignment="1" applyBorder="1" applyFont="1">
      <alignment readingOrder="0" vertical="bottom"/>
    </xf>
    <xf borderId="0" fillId="14" fontId="25" numFmtId="0" xfId="0" applyAlignment="1" applyFont="1">
      <alignment readingOrder="0"/>
    </xf>
    <xf borderId="19" fillId="0" fontId="9" numFmtId="0" xfId="0" applyAlignment="1" applyBorder="1" applyFont="1">
      <alignment readingOrder="0"/>
    </xf>
    <xf borderId="20" fillId="0" fontId="9" numFmtId="0" xfId="0" applyAlignment="1" applyBorder="1" applyFont="1">
      <alignment readingOrder="0"/>
    </xf>
    <xf borderId="14" fillId="2" fontId="26" numFmtId="0" xfId="0" applyAlignment="1" applyBorder="1" applyFont="1">
      <alignment horizontal="left" readingOrder="0"/>
    </xf>
    <xf borderId="0" fillId="14" fontId="9" numFmtId="0" xfId="0" applyAlignment="1" applyFont="1">
      <alignment vertical="bottom"/>
    </xf>
    <xf borderId="0" fillId="0" fontId="27" numFmtId="0" xfId="0" applyAlignment="1" applyFont="1">
      <alignment readingOrder="0"/>
    </xf>
    <xf borderId="0" fillId="0" fontId="27" numFmtId="1" xfId="0" applyFont="1" applyNumberFormat="1"/>
    <xf borderId="0" fillId="2" fontId="15" numFmtId="1" xfId="0" applyAlignment="1" applyFont="1" applyNumberFormat="1">
      <alignment horizontal="left"/>
    </xf>
    <xf borderId="0" fillId="0" fontId="2" numFmtId="0" xfId="0" applyAlignment="1" applyFont="1">
      <alignment shrinkToFit="0" wrapText="1"/>
    </xf>
    <xf borderId="14" fillId="0" fontId="28" numFmtId="0" xfId="0" applyAlignment="1" applyBorder="1" applyFont="1">
      <alignment horizontal="right" readingOrder="0"/>
    </xf>
    <xf borderId="14" fillId="0" fontId="9" numFmtId="0" xfId="0" applyAlignment="1" applyBorder="1" applyFont="1">
      <alignment readingOrder="0" vertical="bottom"/>
    </xf>
    <xf borderId="14" fillId="0" fontId="2" numFmtId="0" xfId="0" applyAlignment="1" applyBorder="1" applyFont="1">
      <alignment readingOrder="0" shrinkToFit="0" wrapText="1"/>
    </xf>
    <xf borderId="14" fillId="0" fontId="29" numFmtId="0" xfId="0" applyBorder="1" applyFont="1"/>
    <xf borderId="18" fillId="0" fontId="30" numFmtId="0" xfId="0" applyAlignment="1" applyBorder="1" applyFont="1">
      <alignment readingOrder="0" vertical="bottom"/>
    </xf>
    <xf borderId="14" fillId="2" fontId="29" numFmtId="0" xfId="0" applyAlignment="1" applyBorder="1" applyFont="1">
      <alignment horizontal="left" readingOrder="0"/>
    </xf>
    <xf borderId="14" fillId="2" fontId="29" numFmtId="1" xfId="0" applyAlignment="1" applyBorder="1" applyFont="1" applyNumberFormat="1">
      <alignment horizontal="left" readingOrder="0"/>
    </xf>
    <xf borderId="14" fillId="2" fontId="29" numFmtId="1" xfId="0" applyAlignment="1" applyBorder="1" applyFont="1" applyNumberFormat="1">
      <alignment horizontal="left"/>
    </xf>
    <xf borderId="0" fillId="0" fontId="31" numFmtId="0" xfId="0" applyAlignment="1" applyFont="1">
      <alignment readingOrder="0" shrinkToFit="0" wrapText="1"/>
    </xf>
    <xf borderId="14" fillId="0" fontId="23" numFmtId="0" xfId="0" applyAlignment="1" applyBorder="1" applyFont="1">
      <alignment horizontal="right" readingOrder="0"/>
    </xf>
    <xf borderId="0" fillId="0" fontId="9" numFmtId="0" xfId="0" applyAlignment="1" applyFont="1">
      <alignment readingOrder="0" shrinkToFit="0" wrapText="1"/>
    </xf>
    <xf borderId="14" fillId="0" fontId="17" numFmtId="0" xfId="0" applyAlignment="1" applyBorder="1" applyFont="1">
      <alignment shrinkToFit="0" wrapText="1"/>
    </xf>
    <xf borderId="18" fillId="14" fontId="9" numFmtId="1" xfId="0" applyAlignment="1" applyBorder="1" applyFont="1" applyNumberFormat="1">
      <alignment vertical="bottom"/>
    </xf>
    <xf borderId="0" fillId="0" fontId="27" numFmtId="0" xfId="0" applyAlignment="1" applyFont="1">
      <alignment shrinkToFit="0" wrapText="1"/>
    </xf>
    <xf borderId="0" fillId="2" fontId="13" numFmtId="1" xfId="0" applyAlignment="1" applyFont="1" applyNumberFormat="1">
      <alignment horizontal="left"/>
    </xf>
    <xf borderId="0" fillId="2" fontId="14" numFmtId="1" xfId="0" applyAlignment="1" applyFont="1" applyNumberFormat="1">
      <alignment horizontal="left"/>
    </xf>
    <xf borderId="15" fillId="12" fontId="15" numFmtId="0" xfId="0" applyAlignment="1" applyBorder="1" applyFont="1">
      <alignment vertical="bottom"/>
    </xf>
    <xf borderId="18" fillId="14" fontId="15" numFmtId="0" xfId="0" applyAlignment="1" applyBorder="1" applyFont="1">
      <alignment vertical="bottom"/>
    </xf>
    <xf borderId="14" fillId="0" fontId="18" numFmtId="0" xfId="0" applyAlignment="1" applyBorder="1" applyFont="1">
      <alignment readingOrder="0" shrinkToFit="0" vertical="bottom" wrapText="1"/>
    </xf>
    <xf borderId="14" fillId="2" fontId="15" numFmtId="0" xfId="0" applyAlignment="1" applyBorder="1" applyFont="1">
      <alignment horizontal="left" readingOrder="0" shrinkToFit="0" wrapText="1"/>
    </xf>
    <xf borderId="14" fillId="2" fontId="15" numFmtId="0" xfId="0" applyAlignment="1" applyBorder="1" applyFont="1">
      <alignment horizontal="left" shrinkToFit="0" wrapText="1"/>
    </xf>
    <xf borderId="14" fillId="0" fontId="28" numFmtId="0" xfId="0" applyAlignment="1" applyBorder="1" applyFont="1">
      <alignment horizontal="right" readingOrder="0" shrinkToFit="0" wrapText="1"/>
    </xf>
    <xf borderId="18" fillId="14" fontId="9" numFmtId="0" xfId="0" applyAlignment="1" applyBorder="1" applyFont="1">
      <alignment readingOrder="0" shrinkToFit="0" vertical="bottom" wrapText="1"/>
    </xf>
    <xf borderId="19" fillId="14" fontId="9" numFmtId="0" xfId="0" applyAlignment="1" applyBorder="1" applyFont="1">
      <alignment readingOrder="0" shrinkToFit="0" vertical="bottom" wrapText="1"/>
    </xf>
    <xf borderId="19" fillId="14" fontId="9" numFmtId="0" xfId="0" applyAlignment="1" applyBorder="1" applyFont="1">
      <alignment shrinkToFit="0" vertical="bottom" wrapText="1"/>
    </xf>
    <xf borderId="14" fillId="0" fontId="18" numFmtId="0" xfId="0" applyAlignment="1" applyBorder="1" applyFont="1">
      <alignment horizontal="right" readingOrder="0" shrinkToFit="0" vertical="bottom" wrapText="1"/>
    </xf>
    <xf borderId="17" fillId="0" fontId="18" numFmtId="0" xfId="0" applyAlignment="1" applyBorder="1" applyFont="1">
      <alignment horizontal="right" readingOrder="0" shrinkToFit="0" vertical="bottom" wrapText="1"/>
    </xf>
    <xf borderId="14" fillId="0" fontId="15" numFmtId="0" xfId="0" applyAlignment="1" applyBorder="1" applyFont="1">
      <alignment horizontal="left" readingOrder="0" shrinkToFit="0" vertical="top" wrapText="1"/>
    </xf>
    <xf borderId="14" fillId="2" fontId="15" numFmtId="1" xfId="0" applyAlignment="1" applyBorder="1" applyFont="1" applyNumberFormat="1">
      <alignment horizontal="left" shrinkToFit="0" wrapText="1"/>
    </xf>
    <xf borderId="14" fillId="0" fontId="15" numFmtId="0" xfId="0" applyAlignment="1" applyBorder="1" applyFont="1">
      <alignment horizontal="left" shrinkToFit="0" wrapText="1"/>
    </xf>
    <xf borderId="18" fillId="0" fontId="15" numFmtId="0" xfId="0" applyAlignment="1" applyBorder="1" applyFont="1">
      <alignment horizontal="left" readingOrder="0" vertical="top"/>
    </xf>
    <xf borderId="14" fillId="15" fontId="15" numFmtId="0" xfId="0" applyAlignment="1" applyBorder="1" applyFont="1">
      <alignment horizontal="left" shrinkToFit="0" wrapText="1"/>
    </xf>
    <xf borderId="0" fillId="0" fontId="27" numFmtId="0" xfId="0" applyAlignment="1" applyFont="1">
      <alignment readingOrder="0" shrinkToFit="0" wrapText="1"/>
    </xf>
    <xf borderId="14" fillId="0" fontId="17" numFmtId="0" xfId="0" applyAlignment="1" applyBorder="1" applyFont="1">
      <alignment readingOrder="0"/>
    </xf>
    <xf borderId="18" fillId="0" fontId="18" numFmtId="0" xfId="0" applyAlignment="1" applyBorder="1" applyFont="1">
      <alignment readingOrder="0" shrinkToFit="0" vertical="bottom" wrapText="1"/>
    </xf>
    <xf borderId="14" fillId="0" fontId="23" numFmtId="0" xfId="0" applyAlignment="1" applyBorder="1" applyFont="1">
      <alignment horizontal="right" readingOrder="0" shrinkToFit="0" wrapText="1"/>
    </xf>
    <xf borderId="18" fillId="0" fontId="18" numFmtId="0" xfId="0" applyAlignment="1" applyBorder="1" applyFont="1">
      <alignment horizontal="right" readingOrder="0" shrinkToFit="0" vertical="bottom" wrapText="1"/>
    </xf>
    <xf borderId="19" fillId="0" fontId="18" numFmtId="0" xfId="0" applyAlignment="1" applyBorder="1" applyFont="1">
      <alignment horizontal="right" readingOrder="0" shrinkToFit="0" vertical="bottom" wrapText="1"/>
    </xf>
    <xf borderId="18" fillId="0" fontId="15" numFmtId="0" xfId="0" applyAlignment="1" applyBorder="1" applyFont="1">
      <alignment horizontal="left" readingOrder="0" shrinkToFit="0" vertical="top" wrapText="1"/>
    </xf>
    <xf borderId="14" fillId="0" fontId="28" numFmtId="0" xfId="0" applyAlignment="1" applyBorder="1" applyFont="1">
      <alignment horizontal="right"/>
    </xf>
    <xf borderId="18" fillId="0" fontId="15" numFmtId="0" xfId="0" applyAlignment="1" applyBorder="1" applyFont="1">
      <alignment horizontal="left" vertical="top"/>
    </xf>
    <xf borderId="0" fillId="0" fontId="9" numFmtId="0" xfId="0" applyAlignment="1" applyFont="1">
      <alignment shrinkToFit="0" wrapText="1"/>
    </xf>
    <xf borderId="14" fillId="0" fontId="23" numFmtId="0" xfId="0" applyAlignment="1" applyBorder="1" applyFont="1">
      <alignment horizontal="right"/>
    </xf>
    <xf borderId="14" fillId="0" fontId="9" numFmtId="0" xfId="0" applyAlignment="1" applyBorder="1" applyFont="1">
      <alignment vertical="bottom"/>
    </xf>
    <xf borderId="14" fillId="0" fontId="19" numFmtId="0" xfId="0" applyAlignment="1" applyBorder="1" applyFont="1">
      <alignment readingOrder="0" shrinkToFit="0" vertical="top" wrapText="1"/>
    </xf>
    <xf borderId="0" fillId="0" fontId="32" numFmtId="0" xfId="0" applyAlignment="1" applyFont="1">
      <alignment readingOrder="0" shrinkToFit="0" wrapText="1"/>
    </xf>
    <xf borderId="18" fillId="0" fontId="19" numFmtId="0" xfId="0" applyAlignment="1" applyBorder="1" applyFont="1">
      <alignment readingOrder="0" shrinkToFit="0" vertical="top" wrapText="1"/>
    </xf>
    <xf borderId="0" fillId="0" fontId="32" numFmtId="0" xfId="0" applyAlignment="1" applyFont="1">
      <alignment readingOrder="0"/>
    </xf>
    <xf borderId="0" fillId="0" fontId="33" numFmtId="0" xfId="0" applyAlignment="1" applyFont="1">
      <alignment readingOrder="0" shrinkToFit="0" wrapText="1"/>
    </xf>
    <xf borderId="14" fillId="0" fontId="34" numFmtId="0" xfId="0" applyAlignment="1" applyBorder="1" applyFont="1">
      <alignment readingOrder="0" shrinkToFit="0" wrapText="1"/>
    </xf>
    <xf borderId="14" fillId="0" fontId="17" numFmtId="0" xfId="0" applyAlignment="1" applyBorder="1" applyFont="1">
      <alignment readingOrder="0" shrinkToFit="0" wrapText="1"/>
    </xf>
    <xf borderId="0" fillId="0" fontId="12" numFmtId="1" xfId="0" applyAlignment="1" applyFont="1" applyNumberFormat="1">
      <alignment vertical="bottom"/>
    </xf>
    <xf borderId="0" fillId="0" fontId="12" numFmtId="0" xfId="0" applyAlignment="1" applyFont="1">
      <alignment vertical="bottom"/>
    </xf>
    <xf borderId="0" fillId="0" fontId="35" numFmtId="1" xfId="0" applyAlignment="1" applyFont="1" applyNumberFormat="1">
      <alignment vertical="bottom"/>
    </xf>
    <xf borderId="0" fillId="0" fontId="15" numFmtId="3" xfId="0" applyAlignment="1" applyFont="1" applyNumberFormat="1">
      <alignment horizontal="center"/>
    </xf>
    <xf borderId="0" fillId="0" fontId="15" numFmtId="0" xfId="0" applyAlignment="1" applyFont="1">
      <alignment horizontal="center"/>
    </xf>
    <xf borderId="14" fillId="2" fontId="15" numFmtId="3" xfId="0" applyAlignment="1" applyBorder="1" applyFont="1" applyNumberFormat="1">
      <alignment horizontal="center"/>
    </xf>
    <xf borderId="14" fillId="2" fontId="15" numFmtId="0" xfId="0" applyAlignment="1" applyBorder="1" applyFont="1">
      <alignment horizontal="center"/>
    </xf>
    <xf borderId="14" fillId="0" fontId="9" numFmtId="1" xfId="0" applyBorder="1" applyFont="1" applyNumberFormat="1"/>
    <xf borderId="14" fillId="0" fontId="9" numFmtId="0" xfId="0" applyBorder="1" applyFont="1"/>
    <xf borderId="14" fillId="0" fontId="9" numFmtId="0" xfId="0" applyAlignment="1" applyBorder="1" applyFont="1">
      <alignment shrinkToFit="0" wrapText="1"/>
    </xf>
    <xf borderId="14" fillId="2" fontId="15" numFmtId="3" xfId="0" applyAlignment="1" applyBorder="1" applyFont="1" applyNumberFormat="1">
      <alignment horizontal="center" readingOrder="0"/>
    </xf>
    <xf borderId="14" fillId="2" fontId="15" numFmtId="0" xfId="0" applyAlignment="1" applyBorder="1" applyFont="1">
      <alignment horizontal="center" readingOrder="0"/>
    </xf>
    <xf borderId="14" fillId="2" fontId="15" numFmtId="3" xfId="0" applyAlignment="1" applyBorder="1" applyFont="1" applyNumberFormat="1">
      <alignment horizontal="left"/>
    </xf>
    <xf borderId="14" fillId="0" fontId="17" numFmtId="0" xfId="0" applyAlignment="1" applyBorder="1" applyFont="1">
      <alignment horizontal="right" readingOrder="0" shrinkToFit="0" vertical="bottom" wrapText="0"/>
    </xf>
    <xf borderId="0" fillId="0" fontId="36" numFmtId="0" xfId="0" applyAlignment="1" applyFont="1">
      <alignment readingOrder="0" shrinkToFit="0" wrapText="1"/>
    </xf>
    <xf borderId="0" fillId="0" fontId="36" numFmtId="0" xfId="0" applyAlignment="1" applyFont="1">
      <alignment readingOrder="0"/>
    </xf>
    <xf borderId="14" fillId="0" fontId="28" numFmtId="3" xfId="0" applyAlignment="1" applyBorder="1" applyFont="1" applyNumberFormat="1">
      <alignment horizontal="center" readingOrder="0"/>
    </xf>
    <xf borderId="14" fillId="0" fontId="28" numFmtId="0" xfId="0" applyAlignment="1" applyBorder="1" applyFont="1">
      <alignment horizontal="center" readingOrder="0"/>
    </xf>
    <xf borderId="14" fillId="2" fontId="13" numFmtId="0" xfId="0" applyAlignment="1" applyBorder="1" applyFont="1">
      <alignment horizontal="left" readingOrder="0"/>
    </xf>
    <xf borderId="14" fillId="0" fontId="23" numFmtId="3" xfId="0" applyAlignment="1" applyBorder="1" applyFont="1" applyNumberFormat="1">
      <alignment horizontal="center" readingOrder="0"/>
    </xf>
    <xf borderId="14" fillId="0" fontId="23" numFmtId="0" xfId="0" applyAlignment="1" applyBorder="1" applyFont="1">
      <alignment horizontal="center" readingOrder="0"/>
    </xf>
    <xf borderId="14" fillId="14" fontId="9" numFmtId="1" xfId="0" applyAlignment="1" applyBorder="1" applyFont="1" applyNumberFormat="1">
      <alignment readingOrder="0" vertical="bottom"/>
    </xf>
    <xf borderId="14" fillId="14" fontId="9" numFmtId="1" xfId="0" applyAlignment="1" applyBorder="1" applyFont="1" applyNumberFormat="1">
      <alignment vertical="bottom"/>
    </xf>
    <xf borderId="14" fillId="0" fontId="2" numFmtId="0" xfId="0" applyAlignment="1" applyBorder="1" applyFont="1">
      <alignment horizontal="left" readingOrder="0"/>
    </xf>
    <xf borderId="14" fillId="0" fontId="27" numFmtId="0" xfId="0" applyAlignment="1" applyBorder="1" applyFont="1">
      <alignment readingOrder="0"/>
    </xf>
    <xf borderId="14" fillId="0" fontId="27" numFmtId="0" xfId="0" applyBorder="1" applyFont="1"/>
    <xf borderId="0" fillId="0" fontId="23" numFmtId="3" xfId="0" applyAlignment="1" applyFont="1" applyNumberFormat="1">
      <alignment horizontal="center"/>
    </xf>
    <xf borderId="0" fillId="0" fontId="23" numFmtId="0" xfId="0" applyAlignment="1" applyFont="1">
      <alignment horizontal="center"/>
    </xf>
    <xf borderId="21" fillId="2" fontId="15" numFmtId="0" xfId="0" applyAlignment="1" applyBorder="1" applyFont="1">
      <alignment horizontal="left"/>
    </xf>
    <xf borderId="0" fillId="0" fontId="13" numFmtId="3" xfId="0" applyAlignment="1" applyFont="1" applyNumberFormat="1">
      <alignment horizontal="center"/>
    </xf>
    <xf borderId="0" fillId="0" fontId="13" numFmtId="0" xfId="0" applyAlignment="1" applyFont="1">
      <alignment horizontal="center"/>
    </xf>
    <xf borderId="0" fillId="0" fontId="14" numFmtId="3" xfId="0" applyAlignment="1" applyFont="1" applyNumberFormat="1">
      <alignment horizontal="center"/>
    </xf>
    <xf borderId="0" fillId="0" fontId="14" numFmtId="0" xfId="0" applyAlignment="1" applyFont="1">
      <alignment horizontal="center"/>
    </xf>
    <xf borderId="0" fillId="0" fontId="9" numFmtId="3" xfId="0" applyAlignment="1" applyFont="1" applyNumberFormat="1">
      <alignment horizontal="center"/>
    </xf>
    <xf borderId="0" fillId="0" fontId="9" numFmtId="0" xfId="0" applyAlignment="1" applyFont="1">
      <alignment horizontal="center"/>
    </xf>
    <xf borderId="14" fillId="16" fontId="15" numFmtId="0" xfId="0" applyAlignment="1" applyBorder="1" applyFill="1" applyFont="1">
      <alignment horizontal="left"/>
    </xf>
    <xf borderId="14" fillId="17" fontId="15" numFmtId="0" xfId="0" applyAlignment="1" applyBorder="1" applyFill="1" applyFont="1">
      <alignment horizontal="left"/>
    </xf>
    <xf borderId="14" fillId="18" fontId="15" numFmtId="0" xfId="0" applyAlignment="1" applyBorder="1" applyFill="1" applyFont="1">
      <alignment horizontal="left"/>
    </xf>
    <xf borderId="14" fillId="19" fontId="15" numFmtId="0" xfId="0" applyAlignment="1" applyBorder="1" applyFill="1" applyFont="1">
      <alignment horizontal="left"/>
    </xf>
    <xf borderId="14" fillId="20" fontId="15" numFmtId="0" xfId="0" applyAlignment="1" applyBorder="1" applyFill="1" applyFont="1">
      <alignment horizontal="left" readingOrder="0"/>
    </xf>
    <xf borderId="14" fillId="20" fontId="15" numFmtId="0" xfId="0" applyAlignment="1" applyBorder="1" applyFont="1">
      <alignment horizontal="left"/>
    </xf>
    <xf borderId="14" fillId="21" fontId="15" numFmtId="0" xfId="0" applyAlignment="1" applyBorder="1" applyFill="1" applyFont="1">
      <alignment horizontal="left"/>
    </xf>
    <xf borderId="14" fillId="21" fontId="15" numFmtId="0" xfId="0" applyAlignment="1" applyBorder="1" applyFont="1">
      <alignment horizontal="left" readingOrder="0"/>
    </xf>
    <xf borderId="14" fillId="5" fontId="15" numFmtId="0" xfId="0" applyAlignment="1" applyBorder="1" applyFont="1">
      <alignment horizontal="left"/>
    </xf>
    <xf borderId="14" fillId="22" fontId="15" numFmtId="0" xfId="0" applyAlignment="1" applyBorder="1" applyFill="1" applyFont="1">
      <alignment horizontal="left"/>
    </xf>
    <xf borderId="14" fillId="22" fontId="15" numFmtId="0" xfId="0" applyBorder="1" applyFont="1"/>
    <xf borderId="14" fillId="23" fontId="15" numFmtId="0" xfId="0" applyBorder="1" applyFill="1" applyFont="1"/>
    <xf borderId="0" fillId="0" fontId="9" numFmtId="0" xfId="0" applyAlignment="1" applyFont="1">
      <alignment vertical="bottom"/>
    </xf>
    <xf borderId="14" fillId="0" fontId="15" numFmtId="0" xfId="0" applyAlignment="1" applyBorder="1" applyFont="1">
      <alignment horizontal="right" readingOrder="0"/>
    </xf>
    <xf borderId="14" fillId="0" fontId="15" numFmtId="1" xfId="0" applyAlignment="1" applyBorder="1" applyFont="1" applyNumberFormat="1">
      <alignment horizontal="left"/>
    </xf>
    <xf borderId="14" fillId="0" fontId="15" numFmtId="0" xfId="0" applyAlignment="1" applyBorder="1" applyFont="1">
      <alignment readingOrder="0"/>
    </xf>
    <xf borderId="14" fillId="0" fontId="9" numFmtId="0" xfId="0" applyAlignment="1" applyBorder="1" applyFont="1">
      <alignment readingOrder="0" shrinkToFit="0" wrapText="1"/>
    </xf>
    <xf borderId="14" fillId="0" fontId="2" numFmtId="0" xfId="0" applyAlignment="1" applyBorder="1" applyFont="1">
      <alignment horizontal="left"/>
    </xf>
    <xf borderId="21" fillId="2" fontId="13" numFmtId="1" xfId="0" applyAlignment="1" applyBorder="1" applyFont="1" applyNumberFormat="1">
      <alignment horizontal="left"/>
    </xf>
    <xf borderId="21" fillId="2" fontId="13" numFmtId="0" xfId="0" applyAlignment="1" applyBorder="1" applyFont="1">
      <alignment horizontal="left"/>
    </xf>
    <xf borderId="0" fillId="0" fontId="9" numFmtId="0" xfId="0" applyAlignment="1" applyFont="1">
      <alignment horizontal="left"/>
    </xf>
    <xf borderId="14" fillId="24" fontId="15" numFmtId="0" xfId="0" applyAlignment="1" applyBorder="1" applyFill="1" applyFont="1">
      <alignment horizontal="left"/>
    </xf>
    <xf borderId="14" fillId="0" fontId="15" numFmtId="0" xfId="0" applyAlignment="1" applyBorder="1" applyFont="1">
      <alignment horizontal="right"/>
    </xf>
    <xf borderId="0" fillId="0" fontId="37" numFmtId="0" xfId="0" applyAlignment="1" applyFont="1">
      <alignment readingOrder="0"/>
    </xf>
    <xf borderId="0" fillId="0" fontId="13" numFmtId="0" xfId="0" applyAlignment="1" applyFont="1">
      <alignment horizontal="left" readingOrder="0"/>
    </xf>
    <xf borderId="14" fillId="0" fontId="9" numFmtId="0" xfId="0" applyAlignment="1" applyBorder="1" applyFont="1">
      <alignment vertical="bottom"/>
    </xf>
    <xf borderId="14" fillId="14" fontId="15" numFmtId="0" xfId="0" applyAlignment="1" applyBorder="1" applyFont="1">
      <alignment horizontal="left"/>
    </xf>
    <xf borderId="14" fillId="0" fontId="9" numFmtId="0" xfId="0" applyAlignment="1" applyBorder="1" applyFont="1">
      <alignment readingOrder="0"/>
    </xf>
    <xf borderId="14" fillId="13" fontId="15" numFmtId="0" xfId="0" applyAlignment="1" applyBorder="1" applyFont="1">
      <alignment horizontal="left" readingOrder="0"/>
    </xf>
    <xf borderId="14" fillId="13" fontId="15" numFmtId="0" xfId="0" applyAlignment="1" applyBorder="1" applyFont="1">
      <alignment horizontal="left"/>
    </xf>
    <xf borderId="14" fillId="25" fontId="15" numFmtId="0" xfId="0" applyAlignment="1" applyBorder="1" applyFill="1" applyFont="1">
      <alignment horizontal="left"/>
    </xf>
    <xf borderId="14" fillId="26" fontId="15" numFmtId="0" xfId="0" applyAlignment="1" applyBorder="1" applyFill="1" applyFont="1">
      <alignment horizontal="left"/>
    </xf>
    <xf borderId="14" fillId="27" fontId="15" numFmtId="0" xfId="0" applyAlignment="1" applyBorder="1" applyFill="1" applyFont="1">
      <alignment horizontal="left"/>
    </xf>
    <xf borderId="14" fillId="28" fontId="15" numFmtId="0" xfId="0" applyAlignment="1" applyBorder="1" applyFill="1" applyFont="1">
      <alignment horizontal="left" readingOrder="0"/>
    </xf>
    <xf borderId="14" fillId="28" fontId="15" numFmtId="0" xfId="0" applyAlignment="1" applyBorder="1" applyFont="1">
      <alignment horizontal="left"/>
    </xf>
    <xf borderId="14" fillId="24" fontId="38" numFmtId="0" xfId="0" applyAlignment="1" applyBorder="1" applyFont="1">
      <alignment horizontal="left" readingOrder="0"/>
    </xf>
    <xf borderId="14" fillId="24" fontId="38" numFmtId="0" xfId="0" applyAlignment="1" applyBorder="1" applyFont="1">
      <alignment horizontal="left"/>
    </xf>
    <xf borderId="14" fillId="29" fontId="15" numFmtId="0" xfId="0" applyAlignment="1" applyBorder="1" applyFill="1" applyFont="1">
      <alignment horizontal="left"/>
    </xf>
    <xf borderId="14" fillId="29" fontId="15" numFmtId="0" xfId="0" applyBorder="1" applyFont="1"/>
    <xf borderId="14" fillId="30" fontId="15" numFmtId="0" xfId="0" applyBorder="1" applyFill="1" applyFont="1"/>
    <xf borderId="14" fillId="0" fontId="39" numFmtId="0" xfId="0" applyAlignment="1" applyBorder="1" applyFont="1">
      <alignment readingOrder="0"/>
    </xf>
    <xf borderId="0" fillId="0" fontId="2" numFmtId="0" xfId="0" applyAlignment="1" applyFont="1">
      <alignment vertical="center"/>
    </xf>
    <xf borderId="1" fillId="2" fontId="2" numFmtId="0" xfId="0" applyAlignment="1" applyBorder="1" applyFont="1">
      <alignment vertical="center"/>
    </xf>
    <xf borderId="1" fillId="2" fontId="2" numFmtId="1" xfId="0" applyBorder="1" applyFont="1" applyNumberFormat="1"/>
    <xf borderId="1" fillId="31" fontId="2" numFmtId="1" xfId="0" applyAlignment="1" applyBorder="1" applyFill="1" applyFont="1" applyNumberFormat="1">
      <alignment horizontal="center" readingOrder="0" vertical="center"/>
    </xf>
    <xf borderId="1" fillId="2" fontId="2" numFmtId="0" xfId="0" applyAlignment="1" applyBorder="1" applyFont="1">
      <alignment horizontal="left" vertical="center"/>
    </xf>
    <xf borderId="1" fillId="2" fontId="40" numFmtId="0" xfId="0" applyAlignment="1" applyBorder="1" applyFont="1">
      <alignment horizontal="left" vertical="center"/>
    </xf>
    <xf borderId="1" fillId="2" fontId="41" numFmtId="1" xfId="0" applyAlignment="1" applyBorder="1" applyFont="1" applyNumberFormat="1">
      <alignment horizontal="left" shrinkToFit="0" vertical="center" wrapText="1"/>
    </xf>
    <xf borderId="1" fillId="2" fontId="41" numFmtId="0" xfId="0" applyAlignment="1" applyBorder="1" applyFont="1">
      <alignment horizontal="left" vertical="center"/>
    </xf>
    <xf borderId="1" fillId="2" fontId="41" numFmtId="1" xfId="0" applyAlignment="1" applyBorder="1" applyFont="1" applyNumberFormat="1">
      <alignment horizontal="left" vertical="center"/>
    </xf>
    <xf borderId="0" fillId="0" fontId="27" numFmtId="0" xfId="0" applyAlignment="1" applyFont="1">
      <alignment horizontal="left" vertical="center"/>
    </xf>
    <xf borderId="14" fillId="2" fontId="42" numFmtId="0" xfId="0" applyAlignment="1" applyBorder="1" applyFont="1">
      <alignment horizontal="center" vertical="center"/>
    </xf>
    <xf borderId="22" fillId="2" fontId="2" numFmtId="0" xfId="0" applyAlignment="1" applyBorder="1" applyFont="1">
      <alignment vertical="center"/>
    </xf>
    <xf borderId="22" fillId="2" fontId="2" numFmtId="1" xfId="0" applyBorder="1" applyFont="1" applyNumberFormat="1"/>
    <xf borderId="22" fillId="2" fontId="2" numFmtId="0" xfId="0" applyBorder="1" applyFont="1"/>
    <xf borderId="7" fillId="2" fontId="43" numFmtId="0" xfId="0" applyBorder="1" applyFont="1"/>
    <xf borderId="14" fillId="32" fontId="43" numFmtId="0" xfId="0" applyAlignment="1" applyBorder="1" applyFill="1" applyFont="1">
      <alignment horizontal="center" vertical="center"/>
    </xf>
    <xf borderId="14" fillId="32" fontId="43" numFmtId="1" xfId="0" applyAlignment="1" applyBorder="1" applyFont="1" applyNumberFormat="1">
      <alignment horizontal="center" vertical="center"/>
    </xf>
    <xf borderId="14" fillId="32" fontId="43" numFmtId="0" xfId="0" applyAlignment="1" applyBorder="1" applyFont="1">
      <alignment horizontal="center" readingOrder="0" vertical="center"/>
    </xf>
    <xf borderId="23" fillId="2" fontId="43" numFmtId="0" xfId="0" applyBorder="1" applyFont="1"/>
    <xf borderId="0" fillId="0" fontId="43" numFmtId="0" xfId="0" applyFont="1"/>
    <xf borderId="7" fillId="2" fontId="2" numFmtId="0" xfId="0" applyBorder="1" applyFont="1"/>
    <xf borderId="14" fillId="2" fontId="44" numFmtId="1" xfId="0" applyAlignment="1" applyBorder="1" applyFont="1" applyNumberFormat="1">
      <alignment horizontal="center" vertical="center"/>
    </xf>
    <xf borderId="14" fillId="2" fontId="44" numFmtId="0" xfId="0" applyAlignment="1" applyBorder="1" applyFont="1">
      <alignment horizontal="center" vertical="center"/>
    </xf>
    <xf borderId="23" fillId="2" fontId="2" numFmtId="0" xfId="0" applyBorder="1" applyFont="1"/>
    <xf borderId="21" fillId="2" fontId="2" numFmtId="0" xfId="0" applyBorder="1" applyFont="1"/>
    <xf borderId="21" fillId="2" fontId="2" numFmtId="1" xfId="0" applyBorder="1" applyFont="1" applyNumberFormat="1"/>
    <xf borderId="24" fillId="2" fontId="2" numFmtId="0" xfId="0" applyBorder="1" applyFont="1"/>
    <xf borderId="15" fillId="32" fontId="2" numFmtId="0" xfId="0" applyAlignment="1" applyBorder="1" applyFont="1">
      <alignment horizontal="center" readingOrder="0"/>
    </xf>
    <xf borderId="7" fillId="2" fontId="2" numFmtId="1" xfId="0" applyBorder="1" applyFont="1" applyNumberFormat="1"/>
    <xf borderId="15" fillId="32" fontId="9" numFmtId="0" xfId="0" applyAlignment="1" applyBorder="1" applyFont="1">
      <alignment vertical="bottom"/>
    </xf>
    <xf borderId="25" fillId="2" fontId="2" numFmtId="0" xfId="0" applyBorder="1" applyFont="1"/>
    <xf borderId="14" fillId="2" fontId="41" numFmtId="0" xfId="0" applyAlignment="1" applyBorder="1" applyFont="1">
      <alignment horizontal="center" vertical="center"/>
    </xf>
    <xf borderId="14" fillId="2" fontId="42" numFmtId="1" xfId="0" applyAlignment="1" applyBorder="1" applyFont="1" applyNumberFormat="1">
      <alignment horizontal="center" vertical="center"/>
    </xf>
    <xf borderId="14" fillId="2" fontId="40" numFmtId="0" xfId="0" applyAlignment="1" applyBorder="1" applyFont="1">
      <alignment horizontal="center" vertical="center"/>
    </xf>
    <xf borderId="14" fillId="2" fontId="45" numFmtId="1" xfId="0" applyAlignment="1" applyBorder="1" applyFont="1" applyNumberFormat="1">
      <alignment horizontal="center" vertical="center"/>
    </xf>
    <xf borderId="14" fillId="0" fontId="46" numFmtId="0" xfId="0" applyAlignment="1" applyBorder="1" applyFont="1">
      <alignment horizontal="center" vertical="center"/>
    </xf>
    <xf borderId="23" fillId="2" fontId="2" numFmtId="0" xfId="0" applyAlignment="1" applyBorder="1" applyFont="1">
      <alignment vertical="center"/>
    </xf>
    <xf borderId="14" fillId="2" fontId="45" numFmtId="0" xfId="0" applyAlignment="1" applyBorder="1" applyFont="1">
      <alignment horizontal="center" vertical="center"/>
    </xf>
    <xf borderId="14" fillId="0" fontId="41" numFmtId="0" xfId="0" applyAlignment="1" applyBorder="1" applyFont="1">
      <alignment horizontal="center" vertical="center"/>
    </xf>
    <xf borderId="14" fillId="2" fontId="46" numFmtId="0" xfId="0" applyAlignment="1" applyBorder="1" applyFont="1">
      <alignment horizontal="center" vertical="center"/>
    </xf>
    <xf borderId="21" fillId="2" fontId="2" numFmtId="0" xfId="0" applyAlignment="1" applyBorder="1" applyFont="1">
      <alignment vertical="center"/>
    </xf>
    <xf quotePrefix="1" borderId="21" fillId="2" fontId="2" numFmtId="0" xfId="0" applyBorder="1" applyFont="1"/>
    <xf borderId="7" fillId="2" fontId="41" numFmtId="0" xfId="0" applyAlignment="1" applyBorder="1" applyFont="1">
      <alignment horizontal="center" vertical="center"/>
    </xf>
    <xf borderId="26" fillId="2" fontId="47" numFmtId="1" xfId="0" applyAlignment="1" applyBorder="1" applyFont="1" applyNumberFormat="1">
      <alignment horizontal="left" shrinkToFit="0" vertical="top" wrapText="1"/>
    </xf>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0" fillId="2" fontId="2" numFmtId="0" xfId="0" applyAlignment="1" applyFont="1">
      <alignment vertical="center"/>
    </xf>
    <xf borderId="0" fillId="2" fontId="2" numFmtId="1" xfId="0" applyFont="1" applyNumberFormat="1"/>
    <xf borderId="0" fillId="2" fontId="2" numFmtId="0" xfId="0" applyFont="1"/>
    <xf borderId="24" fillId="2" fontId="2" numFmtId="0" xfId="0" applyAlignment="1" applyBorder="1" applyFont="1">
      <alignment vertical="center"/>
    </xf>
    <xf borderId="24" fillId="2" fontId="2" numFmtId="1" xfId="0" applyBorder="1" applyFont="1" applyNumberFormat="1"/>
    <xf borderId="34" fillId="2" fontId="2" numFmtId="1" xfId="0" applyBorder="1" applyFont="1" applyNumberFormat="1"/>
    <xf borderId="15" fillId="32" fontId="48" numFmtId="0" xfId="0" applyAlignment="1" applyBorder="1" applyFont="1">
      <alignment horizontal="center" vertical="center"/>
    </xf>
    <xf borderId="8" fillId="2" fontId="2" numFmtId="1" xfId="0" applyBorder="1" applyFont="1" applyNumberFormat="1"/>
    <xf borderId="15" fillId="32" fontId="49" numFmtId="0" xfId="0" applyAlignment="1" applyBorder="1" applyFont="1">
      <alignment horizontal="center"/>
    </xf>
    <xf borderId="14" fillId="2" fontId="48" numFmtId="0" xfId="0" applyAlignment="1" applyBorder="1" applyFont="1">
      <alignment horizontal="center" vertical="center"/>
    </xf>
    <xf borderId="14" fillId="2" fontId="48" numFmtId="1" xfId="0" applyAlignment="1" applyBorder="1" applyFont="1" applyNumberFormat="1">
      <alignment horizontal="center" vertical="center"/>
    </xf>
    <xf borderId="8" fillId="2" fontId="48" numFmtId="1" xfId="0" applyBorder="1" applyFont="1" applyNumberFormat="1"/>
    <xf borderId="18" fillId="14" fontId="50" numFmtId="0" xfId="0" applyAlignment="1" applyBorder="1" applyFont="1">
      <alignment horizontal="center"/>
    </xf>
    <xf borderId="20" fillId="14" fontId="50" numFmtId="0" xfId="0" applyAlignment="1" applyBorder="1" applyFont="1">
      <alignment horizontal="center"/>
    </xf>
    <xf borderId="19" fillId="0" fontId="5" numFmtId="0" xfId="0" applyBorder="1" applyFont="1"/>
    <xf borderId="23" fillId="2" fontId="48" numFmtId="0" xfId="0" applyBorder="1" applyFont="1"/>
    <xf borderId="18" fillId="14" fontId="51" numFmtId="0" xfId="0" applyAlignment="1" applyBorder="1" applyFont="1">
      <alignment horizontal="center" readingOrder="0"/>
    </xf>
    <xf borderId="20" fillId="14" fontId="51" numFmtId="0" xfId="0" applyAlignment="1" applyBorder="1" applyFont="1">
      <alignment horizontal="center"/>
    </xf>
    <xf borderId="14" fillId="14" fontId="51" numFmtId="0" xfId="0" applyAlignment="1" applyBorder="1" applyFont="1">
      <alignment horizontal="center" readingOrder="0"/>
    </xf>
    <xf borderId="15" fillId="14" fontId="51" numFmtId="0" xfId="0" applyAlignment="1" applyBorder="1" applyFont="1">
      <alignment horizontal="center"/>
    </xf>
    <xf borderId="0" fillId="14" fontId="50" numFmtId="0" xfId="0" applyAlignment="1" applyFont="1">
      <alignment horizontal="center"/>
    </xf>
    <xf borderId="7" fillId="2" fontId="52" numFmtId="0" xfId="0" applyBorder="1" applyFont="1"/>
    <xf borderId="23" fillId="2" fontId="2" numFmtId="1" xfId="0" applyBorder="1" applyFont="1" applyNumberFormat="1"/>
    <xf borderId="14" fillId="2" fontId="48" numFmtId="0" xfId="0" applyBorder="1" applyFont="1"/>
    <xf borderId="35" fillId="0" fontId="53" numFmtId="0" xfId="0" applyAlignment="1" applyBorder="1" applyFont="1">
      <alignment readingOrder="0" shrinkToFit="0" vertical="top" wrapText="1"/>
    </xf>
    <xf borderId="36" fillId="0" fontId="5" numFmtId="0" xfId="0" applyBorder="1" applyFont="1"/>
    <xf borderId="37" fillId="0" fontId="5" numFmtId="0" xfId="0" applyBorder="1" applyFont="1"/>
    <xf borderId="36" fillId="0" fontId="9" numFmtId="1" xfId="0" applyAlignment="1" applyBorder="1" applyFont="1" applyNumberFormat="1">
      <alignment vertical="top"/>
    </xf>
    <xf borderId="38" fillId="0" fontId="5" numFmtId="0" xfId="0" applyBorder="1" applyFont="1"/>
    <xf borderId="39" fillId="0" fontId="9" numFmtId="0" xfId="0" applyAlignment="1" applyBorder="1" applyFont="1">
      <alignment horizontal="center" vertical="top"/>
    </xf>
    <xf borderId="40" fillId="0" fontId="5" numFmtId="0" xfId="0" applyBorder="1" applyFont="1"/>
    <xf borderId="41" fillId="0" fontId="5" numFmtId="0" xfId="0" applyBorder="1" applyFont="1"/>
    <xf borderId="42" fillId="0" fontId="5" numFmtId="0" xfId="0" applyBorder="1" applyFont="1"/>
    <xf borderId="10" fillId="0" fontId="5" numFmtId="0" xfId="0" applyBorder="1" applyFont="1"/>
    <xf borderId="43" fillId="0" fontId="5" numFmtId="0" xfId="0" applyBorder="1" applyFont="1"/>
    <xf borderId="20" fillId="0" fontId="5" numFmtId="0" xfId="0" applyBorder="1" applyFont="1"/>
    <xf borderId="44" fillId="0" fontId="5" numFmtId="0" xfId="0" applyBorder="1" applyFont="1"/>
    <xf borderId="43" fillId="14" fontId="53" numFmtId="1" xfId="0" applyAlignment="1" applyBorder="1" applyFont="1" applyNumberFormat="1">
      <alignment shrinkToFit="0" vertical="bottom" wrapText="1"/>
    </xf>
    <xf borderId="20" fillId="0" fontId="53" numFmtId="1" xfId="0" applyAlignment="1" applyBorder="1" applyFont="1" applyNumberFormat="1">
      <alignment shrinkToFit="0" vertical="top" wrapText="1"/>
    </xf>
    <xf borderId="20" fillId="0" fontId="53" numFmtId="1" xfId="0" applyAlignment="1" applyBorder="1" applyFont="1" applyNumberFormat="1">
      <alignment horizontal="center" shrinkToFit="0" vertical="top" wrapText="1"/>
    </xf>
    <xf borderId="1" fillId="31" fontId="2" numFmtId="0" xfId="0" applyAlignment="1" applyBorder="1" applyFont="1">
      <alignment horizontal="center" readingOrder="0" vertical="center"/>
    </xf>
    <xf borderId="1" fillId="2" fontId="40" numFmtId="0" xfId="0" applyBorder="1" applyFont="1"/>
    <xf borderId="1" fillId="2" fontId="54" numFmtId="0" xfId="0" applyAlignment="1" applyBorder="1" applyFont="1">
      <alignment vertical="center"/>
    </xf>
    <xf borderId="1" fillId="2" fontId="54" numFmtId="0" xfId="0" applyBorder="1" applyFont="1"/>
    <xf borderId="1" fillId="2" fontId="40" numFmtId="0" xfId="0" applyAlignment="1" applyBorder="1" applyFont="1">
      <alignment vertical="center"/>
    </xf>
    <xf borderId="14" fillId="2" fontId="55" numFmtId="0" xfId="0" applyAlignment="1" applyBorder="1" applyFont="1">
      <alignment horizontal="center" vertical="center"/>
    </xf>
    <xf borderId="14" fillId="2" fontId="56" numFmtId="0" xfId="0" applyAlignment="1" applyBorder="1" applyFont="1">
      <alignment horizontal="center" vertical="center"/>
    </xf>
    <xf borderId="14" fillId="2" fontId="56" numFmtId="1" xfId="0" applyAlignment="1" applyBorder="1" applyFont="1" applyNumberFormat="1">
      <alignment horizontal="center" vertical="center"/>
    </xf>
    <xf borderId="15" fillId="32" fontId="34" numFmtId="0" xfId="0" applyAlignment="1" applyBorder="1" applyFont="1">
      <alignment horizontal="center"/>
    </xf>
    <xf borderId="14" fillId="2" fontId="43" numFmtId="0" xfId="0" applyAlignment="1" applyBorder="1" applyFont="1">
      <alignment horizontal="center" vertical="center"/>
    </xf>
    <xf borderId="14" fillId="2" fontId="57" numFmtId="1" xfId="0" applyAlignment="1" applyBorder="1" applyFont="1" applyNumberFormat="1">
      <alignment horizontal="center" vertical="center"/>
    </xf>
    <xf borderId="14" fillId="2" fontId="31" numFmtId="0" xfId="0" applyAlignment="1" applyBorder="1" applyFont="1">
      <alignment horizontal="center" vertical="center"/>
    </xf>
    <xf borderId="14" fillId="0" fontId="43" numFmtId="0" xfId="0" applyAlignment="1" applyBorder="1" applyFont="1">
      <alignment horizontal="center" vertical="center"/>
    </xf>
    <xf borderId="45" fillId="2" fontId="41" numFmtId="0" xfId="0" applyAlignment="1" applyBorder="1" applyFont="1">
      <alignment horizontal="center" vertical="center"/>
    </xf>
    <xf borderId="34" fillId="0" fontId="5" numFmtId="0" xfId="0" applyBorder="1" applyFont="1"/>
    <xf borderId="26" fillId="2" fontId="55" numFmtId="1" xfId="0" applyAlignment="1" applyBorder="1" applyFont="1" applyNumberFormat="1">
      <alignment horizontal="left" shrinkToFit="0" vertical="top" wrapText="1"/>
    </xf>
    <xf borderId="15" fillId="32" fontId="2" numFmtId="0" xfId="0" applyAlignment="1" applyBorder="1" applyFont="1">
      <alignment horizontal="center" vertical="center"/>
    </xf>
    <xf borderId="8" fillId="2" fontId="2" numFmtId="0" xfId="0" applyBorder="1" applyFont="1"/>
    <xf borderId="14" fillId="14" fontId="50" numFmtId="0" xfId="0" applyAlignment="1" applyBorder="1" applyFont="1">
      <alignment horizontal="center"/>
    </xf>
    <xf borderId="15" fillId="14" fontId="50" numFmtId="0" xfId="0" applyAlignment="1" applyBorder="1" applyFont="1">
      <alignment horizontal="center"/>
    </xf>
    <xf borderId="14" fillId="2" fontId="2" numFmtId="0" xfId="0" applyAlignment="1" applyBorder="1" applyFont="1">
      <alignment horizontal="center" vertical="center"/>
    </xf>
    <xf borderId="0" fillId="14" fontId="51" numFmtId="0" xfId="0" applyAlignment="1" applyFont="1">
      <alignment horizontal="center"/>
    </xf>
    <xf borderId="21" fillId="2" fontId="48" numFmtId="0" xfId="0" applyBorder="1" applyFont="1"/>
    <xf borderId="36" fillId="0" fontId="9" numFmtId="0" xfId="0" applyAlignment="1" applyBorder="1" applyFont="1">
      <alignment vertical="top"/>
    </xf>
    <xf borderId="1" fillId="2" fontId="48" numFmtId="0" xfId="0" applyBorder="1" applyFont="1"/>
    <xf borderId="1" fillId="2" fontId="40" numFmtId="1" xfId="0" applyAlignment="1" applyBorder="1" applyFont="1" applyNumberFormat="1">
      <alignment vertical="center"/>
    </xf>
    <xf borderId="1" fillId="2" fontId="48" numFmtId="0" xfId="0" applyAlignment="1" applyBorder="1" applyFont="1">
      <alignment vertical="center"/>
    </xf>
    <xf borderId="14" fillId="2" fontId="57" numFmtId="0" xfId="0" applyAlignment="1" applyBorder="1" applyFont="1">
      <alignment horizontal="center" vertical="center"/>
    </xf>
    <xf borderId="15" fillId="32" fontId="48" numFmtId="0" xfId="0" applyAlignment="1" applyBorder="1" applyFont="1">
      <alignment horizontal="center" readingOrder="0"/>
    </xf>
    <xf borderId="15" fillId="32" fontId="12" numFmtId="0" xfId="0" applyAlignment="1" applyBorder="1" applyFont="1">
      <alignment readingOrder="0" vertical="bottom"/>
    </xf>
    <xf borderId="14" fillId="2" fontId="58" numFmtId="1" xfId="0" applyAlignment="1" applyBorder="1" applyFont="1" applyNumberFormat="1">
      <alignment horizontal="center" vertical="center"/>
    </xf>
    <xf borderId="14" fillId="2" fontId="34" numFmtId="0" xfId="0" applyAlignment="1" applyBorder="1" applyFont="1">
      <alignment horizontal="center" vertical="center"/>
    </xf>
    <xf borderId="7" fillId="2" fontId="54" numFmtId="0" xfId="0" applyAlignment="1" applyBorder="1" applyFont="1">
      <alignment horizontal="center" vertical="center"/>
    </xf>
    <xf borderId="26" fillId="2" fontId="45" numFmtId="1" xfId="0" applyAlignment="1" applyBorder="1" applyFont="1" applyNumberFormat="1">
      <alignment horizontal="left" shrinkToFit="0" vertical="center" wrapText="1"/>
    </xf>
    <xf borderId="14" fillId="2" fontId="2" numFmtId="1" xfId="0" applyAlignment="1" applyBorder="1" applyFont="1" applyNumberFormat="1">
      <alignment horizontal="center" vertical="center"/>
    </xf>
    <xf borderId="46" fillId="14" fontId="51" numFmtId="0" xfId="0" applyAlignment="1" applyBorder="1" applyFont="1">
      <alignment horizontal="center" readingOrder="0"/>
    </xf>
    <xf borderId="0" fillId="2" fontId="59" numFmtId="0" xfId="0" applyAlignment="1" applyFont="1">
      <alignment horizontal="center" vertical="center"/>
    </xf>
    <xf borderId="15" fillId="32" fontId="2" numFmtId="0" xfId="0" applyAlignment="1" applyBorder="1" applyFont="1">
      <alignment horizontal="center"/>
    </xf>
    <xf borderId="1" fillId="2" fontId="40" numFmtId="1" xfId="0" applyBorder="1" applyFont="1" applyNumberFormat="1"/>
    <xf borderId="14" fillId="2" fontId="60" numFmtId="0" xfId="0" applyAlignment="1" applyBorder="1" applyFont="1">
      <alignment horizontal="center" vertical="center"/>
    </xf>
    <xf borderId="15" fillId="32" fontId="51" numFmtId="0" xfId="0" applyAlignment="1" applyBorder="1" applyFont="1">
      <alignment vertical="bottom"/>
    </xf>
    <xf borderId="14" fillId="2" fontId="61" numFmtId="0" xfId="0" applyAlignment="1" applyBorder="1" applyFont="1">
      <alignment horizontal="center" vertical="center"/>
    </xf>
    <xf borderId="26" fillId="2" fontId="55" numFmtId="1" xfId="0" applyAlignment="1" applyBorder="1" applyFont="1" applyNumberFormat="1">
      <alignment horizontal="left" shrinkToFit="0" vertical="center" wrapText="1"/>
    </xf>
    <xf borderId="1" fillId="2" fontId="54" numFmtId="1" xfId="0" applyAlignment="1" applyBorder="1" applyFont="1" applyNumberFormat="1">
      <alignment vertical="center"/>
    </xf>
    <xf borderId="14" fillId="32" fontId="41" numFmtId="0" xfId="0" applyAlignment="1" applyBorder="1" applyFont="1">
      <alignment horizontal="center" vertical="center"/>
    </xf>
    <xf borderId="14" fillId="2" fontId="56" numFmtId="3" xfId="0" applyAlignment="1" applyBorder="1" applyFont="1" applyNumberFormat="1">
      <alignment horizontal="center" vertical="center"/>
    </xf>
    <xf borderId="15" fillId="32" fontId="48" numFmtId="0" xfId="0" applyAlignment="1" applyBorder="1" applyFont="1">
      <alignment horizontal="center"/>
    </xf>
    <xf borderId="15" fillId="32" fontId="12" numFmtId="0" xfId="0" applyAlignment="1" applyBorder="1" applyFont="1">
      <alignment vertical="bottom"/>
    </xf>
    <xf borderId="14" fillId="2" fontId="60" numFmtId="1" xfId="0" applyAlignment="1" applyBorder="1" applyFont="1" applyNumberFormat="1">
      <alignment horizontal="center" vertical="center"/>
    </xf>
    <xf borderId="36" fillId="14" fontId="50" numFmtId="0" xfId="0" applyAlignment="1" applyBorder="1" applyFont="1">
      <alignment horizontal="center"/>
    </xf>
    <xf borderId="1" fillId="31" fontId="31" numFmtId="0" xfId="0" applyAlignment="1" applyBorder="1" applyFont="1">
      <alignment horizontal="center" readingOrder="0" shrinkToFit="0" vertical="center" wrapText="1"/>
    </xf>
    <xf borderId="1" fillId="2" fontId="54" numFmtId="0" xfId="0" applyAlignment="1" applyBorder="1" applyFont="1">
      <alignment readingOrder="0" vertical="center"/>
    </xf>
    <xf borderId="7" fillId="2" fontId="40" numFmtId="0" xfId="0" applyAlignment="1" applyBorder="1" applyFont="1">
      <alignment vertical="center"/>
    </xf>
    <xf borderId="0" fillId="2" fontId="57" numFmtId="0" xfId="0" applyAlignment="1" applyFont="1">
      <alignment horizontal="center" vertical="center"/>
    </xf>
    <xf borderId="14" fillId="2" fontId="59" numFmtId="0" xfId="0" applyAlignment="1" applyBorder="1" applyFont="1">
      <alignment horizontal="center" vertical="center"/>
    </xf>
    <xf borderId="7" fillId="2" fontId="46" numFmtId="0" xfId="0" applyAlignment="1" applyBorder="1" applyFont="1">
      <alignment horizontal="center" vertical="center"/>
    </xf>
    <xf borderId="26" fillId="2" fontId="45" numFmtId="0" xfId="0" applyAlignment="1" applyBorder="1" applyFont="1">
      <alignment horizontal="left" shrinkToFit="0" vertical="center" wrapText="1"/>
    </xf>
    <xf borderId="14" fillId="2" fontId="60" numFmtId="0" xfId="0" applyAlignment="1" applyBorder="1" applyFont="1">
      <alignment horizontal="center" readingOrder="0" vertical="center"/>
    </xf>
    <xf borderId="7" fillId="2" fontId="54" numFmtId="0" xfId="0" applyAlignment="1" applyBorder="1" applyFont="1">
      <alignment readingOrder="0" vertical="center"/>
    </xf>
    <xf borderId="0" fillId="2" fontId="40" numFmtId="0" xfId="0" applyAlignment="1" applyFont="1">
      <alignment vertical="center"/>
    </xf>
    <xf borderId="14" fillId="0" fontId="34" numFmtId="0" xfId="0" applyAlignment="1" applyBorder="1" applyFont="1">
      <alignment horizontal="center" vertical="center"/>
    </xf>
    <xf borderId="36" fillId="14" fontId="51" numFmtId="0" xfId="0" applyAlignment="1" applyBorder="1" applyFont="1">
      <alignment horizontal="center"/>
    </xf>
    <xf borderId="0" fillId="0" fontId="27" numFmtId="0" xfId="0" applyAlignment="1" applyFont="1">
      <alignment horizontal="center"/>
    </xf>
    <xf borderId="1" fillId="2" fontId="2" numFmtId="0" xfId="0" applyAlignment="1" applyBorder="1" applyFont="1">
      <alignment horizontal="center"/>
    </xf>
    <xf borderId="22" fillId="2" fontId="2" numFmtId="0" xfId="0" applyAlignment="1" applyBorder="1" applyFont="1">
      <alignment horizontal="center"/>
    </xf>
    <xf borderId="1" fillId="2" fontId="54" numFmtId="0" xfId="0" applyAlignment="1" applyBorder="1" applyFont="1">
      <alignment horizontal="center"/>
    </xf>
    <xf borderId="24" fillId="2" fontId="2" numFmtId="0" xfId="0" applyAlignment="1" applyBorder="1" applyFont="1">
      <alignment horizontal="center"/>
    </xf>
    <xf borderId="21" fillId="2" fontId="2" numFmtId="0" xfId="0" applyAlignment="1" applyBorder="1" applyFont="1">
      <alignment horizontal="center"/>
    </xf>
    <xf borderId="15" fillId="32" fontId="9" numFmtId="0" xfId="0" applyAlignment="1" applyBorder="1" applyFont="1">
      <alignment horizontal="center" vertical="bottom"/>
    </xf>
    <xf quotePrefix="1" borderId="21" fillId="2" fontId="2" numFmtId="0" xfId="0" applyAlignment="1" applyBorder="1" applyFont="1">
      <alignment horizontal="center"/>
    </xf>
    <xf borderId="14" fillId="2" fontId="48" numFmtId="0" xfId="0" applyAlignment="1" applyBorder="1" applyFont="1">
      <alignment horizontal="center"/>
    </xf>
    <xf borderId="1" fillId="2" fontId="48" numFmtId="0" xfId="0" applyAlignment="1" applyBorder="1" applyFont="1">
      <alignment readingOrder="0" vertical="center"/>
    </xf>
    <xf borderId="47" fillId="2" fontId="59" numFmtId="0" xfId="0" applyAlignment="1" applyBorder="1" applyFont="1">
      <alignment horizontal="center" vertical="center"/>
    </xf>
    <xf borderId="15" fillId="32" fontId="43" numFmtId="0" xfId="0" applyAlignment="1" applyBorder="1" applyFont="1">
      <alignment horizontal="center" vertical="center"/>
    </xf>
    <xf borderId="0" fillId="0" fontId="43" numFmtId="0" xfId="0" applyAlignment="1" applyFont="1">
      <alignment readingOrder="0"/>
    </xf>
    <xf borderId="15" fillId="2" fontId="59" numFmtId="0" xfId="0" applyAlignment="1" applyBorder="1" applyFont="1">
      <alignment horizontal="center" vertical="center"/>
    </xf>
    <xf borderId="14" fillId="2" fontId="59" numFmtId="0" xfId="0" applyAlignment="1" applyBorder="1" applyFont="1">
      <alignment horizontal="center" readingOrder="0" vertical="center"/>
    </xf>
    <xf borderId="45" fillId="32" fontId="2" numFmtId="0" xfId="0" applyAlignment="1" applyBorder="1" applyFont="1">
      <alignment horizontal="center"/>
    </xf>
    <xf borderId="14" fillId="2" fontId="59" numFmtId="1" xfId="0" applyAlignment="1" applyBorder="1" applyFont="1" applyNumberFormat="1">
      <alignment horizontal="center" vertical="center"/>
    </xf>
    <xf borderId="14" fillId="0" fontId="2" numFmtId="0" xfId="0" applyAlignment="1" applyBorder="1" applyFont="1">
      <alignment horizontal="center" vertical="center"/>
    </xf>
    <xf borderId="7" fillId="2" fontId="2" numFmtId="0" xfId="0" applyAlignment="1" applyBorder="1" applyFont="1">
      <alignment horizontal="center" vertical="center"/>
    </xf>
    <xf borderId="35" fillId="2" fontId="57" numFmtId="0" xfId="0" applyAlignment="1" applyBorder="1" applyFont="1">
      <alignment horizontal="center" shrinkToFit="0" vertical="center" wrapText="1"/>
    </xf>
    <xf borderId="0" fillId="2" fontId="2" numFmtId="0" xfId="0" applyAlignment="1" applyFont="1">
      <alignment horizontal="center" vertical="center"/>
    </xf>
    <xf borderId="7" fillId="2" fontId="40" numFmtId="0" xfId="0" applyAlignment="1" applyBorder="1" applyFont="1">
      <alignment horizontal="center" vertical="center"/>
    </xf>
    <xf borderId="35" fillId="2" fontId="20" numFmtId="0" xfId="0" applyAlignment="1" applyBorder="1" applyFont="1">
      <alignment horizontal="left" shrinkToFit="0" vertical="center" wrapText="1"/>
    </xf>
    <xf borderId="0" fillId="0" fontId="53" numFmtId="0" xfId="0" applyAlignment="1" applyFont="1">
      <alignment readingOrder="0" shrinkToFit="0" vertical="top" wrapText="1"/>
    </xf>
    <xf borderId="0" fillId="0" fontId="9" numFmtId="0" xfId="0" applyAlignment="1" applyFont="1">
      <alignment vertical="top"/>
    </xf>
    <xf borderId="0" fillId="0" fontId="9" numFmtId="0" xfId="0" applyAlignment="1" applyFont="1">
      <alignment horizontal="center" vertical="top"/>
    </xf>
    <xf borderId="0" fillId="0" fontId="62" numFmtId="0" xfId="0" applyFont="1"/>
    <xf borderId="14" fillId="0" fontId="62" numFmtId="0" xfId="0" applyAlignment="1" applyBorder="1" applyFont="1">
      <alignment readingOrder="0"/>
    </xf>
    <xf borderId="14" fillId="0" fontId="62" numFmtId="0" xfId="0" applyBorder="1" applyFont="1"/>
    <xf borderId="14" fillId="0" fontId="9" numFmtId="0" xfId="0" applyAlignment="1" applyBorder="1" applyFont="1">
      <alignment vertical="bottom"/>
    </xf>
    <xf borderId="14" fillId="0" fontId="9" numFmtId="0" xfId="0" applyAlignment="1" applyBorder="1" applyFont="1">
      <alignment horizontal="center" vertical="bottom"/>
    </xf>
    <xf borderId="0" fillId="0" fontId="27" numFmtId="0" xfId="0" applyFont="1"/>
    <xf borderId="0" fillId="0" fontId="48" numFmtId="0" xfId="0" applyFont="1"/>
    <xf borderId="14" fillId="0" fontId="48" numFmtId="0" xfId="0" applyBorder="1" applyFont="1"/>
    <xf borderId="15" fillId="0" fontId="12" numFmtId="0" xfId="0" applyBorder="1" applyFont="1"/>
    <xf borderId="15" fillId="0" fontId="12" numFmtId="0" xfId="0" applyAlignment="1" applyBorder="1" applyFont="1">
      <alignment vertical="bottom"/>
    </xf>
    <xf borderId="15" fillId="0" fontId="12" numFmtId="1" xfId="0" applyAlignment="1" applyBorder="1" applyFont="1" applyNumberFormat="1">
      <alignment vertical="bottom"/>
    </xf>
    <xf borderId="14" fillId="0" fontId="12" numFmtId="0" xfId="0" applyAlignment="1" applyBorder="1" applyFont="1">
      <alignment vertical="bottom"/>
    </xf>
    <xf borderId="14" fillId="0" fontId="12" numFmtId="1" xfId="0" applyAlignment="1" applyBorder="1" applyFont="1" applyNumberFormat="1">
      <alignment vertical="bottom"/>
    </xf>
    <xf borderId="14" fillId="0" fontId="18" numFmtId="0" xfId="0" applyAlignment="1" applyBorder="1" applyFont="1">
      <alignment vertical="bottom"/>
    </xf>
    <xf borderId="18" fillId="0" fontId="9" numFmtId="0" xfId="0" applyAlignment="1" applyBorder="1" applyFont="1">
      <alignment horizontal="right" vertical="bottom"/>
    </xf>
    <xf borderId="19" fillId="0" fontId="9" numFmtId="0" xfId="0" applyAlignment="1" applyBorder="1" applyFont="1">
      <alignment horizontal="center" vertical="bottom"/>
    </xf>
    <xf borderId="18" fillId="0" fontId="9" numFmtId="0" xfId="0" applyAlignment="1" applyBorder="1" applyFont="1">
      <alignment horizontal="center" vertical="bottom"/>
    </xf>
    <xf borderId="0" fillId="0" fontId="63" numFmtId="0" xfId="0" applyAlignment="1" applyFont="1">
      <alignment horizontal="center"/>
    </xf>
    <xf borderId="0" fillId="0" fontId="41" numFmtId="0" xfId="0" applyAlignment="1" applyFont="1">
      <alignment horizontal="center"/>
    </xf>
    <xf borderId="0" fillId="0" fontId="48" numFmtId="0" xfId="0" applyAlignment="1" applyFont="1">
      <alignment horizontal="center"/>
    </xf>
    <xf borderId="1" fillId="31" fontId="2" numFmtId="0" xfId="0" applyAlignment="1" applyBorder="1" applyFont="1">
      <alignment horizontal="center" vertical="center"/>
    </xf>
    <xf borderId="0" fillId="0" fontId="40" numFmtId="0" xfId="0" applyAlignment="1" applyFont="1">
      <alignment horizontal="left"/>
    </xf>
    <xf borderId="45" fillId="2" fontId="48" numFmtId="0" xfId="0" applyAlignment="1" applyBorder="1" applyFont="1">
      <alignment vertical="center"/>
    </xf>
    <xf borderId="25" fillId="2" fontId="48" numFmtId="0" xfId="0" applyAlignment="1" applyBorder="1" applyFont="1">
      <alignment vertical="center"/>
    </xf>
    <xf borderId="0" fillId="0" fontId="41" numFmtId="0" xfId="0" applyAlignment="1" applyFont="1">
      <alignment horizontal="left"/>
    </xf>
    <xf borderId="14" fillId="4" fontId="40" numFmtId="0" xfId="0" applyAlignment="1" applyBorder="1" applyFont="1">
      <alignment horizontal="center" vertical="center"/>
    </xf>
    <xf borderId="15" fillId="4" fontId="40" numFmtId="0" xfId="0" applyAlignment="1" applyBorder="1" applyFont="1">
      <alignment horizontal="center" vertical="center"/>
    </xf>
    <xf borderId="14" fillId="33" fontId="40" numFmtId="0" xfId="0" applyAlignment="1" applyBorder="1" applyFill="1" applyFont="1">
      <alignment horizontal="center" vertical="center"/>
    </xf>
    <xf borderId="14" fillId="0" fontId="40" numFmtId="0" xfId="0" applyAlignment="1" applyBorder="1" applyFont="1">
      <alignment horizontal="left" vertical="center"/>
    </xf>
    <xf borderId="14" fillId="2" fontId="48" numFmtId="0" xfId="0" applyAlignment="1" applyBorder="1" applyFont="1">
      <alignment vertical="center"/>
    </xf>
    <xf borderId="14" fillId="0" fontId="40" numFmtId="0" xfId="0" applyAlignment="1" applyBorder="1" applyFont="1">
      <alignment horizontal="center" vertical="center"/>
    </xf>
    <xf borderId="0" fillId="0" fontId="40" numFmtId="0" xfId="0" applyFont="1"/>
    <xf borderId="48" fillId="0" fontId="40" numFmtId="0" xfId="0" applyAlignment="1" applyBorder="1" applyFont="1">
      <alignment horizontal="left" vertical="center"/>
    </xf>
    <xf borderId="49" fillId="0" fontId="5" numFmtId="0" xfId="0" applyBorder="1" applyFont="1"/>
    <xf borderId="50" fillId="0" fontId="5" numFmtId="0" xfId="0" applyBorder="1" applyFont="1"/>
    <xf borderId="0" fillId="0" fontId="40"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48" Type="http://customschemas.google.com/relationships/workbookmetadata" Target="metadata"/><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hyperlink" Target="#HOME!A1" TargetMode="External"/><Relationship Id="rId2" Type="http://schemas.openxmlformats.org/officeDocument/2006/relationships/hyperlink" Target="#ABOUT!A1" TargetMode="External"/><Relationship Id="rId3" Type="http://schemas.openxmlformats.org/officeDocument/2006/relationships/hyperlink" Target="#'IGCSE%202'!A1" TargetMode="External"/><Relationship Id="rId4" Type="http://schemas.openxmlformats.org/officeDocument/2006/relationships/hyperlink" Target="#'IGCSE%202%20REPORT%20CARD'!A1" TargetMode="External"/><Relationship Id="rId5" Type="http://schemas.openxmlformats.org/officeDocument/2006/relationships/hyperlink" Target="#'IGCSE%202%20RESULT%20ANALYSIS'!A1" TargetMode="External"/></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361950</xdr:colOff>
      <xdr:row>2</xdr:row>
      <xdr:rowOff>47625</xdr:rowOff>
    </xdr:from>
    <xdr:ext cx="885825" cy="276225"/>
    <xdr:sp>
      <xdr:nvSpPr>
        <xdr:cNvPr id="3" name="Shape 3">
          <a:hlinkClick r:id="rId1"/>
        </xdr:cNvPr>
        <xdr:cNvSpPr/>
      </xdr:nvSpPr>
      <xdr:spPr>
        <a:xfrm>
          <a:off x="4912613" y="3651413"/>
          <a:ext cx="866775" cy="257175"/>
        </a:xfrm>
        <a:prstGeom prst="roundRect">
          <a:avLst>
            <a:gd fmla="val 16667" name="adj"/>
          </a:avLst>
        </a:prstGeom>
        <a:solidFill>
          <a:schemeClr val="accent3"/>
        </a:solidFill>
        <a:ln cap="flat" cmpd="sng" w="1905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100"/>
            <a:buFont typeface="Times New Roman"/>
            <a:buNone/>
          </a:pPr>
          <a:r>
            <a:rPr b="1" lang="en-US" sz="1100">
              <a:solidFill>
                <a:srgbClr val="000000"/>
              </a:solidFill>
              <a:latin typeface="Times New Roman"/>
              <a:ea typeface="Times New Roman"/>
              <a:cs typeface="Times New Roman"/>
              <a:sym typeface="Times New Roman"/>
            </a:rPr>
            <a:t>HOME</a:t>
          </a:r>
          <a:endParaRPr sz="1400"/>
        </a:p>
      </xdr:txBody>
    </xdr:sp>
    <xdr:clientData fLocksWithSheet="0"/>
  </xdr:oneCellAnchor>
  <xdr:oneCellAnchor>
    <xdr:from>
      <xdr:col>13</xdr:col>
      <xdr:colOff>142875</xdr:colOff>
      <xdr:row>2</xdr:row>
      <xdr:rowOff>57150</xdr:rowOff>
    </xdr:from>
    <xdr:ext cx="885825" cy="304800"/>
    <xdr:sp>
      <xdr:nvSpPr>
        <xdr:cNvPr id="4" name="Shape 4">
          <a:hlinkClick r:id="rId2"/>
        </xdr:cNvPr>
        <xdr:cNvSpPr/>
      </xdr:nvSpPr>
      <xdr:spPr>
        <a:xfrm>
          <a:off x="4912613" y="3637125"/>
          <a:ext cx="866775" cy="285750"/>
        </a:xfrm>
        <a:prstGeom prst="roundRect">
          <a:avLst>
            <a:gd fmla="val 16667" name="adj"/>
          </a:avLst>
        </a:prstGeom>
        <a:solidFill>
          <a:schemeClr val="accent3"/>
        </a:solidFill>
        <a:ln cap="flat" cmpd="sng" w="1905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100"/>
            <a:buFont typeface="Times New Roman"/>
            <a:buNone/>
          </a:pPr>
          <a:r>
            <a:rPr b="1" lang="en-US" sz="1100">
              <a:solidFill>
                <a:srgbClr val="000000"/>
              </a:solidFill>
              <a:latin typeface="Times New Roman"/>
              <a:ea typeface="Times New Roman"/>
              <a:cs typeface="Times New Roman"/>
              <a:sym typeface="Times New Roman"/>
            </a:rPr>
            <a:t>ABOUT</a:t>
          </a:r>
          <a:endParaRPr sz="1400"/>
        </a:p>
      </xdr:txBody>
    </xdr:sp>
    <xdr:clientData fLocksWithSheet="0"/>
  </xdr:oneCellAnchor>
  <xdr:oneCellAnchor>
    <xdr:from>
      <xdr:col>14</xdr:col>
      <xdr:colOff>542925</xdr:colOff>
      <xdr:row>2</xdr:row>
      <xdr:rowOff>66675</xdr:rowOff>
    </xdr:from>
    <xdr:ext cx="1200150" cy="276225"/>
    <xdr:sp>
      <xdr:nvSpPr>
        <xdr:cNvPr id="5" name="Shape 5"/>
        <xdr:cNvSpPr/>
      </xdr:nvSpPr>
      <xdr:spPr>
        <a:xfrm>
          <a:off x="4755450" y="3651413"/>
          <a:ext cx="1181100" cy="257175"/>
        </a:xfrm>
        <a:prstGeom prst="roundRect">
          <a:avLst>
            <a:gd fmla="val 16667" name="adj"/>
          </a:avLst>
        </a:prstGeom>
        <a:solidFill>
          <a:schemeClr val="accent2"/>
        </a:solidFill>
        <a:ln cap="flat" cmpd="sng" w="1905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100"/>
            <a:buFont typeface="Arial"/>
            <a:buNone/>
          </a:pPr>
          <a:r>
            <a:rPr b="1" lang="en-US" sz="1100">
              <a:solidFill>
                <a:srgbClr val="000000"/>
              </a:solidFill>
              <a:latin typeface="Arial"/>
              <a:ea typeface="Arial"/>
              <a:cs typeface="Arial"/>
              <a:sym typeface="Arial"/>
            </a:rPr>
            <a:t>SHOW TOOLS</a:t>
          </a:r>
          <a:endParaRPr b="1" sz="1100">
            <a:solidFill>
              <a:srgbClr val="000000"/>
            </a:solidFill>
          </a:endParaRPr>
        </a:p>
      </xdr:txBody>
    </xdr:sp>
    <xdr:clientData fLocksWithSheet="0"/>
  </xdr:oneCellAnchor>
  <xdr:oneCellAnchor>
    <xdr:from>
      <xdr:col>16</xdr:col>
      <xdr:colOff>581025</xdr:colOff>
      <xdr:row>2</xdr:row>
      <xdr:rowOff>85725</xdr:rowOff>
    </xdr:from>
    <xdr:ext cx="1095375" cy="209550"/>
    <xdr:sp>
      <xdr:nvSpPr>
        <xdr:cNvPr id="6" name="Shape 6"/>
        <xdr:cNvSpPr/>
      </xdr:nvSpPr>
      <xdr:spPr>
        <a:xfrm>
          <a:off x="4807838" y="3684750"/>
          <a:ext cx="1076325" cy="190500"/>
        </a:xfrm>
        <a:prstGeom prst="roundRect">
          <a:avLst>
            <a:gd fmla="val 16667" name="adj"/>
          </a:avLst>
        </a:prstGeom>
        <a:solidFill>
          <a:schemeClr val="accent4"/>
        </a:solidFill>
        <a:ln cap="flat" cmpd="sng" w="19050">
          <a:solidFill>
            <a:schemeClr val="l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rgbClr val="000000"/>
            </a:buClr>
            <a:buSzPts val="1100"/>
            <a:buFont typeface="Arial"/>
            <a:buNone/>
          </a:pPr>
          <a:r>
            <a:rPr b="1" lang="en-US" sz="1100">
              <a:solidFill>
                <a:srgbClr val="000000"/>
              </a:solidFill>
              <a:latin typeface="Arial"/>
              <a:ea typeface="Arial"/>
              <a:cs typeface="Arial"/>
              <a:sym typeface="Arial"/>
            </a:rPr>
            <a:t>HIDE TOOLS</a:t>
          </a:r>
          <a:endParaRPr sz="1400"/>
        </a:p>
      </xdr:txBody>
    </xdr:sp>
    <xdr:clientData fLocksWithSheet="0"/>
  </xdr:oneCellAnchor>
  <xdr:oneCellAnchor>
    <xdr:from>
      <xdr:col>2</xdr:col>
      <xdr:colOff>38100</xdr:colOff>
      <xdr:row>10</xdr:row>
      <xdr:rowOff>66675</xdr:rowOff>
    </xdr:from>
    <xdr:ext cx="952500" cy="590550"/>
    <xdr:sp>
      <xdr:nvSpPr>
        <xdr:cNvPr id="7" name="Shape 7"/>
        <xdr:cNvSpPr/>
      </xdr:nvSpPr>
      <xdr:spPr>
        <a:xfrm>
          <a:off x="4879200" y="3495800"/>
          <a:ext cx="933600" cy="4911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a:t>
          </a:r>
          <a:r>
            <a:rPr b="1" lang="en-US" sz="1100">
              <a:solidFill>
                <a:srgbClr val="000000"/>
              </a:solidFill>
              <a:latin typeface="Times New Roman"/>
              <a:ea typeface="Times New Roman"/>
              <a:cs typeface="Times New Roman"/>
              <a:sym typeface="Times New Roman"/>
            </a:rPr>
            <a:t>A LEVEL</a:t>
          </a:r>
          <a:endParaRPr b="1" sz="1100">
            <a:solidFill>
              <a:srgbClr val="000000"/>
            </a:solidFill>
            <a:latin typeface="Times New Roman"/>
            <a:ea typeface="Times New Roman"/>
            <a:cs typeface="Times New Roman"/>
            <a:sym typeface="Times New Roman"/>
          </a:endParaRPr>
        </a:p>
        <a:p>
          <a:pPr indent="0" lvl="0" marL="0" rtl="0" algn="l">
            <a:spcBef>
              <a:spcPts val="0"/>
            </a:spcBef>
            <a:spcAft>
              <a:spcPts val="0"/>
            </a:spcAft>
            <a:buSzPts val="1100"/>
            <a:buFont typeface="Arial"/>
            <a:buNone/>
          </a:pPr>
          <a:r>
            <a:t/>
          </a:r>
          <a:endParaRPr b="1" sz="1100">
            <a:latin typeface="Times New Roman"/>
            <a:ea typeface="Times New Roman"/>
            <a:cs typeface="Times New Roman"/>
            <a:sym typeface="Times New Roman"/>
          </a:endParaRPr>
        </a:p>
      </xdr:txBody>
    </xdr:sp>
    <xdr:clientData fLocksWithSheet="0"/>
  </xdr:oneCellAnchor>
  <xdr:oneCellAnchor>
    <xdr:from>
      <xdr:col>15</xdr:col>
      <xdr:colOff>304800</xdr:colOff>
      <xdr:row>12</xdr:row>
      <xdr:rowOff>85725</xdr:rowOff>
    </xdr:from>
    <xdr:ext cx="714375" cy="276225"/>
    <xdr:sp>
      <xdr:nvSpPr>
        <xdr:cNvPr id="8" name="Shape 8"/>
        <xdr:cNvSpPr/>
      </xdr:nvSpPr>
      <xdr:spPr>
        <a:xfrm>
          <a:off x="4993575" y="3646650"/>
          <a:ext cx="704850" cy="2667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b="1" lang="en-US" sz="1100"/>
            <a:t>                   LS1 B</a:t>
          </a:r>
          <a:endParaRPr b="1" sz="1100">
            <a:solidFill>
              <a:srgbClr val="000000"/>
            </a:solidFill>
          </a:endParaRPr>
        </a:p>
      </xdr:txBody>
    </xdr:sp>
    <xdr:clientData fLocksWithSheet="0"/>
  </xdr:oneCellAnchor>
  <xdr:oneCellAnchor>
    <xdr:from>
      <xdr:col>13</xdr:col>
      <xdr:colOff>581025</xdr:colOff>
      <xdr:row>12</xdr:row>
      <xdr:rowOff>66675</xdr:rowOff>
    </xdr:from>
    <xdr:ext cx="800100" cy="304800"/>
    <xdr:sp>
      <xdr:nvSpPr>
        <xdr:cNvPr id="9" name="Shape 9"/>
        <xdr:cNvSpPr/>
      </xdr:nvSpPr>
      <xdr:spPr>
        <a:xfrm>
          <a:off x="4950713" y="3637125"/>
          <a:ext cx="790575" cy="28575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LS1 A</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3</xdr:col>
      <xdr:colOff>485775</xdr:colOff>
      <xdr:row>11</xdr:row>
      <xdr:rowOff>9525</xdr:rowOff>
    </xdr:from>
    <xdr:ext cx="952500" cy="504825"/>
    <xdr:sp>
      <xdr:nvSpPr>
        <xdr:cNvPr id="10" name="Shape 10">
          <a:hlinkClick r:id="rId3"/>
        </xdr:cNvPr>
        <xdr:cNvSpPr/>
      </xdr:nvSpPr>
      <xdr:spPr>
        <a:xfrm>
          <a:off x="4879275" y="3637125"/>
          <a:ext cx="933600" cy="4860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AS LEVEL</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12</xdr:col>
      <xdr:colOff>314325</xdr:colOff>
      <xdr:row>12</xdr:row>
      <xdr:rowOff>76200</xdr:rowOff>
    </xdr:from>
    <xdr:ext cx="809625" cy="428625"/>
    <xdr:sp>
      <xdr:nvSpPr>
        <xdr:cNvPr id="11" name="Shape 11">
          <a:hlinkClick r:id="rId4"/>
        </xdr:cNvPr>
        <xdr:cNvSpPr/>
      </xdr:nvSpPr>
      <xdr:spPr>
        <a:xfrm>
          <a:off x="4950725" y="3646650"/>
          <a:ext cx="790500" cy="4083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LS2 B</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10</xdr:col>
      <xdr:colOff>390525</xdr:colOff>
      <xdr:row>12</xdr:row>
      <xdr:rowOff>57150</xdr:rowOff>
    </xdr:from>
    <xdr:ext cx="885825" cy="428625"/>
    <xdr:sp>
      <xdr:nvSpPr>
        <xdr:cNvPr id="12" name="Shape 12">
          <a:hlinkClick r:id="rId5"/>
        </xdr:cNvPr>
        <xdr:cNvSpPr/>
      </xdr:nvSpPr>
      <xdr:spPr>
        <a:xfrm>
          <a:off x="4912625" y="3646650"/>
          <a:ext cx="866700" cy="4491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LS2 A</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5</xdr:col>
      <xdr:colOff>447675</xdr:colOff>
      <xdr:row>11</xdr:row>
      <xdr:rowOff>66675</xdr:rowOff>
    </xdr:from>
    <xdr:ext cx="1095375" cy="495300"/>
    <xdr:sp>
      <xdr:nvSpPr>
        <xdr:cNvPr id="13" name="Shape 13"/>
        <xdr:cNvSpPr/>
      </xdr:nvSpPr>
      <xdr:spPr>
        <a:xfrm>
          <a:off x="4807850" y="3651435"/>
          <a:ext cx="1076400" cy="4716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IGCSE 1</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7</xdr:col>
      <xdr:colOff>314325</xdr:colOff>
      <xdr:row>11</xdr:row>
      <xdr:rowOff>133350</xdr:rowOff>
    </xdr:from>
    <xdr:ext cx="952500" cy="428625"/>
    <xdr:sp>
      <xdr:nvSpPr>
        <xdr:cNvPr id="14" name="Shape 14"/>
        <xdr:cNvSpPr/>
      </xdr:nvSpPr>
      <xdr:spPr>
        <a:xfrm>
          <a:off x="4879275" y="3637125"/>
          <a:ext cx="933600" cy="4860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a:t>
          </a:r>
          <a:r>
            <a:rPr b="1" lang="en-US" sz="1100">
              <a:solidFill>
                <a:srgbClr val="000000"/>
              </a:solidFill>
              <a:latin typeface="Times New Roman"/>
              <a:ea typeface="Times New Roman"/>
              <a:cs typeface="Times New Roman"/>
              <a:sym typeface="Times New Roman"/>
            </a:rPr>
            <a:t>LS3 A</a:t>
          </a:r>
          <a:endParaRPr b="1" sz="1100">
            <a:solidFill>
              <a:srgbClr val="000000"/>
            </a:solidFill>
            <a:latin typeface="Times New Roman"/>
            <a:ea typeface="Times New Roman"/>
            <a:cs typeface="Times New Roman"/>
            <a:sym typeface="Times New Roman"/>
          </a:endParaRPr>
        </a:p>
      </xdr:txBody>
    </xdr:sp>
    <xdr:clientData fLocksWithSheet="0"/>
  </xdr:oneCellAnchor>
  <xdr:oneCellAnchor>
    <xdr:from>
      <xdr:col>9</xdr:col>
      <xdr:colOff>95250</xdr:colOff>
      <xdr:row>12</xdr:row>
      <xdr:rowOff>19050</xdr:rowOff>
    </xdr:from>
    <xdr:ext cx="809625" cy="428625"/>
    <xdr:sp>
      <xdr:nvSpPr>
        <xdr:cNvPr id="15" name="Shape 15"/>
        <xdr:cNvSpPr/>
      </xdr:nvSpPr>
      <xdr:spPr>
        <a:xfrm>
          <a:off x="4950725" y="3646650"/>
          <a:ext cx="790500" cy="503700"/>
        </a:xfrm>
        <a:prstGeom prst="roundRect">
          <a:avLst>
            <a:gd fmla="val 16667" name="adj"/>
          </a:avLst>
        </a:prstGeom>
        <a:solidFill>
          <a:schemeClr val="accent1"/>
        </a:solidFill>
        <a:ln cap="flat" cmpd="sng" w="12700">
          <a:solidFill>
            <a:srgbClr val="1B3867"/>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Times New Roman"/>
            <a:buNone/>
          </a:pPr>
          <a:r>
            <a:rPr b="1" lang="en-US" sz="1100">
              <a:latin typeface="Times New Roman"/>
              <a:ea typeface="Times New Roman"/>
              <a:cs typeface="Times New Roman"/>
              <a:sym typeface="Times New Roman"/>
            </a:rPr>
            <a:t>                 </a:t>
          </a:r>
          <a:r>
            <a:rPr b="1" lang="en-US" sz="1100">
              <a:solidFill>
                <a:srgbClr val="000000"/>
              </a:solidFill>
              <a:latin typeface="Times New Roman"/>
              <a:ea typeface="Times New Roman"/>
              <a:cs typeface="Times New Roman"/>
              <a:sym typeface="Times New Roman"/>
            </a:rPr>
            <a:t>LS3 </a:t>
          </a:r>
          <a:r>
            <a:rPr b="1" lang="en-US" sz="1100">
              <a:latin typeface="Times New Roman"/>
              <a:ea typeface="Times New Roman"/>
              <a:cs typeface="Times New Roman"/>
              <a:sym typeface="Times New Roman"/>
            </a:rPr>
            <a:t>B</a:t>
          </a:r>
          <a:endParaRPr b="1" sz="1100">
            <a:solidFill>
              <a:srgbClr val="000000"/>
            </a:solidFill>
            <a:latin typeface="Times New Roman"/>
            <a:ea typeface="Times New Roman"/>
            <a:cs typeface="Times New Roman"/>
            <a:sym typeface="Times New Roman"/>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5</xdr:row>
      <xdr:rowOff>85725</xdr:rowOff>
    </xdr:from>
    <xdr:ext cx="8096250" cy="914400"/>
    <xdr:grpSp>
      <xdr:nvGrpSpPr>
        <xdr:cNvPr id="2" name="Shape 2" title="Drawing"/>
        <xdr:cNvGrpSpPr/>
      </xdr:nvGrpSpPr>
      <xdr:grpSpPr>
        <a:xfrm>
          <a:off x="1307400" y="3332325"/>
          <a:ext cx="8077200" cy="895350"/>
          <a:chOff x="1307400" y="3332325"/>
          <a:chExt cx="8077200" cy="895350"/>
        </a:xfrm>
      </xdr:grpSpPr>
      <xdr:grpSp>
        <xdr:nvGrpSpPr>
          <xdr:cNvPr id="16" name="Shape 16" title="Drawing"/>
          <xdr:cNvGrpSpPr/>
        </xdr:nvGrpSpPr>
        <xdr:grpSpPr>
          <a:xfrm>
            <a:off x="1307400" y="3332325"/>
            <a:ext cx="80772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8" name="Shape 18"/>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19" name="Shape 19"/>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952500</xdr:colOff>
      <xdr:row>12</xdr:row>
      <xdr:rowOff>57150</xdr:rowOff>
    </xdr:from>
    <xdr:ext cx="8039100" cy="1000125"/>
    <xdr:grpSp>
      <xdr:nvGrpSpPr>
        <xdr:cNvPr id="2" name="Shape 2" title="Drawing"/>
        <xdr:cNvGrpSpPr/>
      </xdr:nvGrpSpPr>
      <xdr:grpSpPr>
        <a:xfrm>
          <a:off x="1335975" y="3289463"/>
          <a:ext cx="8020050" cy="981075"/>
          <a:chOff x="1335975" y="3289463"/>
          <a:chExt cx="8020050" cy="981075"/>
        </a:xfrm>
      </xdr:grpSpPr>
      <xdr:grpSp>
        <xdr:nvGrpSpPr>
          <xdr:cNvPr id="20" name="Shape 20" title="Drawing"/>
          <xdr:cNvGrpSpPr/>
        </xdr:nvGrpSpPr>
        <xdr:grpSpPr>
          <a:xfrm>
            <a:off x="1335975" y="3289463"/>
            <a:ext cx="802005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1" name="Shape 21"/>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22" name="Shape 22"/>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3</xdr:col>
      <xdr:colOff>923925</xdr:colOff>
      <xdr:row>1</xdr:row>
      <xdr:rowOff>57150</xdr:rowOff>
    </xdr:from>
    <xdr:ext cx="80962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69</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69</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6</xdr:row>
      <xdr:rowOff>9525</xdr:rowOff>
    </xdr:from>
    <xdr:ext cx="8420100" cy="914400"/>
    <xdr:grpSp>
      <xdr:nvGrpSpPr>
        <xdr:cNvPr id="2" name="Shape 2" title="Drawing"/>
        <xdr:cNvGrpSpPr/>
      </xdr:nvGrpSpPr>
      <xdr:grpSpPr>
        <a:xfrm>
          <a:off x="1145475" y="3332325"/>
          <a:ext cx="8401050" cy="895350"/>
          <a:chOff x="1145475" y="3332325"/>
          <a:chExt cx="8401050" cy="895350"/>
        </a:xfrm>
      </xdr:grpSpPr>
      <xdr:grpSp>
        <xdr:nvGrpSpPr>
          <xdr:cNvPr id="23" name="Shape 23" title="Drawing"/>
          <xdr:cNvGrpSpPr/>
        </xdr:nvGrpSpPr>
        <xdr:grpSpPr>
          <a:xfrm>
            <a:off x="1145475" y="3332325"/>
            <a:ext cx="840105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4" name="Shape 2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25" name="Shape 2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219075</xdr:colOff>
      <xdr:row>12</xdr:row>
      <xdr:rowOff>152400</xdr:rowOff>
    </xdr:from>
    <xdr:ext cx="8420100" cy="1000125"/>
    <xdr:grpSp>
      <xdr:nvGrpSpPr>
        <xdr:cNvPr id="2" name="Shape 2" title="Drawing"/>
        <xdr:cNvGrpSpPr/>
      </xdr:nvGrpSpPr>
      <xdr:grpSpPr>
        <a:xfrm>
          <a:off x="1145475" y="3289463"/>
          <a:ext cx="8401050" cy="981075"/>
          <a:chOff x="1145475" y="3289463"/>
          <a:chExt cx="8401050" cy="981075"/>
        </a:xfrm>
      </xdr:grpSpPr>
      <xdr:grpSp>
        <xdr:nvGrpSpPr>
          <xdr:cNvPr id="26" name="Shape 26" title="Drawing"/>
          <xdr:cNvGrpSpPr/>
        </xdr:nvGrpSpPr>
        <xdr:grpSpPr>
          <a:xfrm>
            <a:off x="1145475" y="3289463"/>
            <a:ext cx="840105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27" name="Shape 2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28" name="Shape 2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3</xdr:col>
      <xdr:colOff>742950</xdr:colOff>
      <xdr:row>1</xdr:row>
      <xdr:rowOff>85725</xdr:rowOff>
    </xdr:from>
    <xdr:ext cx="90487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67</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67</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561975</xdr:colOff>
      <xdr:row>5</xdr:row>
      <xdr:rowOff>104775</xdr:rowOff>
    </xdr:from>
    <xdr:ext cx="8429625" cy="895350"/>
    <xdr:grpSp>
      <xdr:nvGrpSpPr>
        <xdr:cNvPr id="2" name="Shape 2"/>
        <xdr:cNvGrpSpPr/>
      </xdr:nvGrpSpPr>
      <xdr:grpSpPr>
        <a:xfrm>
          <a:off x="1131188" y="3332325"/>
          <a:ext cx="8429625" cy="895350"/>
          <a:chOff x="1131188" y="3332325"/>
          <a:chExt cx="8429625" cy="895350"/>
        </a:xfrm>
      </xdr:grpSpPr>
      <xdr:grpSp>
        <xdr:nvGrpSpPr>
          <xdr:cNvPr id="29" name="Shape 29" title="Drawing"/>
          <xdr:cNvGrpSpPr/>
        </xdr:nvGrpSpPr>
        <xdr:grpSpPr>
          <a:xfrm>
            <a:off x="1131188" y="3332325"/>
            <a:ext cx="8429625"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0" name="Shape 30"/>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31" name="Shape 31"/>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561975</xdr:colOff>
      <xdr:row>12</xdr:row>
      <xdr:rowOff>66675</xdr:rowOff>
    </xdr:from>
    <xdr:ext cx="8448675" cy="1000125"/>
    <xdr:grpSp>
      <xdr:nvGrpSpPr>
        <xdr:cNvPr id="2" name="Shape 2" title="Drawing"/>
        <xdr:cNvGrpSpPr/>
      </xdr:nvGrpSpPr>
      <xdr:grpSpPr>
        <a:xfrm>
          <a:off x="1131188" y="3289463"/>
          <a:ext cx="8429625" cy="981075"/>
          <a:chOff x="1131188" y="3289463"/>
          <a:chExt cx="8429625" cy="981075"/>
        </a:xfrm>
      </xdr:grpSpPr>
      <xdr:grpSp>
        <xdr:nvGrpSpPr>
          <xdr:cNvPr id="32" name="Shape 32" title="Drawing"/>
          <xdr:cNvGrpSpPr/>
        </xdr:nvGrpSpPr>
        <xdr:grpSpPr>
          <a:xfrm>
            <a:off x="1131188" y="3289463"/>
            <a:ext cx="8429625"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3" name="Shape 33"/>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34" name="Shape 34"/>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3</xdr:col>
      <xdr:colOff>647700</xdr:colOff>
      <xdr:row>0</xdr:row>
      <xdr:rowOff>85725</xdr:rowOff>
    </xdr:from>
    <xdr:ext cx="904875" cy="7143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67</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67</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600075</xdr:colOff>
      <xdr:row>5</xdr:row>
      <xdr:rowOff>95250</xdr:rowOff>
    </xdr:from>
    <xdr:ext cx="8991600" cy="914400"/>
    <xdr:grpSp>
      <xdr:nvGrpSpPr>
        <xdr:cNvPr id="2" name="Shape 2" title="Drawing"/>
        <xdr:cNvGrpSpPr/>
      </xdr:nvGrpSpPr>
      <xdr:grpSpPr>
        <a:xfrm>
          <a:off x="859725" y="3332325"/>
          <a:ext cx="8972550" cy="895350"/>
          <a:chOff x="859725" y="3332325"/>
          <a:chExt cx="8972550" cy="895350"/>
        </a:xfrm>
      </xdr:grpSpPr>
      <xdr:grpSp>
        <xdr:nvGrpSpPr>
          <xdr:cNvPr id="35" name="Shape 35" title="Drawing"/>
          <xdr:cNvGrpSpPr/>
        </xdr:nvGrpSpPr>
        <xdr:grpSpPr>
          <a:xfrm>
            <a:off x="859725" y="3332325"/>
            <a:ext cx="897255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6" name="Shape 36"/>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37" name="Shape 37"/>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600075</xdr:colOff>
      <xdr:row>12</xdr:row>
      <xdr:rowOff>85725</xdr:rowOff>
    </xdr:from>
    <xdr:ext cx="8991600" cy="1000125"/>
    <xdr:grpSp>
      <xdr:nvGrpSpPr>
        <xdr:cNvPr id="2" name="Shape 2" title="Drawing"/>
        <xdr:cNvGrpSpPr/>
      </xdr:nvGrpSpPr>
      <xdr:grpSpPr>
        <a:xfrm>
          <a:off x="859725" y="3289463"/>
          <a:ext cx="8972550" cy="981075"/>
          <a:chOff x="859725" y="3289463"/>
          <a:chExt cx="8972550" cy="981075"/>
        </a:xfrm>
      </xdr:grpSpPr>
      <xdr:grpSp>
        <xdr:nvGrpSpPr>
          <xdr:cNvPr id="38" name="Shape 38" title="Drawing"/>
          <xdr:cNvGrpSpPr/>
        </xdr:nvGrpSpPr>
        <xdr:grpSpPr>
          <a:xfrm>
            <a:off x="859725" y="3289463"/>
            <a:ext cx="897255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39" name="Shape 39"/>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40" name="Shape 40"/>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TERM 3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3</xdr:col>
      <xdr:colOff>647700</xdr:colOff>
      <xdr:row>1</xdr:row>
      <xdr:rowOff>19050</xdr:rowOff>
    </xdr:from>
    <xdr:ext cx="80962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71</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71</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6</xdr:row>
      <xdr:rowOff>76200</xdr:rowOff>
    </xdr:from>
    <xdr:ext cx="8210550" cy="914400"/>
    <xdr:grpSp>
      <xdr:nvGrpSpPr>
        <xdr:cNvPr id="2" name="Shape 2" title="Drawing"/>
        <xdr:cNvGrpSpPr/>
      </xdr:nvGrpSpPr>
      <xdr:grpSpPr>
        <a:xfrm>
          <a:off x="1250250" y="3332325"/>
          <a:ext cx="8191500" cy="895350"/>
          <a:chOff x="1250250" y="3332325"/>
          <a:chExt cx="8191500" cy="895350"/>
        </a:xfrm>
      </xdr:grpSpPr>
      <xdr:grpSp>
        <xdr:nvGrpSpPr>
          <xdr:cNvPr id="41" name="Shape 41" title="Drawing"/>
          <xdr:cNvGrpSpPr/>
        </xdr:nvGrpSpPr>
        <xdr:grpSpPr>
          <a:xfrm>
            <a:off x="1250250" y="3332325"/>
            <a:ext cx="81915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2" name="Shape 42"/>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43" name="Shape 43"/>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333375</xdr:colOff>
      <xdr:row>12</xdr:row>
      <xdr:rowOff>114300</xdr:rowOff>
    </xdr:from>
    <xdr:ext cx="8210550" cy="1000125"/>
    <xdr:grpSp>
      <xdr:nvGrpSpPr>
        <xdr:cNvPr id="2" name="Shape 2" title="Drawing"/>
        <xdr:cNvGrpSpPr/>
      </xdr:nvGrpSpPr>
      <xdr:grpSpPr>
        <a:xfrm>
          <a:off x="1250250" y="3289463"/>
          <a:ext cx="8191500" cy="981075"/>
          <a:chOff x="1250250" y="3289463"/>
          <a:chExt cx="8191500" cy="981075"/>
        </a:xfrm>
      </xdr:grpSpPr>
      <xdr:grpSp>
        <xdr:nvGrpSpPr>
          <xdr:cNvPr id="44" name="Shape 44" title="Drawing"/>
          <xdr:cNvGrpSpPr/>
        </xdr:nvGrpSpPr>
        <xdr:grpSpPr>
          <a:xfrm>
            <a:off x="1250250" y="3289463"/>
            <a:ext cx="81915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5" name="Shape 45"/>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46" name="Shape 46"/>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2</xdr:col>
      <xdr:colOff>1876425</xdr:colOff>
      <xdr:row>1</xdr:row>
      <xdr:rowOff>152400</xdr:rowOff>
    </xdr:from>
    <xdr:ext cx="80962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69</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69</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333375</xdr:colOff>
      <xdr:row>5</xdr:row>
      <xdr:rowOff>152400</xdr:rowOff>
    </xdr:from>
    <xdr:ext cx="8458200" cy="914400"/>
    <xdr:grpSp>
      <xdr:nvGrpSpPr>
        <xdr:cNvPr id="2" name="Shape 2" title="Drawing"/>
        <xdr:cNvGrpSpPr/>
      </xdr:nvGrpSpPr>
      <xdr:grpSpPr>
        <a:xfrm>
          <a:off x="1126425" y="3332325"/>
          <a:ext cx="8439150" cy="895350"/>
          <a:chOff x="1126425" y="3332325"/>
          <a:chExt cx="8439150" cy="895350"/>
        </a:xfrm>
      </xdr:grpSpPr>
      <xdr:grpSp>
        <xdr:nvGrpSpPr>
          <xdr:cNvPr id="47" name="Shape 47" title="Drawing"/>
          <xdr:cNvGrpSpPr/>
        </xdr:nvGrpSpPr>
        <xdr:grpSpPr>
          <a:xfrm>
            <a:off x="1126425" y="3332325"/>
            <a:ext cx="843915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8" name="Shape 48"/>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49" name="Shape 49"/>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333375</xdr:colOff>
      <xdr:row>12</xdr:row>
      <xdr:rowOff>85725</xdr:rowOff>
    </xdr:from>
    <xdr:ext cx="8401050" cy="1123950"/>
    <xdr:grpSp>
      <xdr:nvGrpSpPr>
        <xdr:cNvPr id="2" name="Shape 2" title="Drawing"/>
        <xdr:cNvGrpSpPr/>
      </xdr:nvGrpSpPr>
      <xdr:grpSpPr>
        <a:xfrm>
          <a:off x="1155053" y="3289653"/>
          <a:ext cx="8382183" cy="1105951"/>
          <a:chOff x="1155053" y="3289653"/>
          <a:chExt cx="8382183" cy="1105951"/>
        </a:xfrm>
      </xdr:grpSpPr>
      <xdr:grpSp>
        <xdr:nvGrpSpPr>
          <xdr:cNvPr id="50" name="Shape 50" title="Drawing"/>
          <xdr:cNvGrpSpPr/>
        </xdr:nvGrpSpPr>
        <xdr:grpSpPr>
          <a:xfrm>
            <a:off x="1155053" y="3289653"/>
            <a:ext cx="8382183" cy="1105951"/>
            <a:chOff x="2207517" y="3541875"/>
            <a:chExt cx="6276908" cy="1179304"/>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1" name="Shape 51"/>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2" name="Shape 52"/>
            <xdr:cNvSpPr/>
          </xdr:nvSpPr>
          <xdr:spPr>
            <a:xfrm>
              <a:off x="2207517" y="3541879"/>
              <a:ext cx="6276900" cy="11793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LOWER SECONDARY</a:t>
              </a:r>
              <a:endParaRPr sz="1400"/>
            </a:p>
          </xdr:txBody>
        </xdr:sp>
      </xdr:grpSp>
    </xdr:grpSp>
    <xdr:clientData fLocksWithSheet="0"/>
  </xdr:oneCellAnchor>
  <xdr:oneCellAnchor>
    <xdr:from>
      <xdr:col>3</xdr:col>
      <xdr:colOff>209550</xdr:colOff>
      <xdr:row>1</xdr:row>
      <xdr:rowOff>28575</xdr:rowOff>
    </xdr:from>
    <xdr:ext cx="809625" cy="6381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68</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68</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581025</xdr:colOff>
      <xdr:row>6</xdr:row>
      <xdr:rowOff>76200</xdr:rowOff>
    </xdr:from>
    <xdr:ext cx="8248650" cy="91440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b="1" lang="en-US" sz="1200">
                  <a:solidFill>
                    <a:schemeClr val="dk1"/>
                  </a:solidFill>
                </a:rPr>
                <a:t> </a:t>
              </a:r>
              <a:r>
                <a:rPr b="1" lang="en-US" sz="2000">
                  <a:solidFill>
                    <a:srgbClr val="277E3E"/>
                  </a:solidFill>
                </a:rPr>
                <a:t>LUSAKA OAKTREE SCHOOL</a:t>
              </a:r>
              <a:endParaRPr b="1"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100"/>
                <a:t>    </a:t>
              </a:r>
              <a:r>
                <a:rPr b="1" lang="en-US" sz="1400"/>
                <a:t>‘</a:t>
              </a:r>
              <a:r>
                <a:rPr b="1" lang="en-US" sz="1700"/>
                <a:t>LEADERSHIP AND EXCELLENCE’</a:t>
              </a:r>
              <a:endParaRPr b="1" sz="1200">
                <a:solidFill>
                  <a:schemeClr val="dk1"/>
                </a:solidFill>
              </a:endParaRPr>
            </a:p>
          </xdr:txBody>
        </xdr:sp>
      </xdr:grpSp>
    </xdr:grpSp>
    <xdr:clientData fLocksWithSheet="0"/>
  </xdr:oneCellAnchor>
  <xdr:oneCellAnchor>
    <xdr:from>
      <xdr:col>1</xdr:col>
      <xdr:colOff>447675</xdr:colOff>
      <xdr:row>12</xdr:row>
      <xdr:rowOff>66675</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3</xdr:col>
      <xdr:colOff>238125</xdr:colOff>
      <xdr:row>0</xdr:row>
      <xdr:rowOff>28575</xdr:rowOff>
    </xdr:from>
    <xdr:ext cx="1114425" cy="9620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63</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63</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581025</xdr:colOff>
      <xdr:row>6</xdr:row>
      <xdr:rowOff>76200</xdr:rowOff>
    </xdr:from>
    <xdr:ext cx="8248650" cy="91440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b="1" lang="en-US" sz="1200">
                  <a:solidFill>
                    <a:schemeClr val="dk1"/>
                  </a:solidFill>
                </a:rPr>
                <a:t> </a:t>
              </a:r>
              <a:r>
                <a:rPr b="1" lang="en-US" sz="2000">
                  <a:solidFill>
                    <a:srgbClr val="277E3E"/>
                  </a:solidFill>
                </a:rPr>
                <a:t>LUSAKA OAKTREE SCHOOL</a:t>
              </a:r>
              <a:endParaRPr b="1"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100"/>
                <a:t>    </a:t>
              </a:r>
              <a:r>
                <a:rPr b="1" lang="en-US" sz="1400"/>
                <a:t>‘</a:t>
              </a:r>
              <a:r>
                <a:rPr b="1" lang="en-US" sz="1700"/>
                <a:t>LEADERSHIP AND EXCELLENCE’</a:t>
              </a:r>
              <a:endParaRPr b="1" sz="1200">
                <a:solidFill>
                  <a:schemeClr val="dk1"/>
                </a:solidFill>
              </a:endParaRPr>
            </a:p>
          </xdr:txBody>
        </xdr:sp>
      </xdr:grpSp>
    </xdr:grpSp>
    <xdr:clientData fLocksWithSheet="0"/>
  </xdr:oneCellAnchor>
  <xdr:oneCellAnchor>
    <xdr:from>
      <xdr:col>1</xdr:col>
      <xdr:colOff>447675</xdr:colOff>
      <xdr:row>12</xdr:row>
      <xdr:rowOff>66675</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3</xdr:col>
      <xdr:colOff>238125</xdr:colOff>
      <xdr:row>0</xdr:row>
      <xdr:rowOff>28575</xdr:rowOff>
    </xdr:from>
    <xdr:ext cx="1114425" cy="9620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66</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66</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5</xdr:row>
      <xdr:rowOff>9525</xdr:rowOff>
    </xdr:from>
    <xdr:ext cx="8248650" cy="91440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361950</xdr:colOff>
      <xdr:row>11</xdr:row>
      <xdr:rowOff>152400</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2</xdr:col>
      <xdr:colOff>1809750</xdr:colOff>
      <xdr:row>0</xdr:row>
      <xdr:rowOff>47625</xdr:rowOff>
    </xdr:from>
    <xdr:ext cx="857250" cy="6762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66</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66</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5</xdr:row>
      <xdr:rowOff>9525</xdr:rowOff>
    </xdr:from>
    <xdr:ext cx="8248650" cy="91440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361950</xdr:colOff>
      <xdr:row>11</xdr:row>
      <xdr:rowOff>152400</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2</xdr:col>
      <xdr:colOff>1933575</xdr:colOff>
      <xdr:row>0</xdr:row>
      <xdr:rowOff>38100</xdr:rowOff>
    </xdr:from>
    <xdr:ext cx="857250" cy="6762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63</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63</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6</xdr:row>
      <xdr:rowOff>57150</xdr:rowOff>
    </xdr:from>
    <xdr:ext cx="8229600" cy="89535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352425</xdr:colOff>
      <xdr:row>12</xdr:row>
      <xdr:rowOff>142875</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3</xdr:col>
      <xdr:colOff>238125</xdr:colOff>
      <xdr:row>0</xdr:row>
      <xdr:rowOff>28575</xdr:rowOff>
    </xdr:from>
    <xdr:ext cx="1190625" cy="9620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63</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63</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6</xdr:row>
      <xdr:rowOff>19050</xdr:rowOff>
    </xdr:from>
    <xdr:ext cx="8248650" cy="914400"/>
    <xdr:grpSp>
      <xdr:nvGrpSpPr>
        <xdr:cNvPr id="2" name="Shape 2" title="Drawing"/>
        <xdr:cNvGrpSpPr/>
      </xdr:nvGrpSpPr>
      <xdr:grpSpPr>
        <a:xfrm>
          <a:off x="1231200" y="3332325"/>
          <a:ext cx="8229600" cy="895350"/>
          <a:chOff x="1231200" y="3332325"/>
          <a:chExt cx="8229600" cy="895350"/>
        </a:xfrm>
      </xdr:grpSpPr>
      <xdr:grpSp>
        <xdr:nvGrpSpPr>
          <xdr:cNvPr id="53" name="Shape 53" title="Drawing"/>
          <xdr:cNvGrpSpPr/>
        </xdr:nvGrpSpPr>
        <xdr:grpSpPr>
          <a:xfrm>
            <a:off x="1231200" y="3332325"/>
            <a:ext cx="822960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4" name="Shape 54"/>
            <xdr:cNvSpPr/>
          </xdr:nvSpPr>
          <xdr:spPr>
            <a:xfrm>
              <a:off x="2131313" y="3346613"/>
              <a:ext cx="64293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55" name="Shape 55"/>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561975</xdr:colOff>
      <xdr:row>13</xdr:row>
      <xdr:rowOff>9525</xdr:rowOff>
    </xdr:from>
    <xdr:ext cx="8248650" cy="1000125"/>
    <xdr:grpSp>
      <xdr:nvGrpSpPr>
        <xdr:cNvPr id="2" name="Shape 2" title="Drawing"/>
        <xdr:cNvGrpSpPr/>
      </xdr:nvGrpSpPr>
      <xdr:grpSpPr>
        <a:xfrm>
          <a:off x="1231200" y="3289463"/>
          <a:ext cx="8229600" cy="981075"/>
          <a:chOff x="1231200" y="3289463"/>
          <a:chExt cx="8229600" cy="981075"/>
        </a:xfrm>
      </xdr:grpSpPr>
      <xdr:grpSp>
        <xdr:nvGrpSpPr>
          <xdr:cNvPr id="56" name="Shape 56" title="Drawing"/>
          <xdr:cNvGrpSpPr/>
        </xdr:nvGrpSpPr>
        <xdr:grpSpPr>
          <a:xfrm>
            <a:off x="1231200" y="3289463"/>
            <a:ext cx="822960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7" name="Shape 57"/>
            <xdr:cNvSpPr/>
          </xdr:nvSpPr>
          <xdr:spPr>
            <a:xfrm>
              <a:off x="2212275" y="3546638"/>
              <a:ext cx="62674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58" name="Shape 58"/>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a:t>
              </a:r>
              <a:r>
                <a:rPr lang="en-US" sz="1600" u="sng">
                  <a:solidFill>
                    <a:schemeClr val="dk1"/>
                  </a:solidFill>
                </a:rPr>
                <a:t>SEMESTER 1 </a:t>
              </a:r>
              <a:r>
                <a:rPr lang="en-US" sz="1600" u="sng">
                  <a:solidFill>
                    <a:schemeClr val="dk1"/>
                  </a:solidFill>
                </a:rPr>
                <a:t>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IGCSE</a:t>
              </a:r>
              <a:endParaRPr sz="1400" u="sng"/>
            </a:p>
          </xdr:txBody>
        </xdr:sp>
      </xdr:grpSp>
    </xdr:grpSp>
    <xdr:clientData fLocksWithSheet="0"/>
  </xdr:oneCellAnchor>
  <xdr:oneCellAnchor>
    <xdr:from>
      <xdr:col>3</xdr:col>
      <xdr:colOff>85725</xdr:colOff>
      <xdr:row>0</xdr:row>
      <xdr:rowOff>28575</xdr:rowOff>
    </xdr:from>
    <xdr:ext cx="1114425" cy="100012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63</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63</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1171575</xdr:colOff>
      <xdr:row>5</xdr:row>
      <xdr:rowOff>142875</xdr:rowOff>
    </xdr:from>
    <xdr:ext cx="6457950" cy="895350"/>
    <xdr:grpSp>
      <xdr:nvGrpSpPr>
        <xdr:cNvPr id="2" name="Shape 2"/>
        <xdr:cNvGrpSpPr/>
      </xdr:nvGrpSpPr>
      <xdr:grpSpPr>
        <a:xfrm>
          <a:off x="2117025" y="3332325"/>
          <a:ext cx="6457950" cy="895350"/>
          <a:chOff x="2117025" y="3332325"/>
          <a:chExt cx="6457950" cy="895350"/>
        </a:xfrm>
      </xdr:grpSpPr>
      <xdr:grpSp>
        <xdr:nvGrpSpPr>
          <xdr:cNvPr id="59" name="Shape 59" title="Drawing"/>
          <xdr:cNvGrpSpPr/>
        </xdr:nvGrpSpPr>
        <xdr:grpSpPr>
          <a:xfrm>
            <a:off x="2117025" y="3332325"/>
            <a:ext cx="645795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0" name="Shape 60"/>
            <xdr:cNvSpPr/>
          </xdr:nvSpPr>
          <xdr:spPr>
            <a:xfrm>
              <a:off x="2283713" y="3346613"/>
              <a:ext cx="61245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61" name="Shape 61"/>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1181100</xdr:colOff>
      <xdr:row>12</xdr:row>
      <xdr:rowOff>85725</xdr:rowOff>
    </xdr:from>
    <xdr:ext cx="6477000" cy="1000125"/>
    <xdr:grpSp>
      <xdr:nvGrpSpPr>
        <xdr:cNvPr id="2" name="Shape 2" title="Drawing"/>
        <xdr:cNvGrpSpPr/>
      </xdr:nvGrpSpPr>
      <xdr:grpSpPr>
        <a:xfrm>
          <a:off x="2117025" y="3289463"/>
          <a:ext cx="6457950" cy="981075"/>
          <a:chOff x="2117025" y="3289463"/>
          <a:chExt cx="6457950" cy="981075"/>
        </a:xfrm>
      </xdr:grpSpPr>
      <xdr:grpSp>
        <xdr:nvGrpSpPr>
          <xdr:cNvPr id="62" name="Shape 62" title="Drawing"/>
          <xdr:cNvGrpSpPr/>
        </xdr:nvGrpSpPr>
        <xdr:grpSpPr>
          <a:xfrm>
            <a:off x="2117025" y="3289463"/>
            <a:ext cx="645795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3" name="Shape 63"/>
            <xdr:cNvSpPr/>
          </xdr:nvSpPr>
          <xdr:spPr>
            <a:xfrm>
              <a:off x="2364675" y="3546638"/>
              <a:ext cx="59626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64" name="Shape 64"/>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AS/A LEVEL</a:t>
              </a:r>
              <a:endParaRPr sz="1400"/>
            </a:p>
          </xdr:txBody>
        </xdr:sp>
      </xdr:grpSp>
    </xdr:grpSp>
    <xdr:clientData fLocksWithSheet="0"/>
  </xdr:oneCellAnchor>
  <xdr:oneCellAnchor>
    <xdr:from>
      <xdr:col>3</xdr:col>
      <xdr:colOff>904875</xdr:colOff>
      <xdr:row>0</xdr:row>
      <xdr:rowOff>142875</xdr:rowOff>
    </xdr:from>
    <xdr:ext cx="809625" cy="7620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66</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66</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1171575</xdr:colOff>
      <xdr:row>5</xdr:row>
      <xdr:rowOff>152400</xdr:rowOff>
    </xdr:from>
    <xdr:ext cx="6457950" cy="885825"/>
    <xdr:grpSp>
      <xdr:nvGrpSpPr>
        <xdr:cNvPr id="2" name="Shape 2" title="Drawing"/>
        <xdr:cNvGrpSpPr/>
      </xdr:nvGrpSpPr>
      <xdr:grpSpPr>
        <a:xfrm>
          <a:off x="2117025" y="3332325"/>
          <a:ext cx="6457950" cy="895350"/>
          <a:chOff x="2117025" y="3332325"/>
          <a:chExt cx="6457950" cy="895350"/>
        </a:xfrm>
      </xdr:grpSpPr>
      <xdr:grpSp>
        <xdr:nvGrpSpPr>
          <xdr:cNvPr id="59" name="Shape 59" title="Drawing"/>
          <xdr:cNvGrpSpPr/>
        </xdr:nvGrpSpPr>
        <xdr:grpSpPr>
          <a:xfrm>
            <a:off x="2117025" y="3332325"/>
            <a:ext cx="6457950" cy="895350"/>
            <a:chOff x="2126550" y="3341850"/>
            <a:chExt cx="6438900" cy="876300"/>
          </a:xfrm>
        </xdr:grpSpPr>
        <xdr:sp>
          <xdr:nvSpPr>
            <xdr:cNvPr id="17" name="Shape 17"/>
            <xdr:cNvSpPr/>
          </xdr:nvSpPr>
          <xdr:spPr>
            <a:xfrm>
              <a:off x="2126550" y="3341850"/>
              <a:ext cx="64389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0" name="Shape 60"/>
            <xdr:cNvSpPr/>
          </xdr:nvSpPr>
          <xdr:spPr>
            <a:xfrm>
              <a:off x="2283713" y="3346613"/>
              <a:ext cx="6124575" cy="866775"/>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600">
                  <a:solidFill>
                    <a:srgbClr val="277E3E"/>
                  </a:solidFill>
                  <a:latin typeface="Arial"/>
                  <a:ea typeface="Arial"/>
                  <a:cs typeface="Arial"/>
                  <a:sym typeface="Arial"/>
                </a:rPr>
                <a:t>LUSAKA OAKTREE SCHOOL</a:t>
              </a:r>
              <a:endParaRPr sz="1400"/>
            </a:p>
            <a:p>
              <a:pPr indent="0" lvl="0" marL="0" rtl="0" algn="l">
                <a:spcBef>
                  <a:spcPts val="0"/>
                </a:spcBef>
                <a:spcAft>
                  <a:spcPts val="0"/>
                </a:spcAft>
                <a:buClr>
                  <a:srgbClr val="277E3E"/>
                </a:buClr>
                <a:buSzPts val="1600"/>
                <a:buFont typeface="Arial"/>
                <a:buNone/>
              </a:pPr>
              <a:r>
                <a:rPr lang="en-US" sz="1600">
                  <a:solidFill>
                    <a:srgbClr val="277E3E"/>
                  </a:solidFill>
                  <a:latin typeface="Arial"/>
                  <a:ea typeface="Arial"/>
                  <a:cs typeface="Arial"/>
                  <a:sym typeface="Arial"/>
                </a:rPr>
                <a:t>           </a:t>
              </a:r>
              <a:r>
                <a:rPr lang="en-US" sz="1100">
                  <a:solidFill>
                    <a:schemeClr val="dk1"/>
                  </a:solidFill>
                  <a:latin typeface="Arial"/>
                  <a:ea typeface="Arial"/>
                  <a:cs typeface="Arial"/>
                  <a:sym typeface="Arial"/>
                </a:rPr>
                <a:t>Plot 397a/C/6 Casanova Close, Off Kafue Road, Makeni, Lusaka ZAMBIA Tel: +260 211274245. Cell: +260 955 730037 Email: info@lusakaoaktree.school 32 </a:t>
              </a:r>
              <a:endParaRPr sz="1600">
                <a:solidFill>
                  <a:srgbClr val="277E3E"/>
                </a:solidFill>
              </a:endParaRPr>
            </a:p>
          </xdr:txBody>
        </xdr:sp>
        <xdr:sp>
          <xdr:nvSpPr>
            <xdr:cNvPr id="61" name="Shape 61"/>
            <xdr:cNvSpPr/>
          </xdr:nvSpPr>
          <xdr:spPr>
            <a:xfrm>
              <a:off x="2126550" y="3341850"/>
              <a:ext cx="6438900" cy="876300"/>
            </a:xfrm>
            <a:prstGeom prst="roundRect">
              <a:avLst>
                <a:gd fmla="val 12421"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                           </a:t>
              </a:r>
              <a:r>
                <a:rPr lang="en-US" sz="1200">
                  <a:solidFill>
                    <a:schemeClr val="dk1"/>
                  </a:solidFill>
                </a:rPr>
                <a:t>   </a:t>
              </a:r>
              <a:r>
                <a:rPr lang="en-US" sz="2000">
                  <a:solidFill>
                    <a:srgbClr val="277E3E"/>
                  </a:solidFill>
                </a:rPr>
                <a:t>LUSAKA OAKTREE SCHOOL</a:t>
              </a:r>
              <a:endParaRPr sz="1800"/>
            </a:p>
            <a:p>
              <a:pPr indent="0" lvl="0" marL="0" rtl="0" algn="l">
                <a:spcBef>
                  <a:spcPts val="0"/>
                </a:spcBef>
                <a:spcAft>
                  <a:spcPts val="0"/>
                </a:spcAft>
                <a:buClr>
                  <a:srgbClr val="277E3E"/>
                </a:buClr>
                <a:buSzPts val="1600"/>
                <a:buFont typeface="Arial"/>
                <a:buNone/>
              </a:pPr>
              <a:r>
                <a:t/>
              </a:r>
              <a:endParaRPr b="1" sz="1100"/>
            </a:p>
            <a:p>
              <a:pPr indent="0" lvl="0" marL="0" rtl="0" algn="l">
                <a:lnSpc>
                  <a:spcPct val="115000"/>
                </a:lnSpc>
                <a:spcBef>
                  <a:spcPts val="0"/>
                </a:spcBef>
                <a:spcAft>
                  <a:spcPts val="0"/>
                </a:spcAft>
                <a:buSzPts val="1100"/>
                <a:buFont typeface="Arial"/>
                <a:buNone/>
              </a:pPr>
              <a:r>
                <a:rPr b="1" lang="en-US" sz="1100"/>
                <a:t>                                  </a:t>
              </a:r>
              <a:r>
                <a:rPr b="1" lang="en-US" sz="1400"/>
                <a:t>‘</a:t>
              </a:r>
              <a:r>
                <a:rPr b="1" lang="en-US" sz="1700"/>
                <a:t>LEADERSHIP AND EXCELLENCE’</a:t>
              </a:r>
              <a:endParaRPr sz="1200">
                <a:solidFill>
                  <a:schemeClr val="dk1"/>
                </a:solidFill>
              </a:endParaRPr>
            </a:p>
          </xdr:txBody>
        </xdr:sp>
      </xdr:grpSp>
    </xdr:grpSp>
    <xdr:clientData fLocksWithSheet="0"/>
  </xdr:oneCellAnchor>
  <xdr:oneCellAnchor>
    <xdr:from>
      <xdr:col>1</xdr:col>
      <xdr:colOff>1181100</xdr:colOff>
      <xdr:row>12</xdr:row>
      <xdr:rowOff>85725</xdr:rowOff>
    </xdr:from>
    <xdr:ext cx="6477000" cy="1000125"/>
    <xdr:grpSp>
      <xdr:nvGrpSpPr>
        <xdr:cNvPr id="2" name="Shape 2" title="Drawing"/>
        <xdr:cNvGrpSpPr/>
      </xdr:nvGrpSpPr>
      <xdr:grpSpPr>
        <a:xfrm>
          <a:off x="2117025" y="3289463"/>
          <a:ext cx="6457950" cy="981075"/>
          <a:chOff x="2117025" y="3289463"/>
          <a:chExt cx="6457950" cy="981075"/>
        </a:xfrm>
      </xdr:grpSpPr>
      <xdr:grpSp>
        <xdr:nvGrpSpPr>
          <xdr:cNvPr id="62" name="Shape 62" title="Drawing"/>
          <xdr:cNvGrpSpPr/>
        </xdr:nvGrpSpPr>
        <xdr:grpSpPr>
          <a:xfrm>
            <a:off x="2117025" y="3289463"/>
            <a:ext cx="6457950" cy="981075"/>
            <a:chOff x="2207525" y="3541875"/>
            <a:chExt cx="6276900" cy="963000"/>
          </a:xfrm>
        </xdr:grpSpPr>
        <xdr:sp>
          <xdr:nvSpPr>
            <xdr:cNvPr id="17" name="Shape 17"/>
            <xdr:cNvSpPr/>
          </xdr:nvSpPr>
          <xdr:spPr>
            <a:xfrm>
              <a:off x="2207525" y="3541875"/>
              <a:ext cx="6276900" cy="96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3" name="Shape 63"/>
            <xdr:cNvSpPr/>
          </xdr:nvSpPr>
          <xdr:spPr>
            <a:xfrm>
              <a:off x="2364675" y="3546638"/>
              <a:ext cx="5962650" cy="466725"/>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             </a:t>
              </a:r>
              <a:r>
                <a:rPr lang="en-US" sz="1600" u="sng">
                  <a:solidFill>
                    <a:schemeClr val="dk1"/>
                  </a:solidFill>
                  <a:latin typeface="Arial"/>
                  <a:ea typeface="Arial"/>
                  <a:cs typeface="Arial"/>
                  <a:sym typeface="Arial"/>
                </a:rPr>
                <a:t>END OF TERM 3 2023/2024 REPORT CARD</a:t>
              </a:r>
              <a:endParaRPr sz="1400"/>
            </a:p>
          </xdr:txBody>
        </xdr:sp>
        <xdr:sp>
          <xdr:nvSpPr>
            <xdr:cNvPr id="64" name="Shape 64"/>
            <xdr:cNvSpPr/>
          </xdr:nvSpPr>
          <xdr:spPr>
            <a:xfrm>
              <a:off x="2207525" y="3541875"/>
              <a:ext cx="6276900" cy="963000"/>
            </a:xfrm>
            <a:prstGeom prst="roundRect">
              <a:avLst>
                <a:gd fmla="val 16667" name="adj"/>
              </a:avLst>
            </a:prstGeom>
            <a:solidFill>
              <a:srgbClr val="FFFFFF"/>
            </a:solidFill>
            <a:ln cap="flat" cmpd="sng" w="12700">
              <a:solidFill>
                <a:schemeClr val="accent6"/>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rPr>
                <a:t> 		</a:t>
              </a:r>
              <a:r>
                <a:rPr lang="en-US" sz="1600" u="sng">
                  <a:solidFill>
                    <a:schemeClr val="dk1"/>
                  </a:solidFill>
                </a:rPr>
                <a:t>2025/2026 END OF SEMESTER 1  REPORT CARD</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u="sng">
                  <a:solidFill>
                    <a:schemeClr val="dk1"/>
                  </a:solidFill>
                </a:rPr>
                <a:t>         </a:t>
              </a:r>
              <a:endParaRPr sz="1600" u="sng">
                <a:solidFill>
                  <a:schemeClr val="dk1"/>
                </a:solidFill>
              </a:endParaRPr>
            </a:p>
            <a:p>
              <a:pPr indent="0" lvl="0" marL="0" rtl="0" algn="l">
                <a:spcBef>
                  <a:spcPts val="0"/>
                </a:spcBef>
                <a:spcAft>
                  <a:spcPts val="0"/>
                </a:spcAft>
                <a:buClr>
                  <a:schemeClr val="dk1"/>
                </a:buClr>
                <a:buSzPts val="1100"/>
                <a:buFont typeface="Arial"/>
                <a:buNone/>
              </a:pPr>
              <a:r>
                <a:rPr lang="en-US" sz="1600">
                  <a:solidFill>
                    <a:schemeClr val="dk1"/>
                  </a:solidFill>
                </a:rPr>
                <a:t>                             </a:t>
              </a:r>
              <a:r>
                <a:rPr lang="en-US" sz="1600" u="sng">
                  <a:solidFill>
                    <a:schemeClr val="dk1"/>
                  </a:solidFill>
                </a:rPr>
                <a:t>CAMBRIDGE AS/A LEVEL</a:t>
              </a:r>
              <a:endParaRPr sz="1400"/>
            </a:p>
          </xdr:txBody>
        </xdr:sp>
      </xdr:grpSp>
    </xdr:grpSp>
    <xdr:clientData fLocksWithSheet="0"/>
  </xdr:oneCellAnchor>
  <xdr:oneCellAnchor>
    <xdr:from>
      <xdr:col>3</xdr:col>
      <xdr:colOff>904875</xdr:colOff>
      <xdr:row>0</xdr:row>
      <xdr:rowOff>133350</xdr:rowOff>
    </xdr:from>
    <xdr:ext cx="809625" cy="7810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67</xdr:row>
      <xdr:rowOff>0</xdr:rowOff>
    </xdr:from>
    <xdr:ext cx="361950" cy="1524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67</xdr:row>
      <xdr:rowOff>0</xdr:rowOff>
    </xdr:from>
    <xdr:ext cx="247650" cy="152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200025</xdr:colOff>
      <xdr:row>0</xdr:row>
      <xdr:rowOff>171450</xdr:rowOff>
    </xdr:from>
    <xdr:ext cx="714375" cy="7239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papacambridge.com/" TargetMode="External"/><Relationship Id="rId2" Type="http://schemas.openxmlformats.org/officeDocument/2006/relationships/hyperlink" Target="http://papacambridge.com/"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0" customHeight="1">
      <c r="A1" s="1"/>
    </row>
    <row r="2" ht="12.0" customHeight="1">
      <c r="B2" s="2"/>
      <c r="C2" s="2"/>
      <c r="D2" s="2"/>
      <c r="E2" s="2"/>
      <c r="F2" s="2"/>
      <c r="G2" s="2"/>
      <c r="H2" s="2"/>
      <c r="I2" s="2"/>
      <c r="J2" s="2"/>
      <c r="K2" s="2"/>
      <c r="L2" s="2"/>
      <c r="M2" s="2"/>
      <c r="N2" s="2"/>
      <c r="O2" s="2"/>
      <c r="P2" s="2"/>
      <c r="Q2" s="2"/>
      <c r="R2" s="2"/>
      <c r="S2" s="2"/>
      <c r="T2" s="2"/>
      <c r="U2" s="2"/>
      <c r="V2" s="2"/>
      <c r="W2" s="2"/>
      <c r="X2" s="2"/>
      <c r="Y2" s="2"/>
      <c r="Z2" s="2"/>
    </row>
    <row r="3" ht="22.5" customHeight="1">
      <c r="B3" s="2"/>
      <c r="C3" s="3" t="s">
        <v>0</v>
      </c>
      <c r="D3" s="4"/>
      <c r="E3" s="4"/>
      <c r="F3" s="4"/>
      <c r="G3" s="4"/>
      <c r="H3" s="4"/>
      <c r="I3" s="4"/>
      <c r="J3" s="4"/>
      <c r="K3" s="4"/>
      <c r="L3" s="4"/>
      <c r="M3" s="4"/>
      <c r="N3" s="4"/>
      <c r="O3" s="4"/>
      <c r="P3" s="4"/>
      <c r="Q3" s="4"/>
      <c r="R3" s="4"/>
      <c r="S3" s="5"/>
      <c r="T3" s="2"/>
      <c r="U3" s="2"/>
      <c r="V3" s="2"/>
      <c r="W3" s="2"/>
      <c r="X3" s="2"/>
      <c r="Y3" s="2"/>
      <c r="Z3" s="2"/>
    </row>
    <row r="4" ht="12.0" customHeight="1">
      <c r="B4" s="2"/>
      <c r="C4" s="6"/>
      <c r="D4" s="7"/>
      <c r="E4" s="7"/>
      <c r="F4" s="7"/>
      <c r="G4" s="7"/>
      <c r="H4" s="7"/>
      <c r="I4" s="7"/>
      <c r="J4" s="7"/>
      <c r="K4" s="7"/>
      <c r="L4" s="7"/>
      <c r="M4" s="7"/>
      <c r="N4" s="7"/>
      <c r="O4" s="7"/>
      <c r="P4" s="7"/>
      <c r="Q4" s="7"/>
      <c r="R4" s="7"/>
      <c r="S4" s="8"/>
      <c r="T4" s="2"/>
      <c r="U4" s="2"/>
      <c r="V4" s="2"/>
      <c r="W4" s="2"/>
      <c r="X4" s="2"/>
      <c r="Y4" s="2"/>
      <c r="Z4" s="2"/>
    </row>
    <row r="5" ht="12.0" customHeight="1">
      <c r="B5" s="2"/>
      <c r="C5" s="6"/>
      <c r="D5" s="7"/>
      <c r="E5" s="7"/>
      <c r="F5" s="7"/>
      <c r="G5" s="7"/>
      <c r="H5" s="7"/>
      <c r="I5" s="7"/>
      <c r="J5" s="7"/>
      <c r="K5" s="7"/>
      <c r="L5" s="7"/>
      <c r="M5" s="7"/>
      <c r="N5" s="7"/>
      <c r="O5" s="7"/>
      <c r="P5" s="7"/>
      <c r="Q5" s="7"/>
      <c r="R5" s="7"/>
      <c r="S5" s="8"/>
      <c r="T5" s="2"/>
      <c r="U5" s="2"/>
      <c r="V5" s="2"/>
      <c r="W5" s="2"/>
      <c r="X5" s="2"/>
      <c r="Y5" s="2"/>
      <c r="Z5" s="2"/>
    </row>
    <row r="6" ht="42.75" customHeight="1">
      <c r="B6" s="2"/>
      <c r="C6" s="6"/>
      <c r="D6" s="7"/>
      <c r="E6" s="7"/>
      <c r="F6" s="7"/>
      <c r="G6" s="9" t="s">
        <v>0</v>
      </c>
      <c r="H6" s="10"/>
      <c r="I6" s="10"/>
      <c r="J6" s="10"/>
      <c r="K6" s="10"/>
      <c r="L6" s="10"/>
      <c r="M6" s="10"/>
      <c r="N6" s="7"/>
      <c r="O6" s="7"/>
      <c r="P6" s="7"/>
      <c r="Q6" s="7"/>
      <c r="R6" s="7"/>
      <c r="S6" s="8"/>
      <c r="T6" s="2"/>
      <c r="U6" s="2"/>
      <c r="V6" s="2"/>
      <c r="W6" s="2"/>
      <c r="X6" s="2"/>
      <c r="Y6" s="2"/>
      <c r="Z6" s="2"/>
    </row>
    <row r="7" ht="12.0" customHeight="1">
      <c r="B7" s="2"/>
      <c r="C7" s="6"/>
      <c r="D7" s="7"/>
      <c r="E7" s="7"/>
      <c r="F7" s="7"/>
      <c r="G7" s="7"/>
      <c r="H7" s="7"/>
      <c r="I7" s="7"/>
      <c r="J7" s="7"/>
      <c r="K7" s="7"/>
      <c r="L7" s="7"/>
      <c r="M7" s="7"/>
      <c r="N7" s="7"/>
      <c r="O7" s="7"/>
      <c r="P7" s="7"/>
      <c r="Q7" s="7"/>
      <c r="R7" s="7"/>
      <c r="S7" s="8"/>
      <c r="T7" s="2"/>
      <c r="U7" s="2"/>
      <c r="V7" s="2"/>
      <c r="W7" s="2"/>
      <c r="X7" s="2"/>
      <c r="Y7" s="2"/>
      <c r="Z7" s="2"/>
    </row>
    <row r="8" ht="24.75" customHeight="1">
      <c r="B8" s="2"/>
      <c r="C8" s="6"/>
      <c r="D8" s="7"/>
      <c r="E8" s="7"/>
      <c r="F8" s="7"/>
      <c r="G8" s="7"/>
      <c r="H8" s="11" t="s">
        <v>1</v>
      </c>
      <c r="I8" s="10"/>
      <c r="J8" s="10"/>
      <c r="K8" s="10"/>
      <c r="L8" s="7"/>
      <c r="M8" s="7"/>
      <c r="N8" s="7"/>
      <c r="O8" s="7"/>
      <c r="P8" s="7"/>
      <c r="Q8" s="7"/>
      <c r="R8" s="7"/>
      <c r="S8" s="8"/>
      <c r="T8" s="2"/>
      <c r="U8" s="2"/>
      <c r="V8" s="2"/>
      <c r="W8" s="2"/>
      <c r="X8" s="2"/>
      <c r="Y8" s="2"/>
      <c r="Z8" s="2"/>
    </row>
    <row r="9" ht="12.0" customHeight="1">
      <c r="B9" s="2"/>
      <c r="C9" s="6"/>
      <c r="D9" s="7"/>
      <c r="E9" s="7"/>
      <c r="F9" s="7"/>
      <c r="G9" s="7"/>
      <c r="H9" s="7"/>
      <c r="I9" s="7"/>
      <c r="J9" s="7"/>
      <c r="K9" s="7"/>
      <c r="L9" s="7"/>
      <c r="M9" s="7"/>
      <c r="N9" s="7"/>
      <c r="O9" s="7"/>
      <c r="P9" s="7"/>
      <c r="Q9" s="7"/>
      <c r="R9" s="7"/>
      <c r="S9" s="8"/>
      <c r="T9" s="2"/>
      <c r="U9" s="2"/>
      <c r="V9" s="2"/>
      <c r="W9" s="2"/>
      <c r="X9" s="2"/>
      <c r="Y9" s="2"/>
      <c r="Z9" s="2"/>
    </row>
    <row r="10" ht="12.0" customHeight="1">
      <c r="B10" s="2"/>
      <c r="C10" s="6"/>
      <c r="D10" s="7"/>
      <c r="E10" s="7"/>
      <c r="F10" s="7"/>
      <c r="G10" s="7"/>
      <c r="H10" s="7"/>
      <c r="I10" s="7"/>
      <c r="J10" s="7"/>
      <c r="K10" s="7"/>
      <c r="L10" s="7"/>
      <c r="M10" s="7"/>
      <c r="N10" s="7"/>
      <c r="O10" s="7"/>
      <c r="P10" s="7"/>
      <c r="Q10" s="7"/>
      <c r="R10" s="7"/>
      <c r="S10" s="8"/>
      <c r="T10" s="2"/>
      <c r="U10" s="2"/>
      <c r="V10" s="2"/>
      <c r="W10" s="2"/>
      <c r="X10" s="2"/>
      <c r="Y10" s="2"/>
      <c r="Z10" s="2"/>
    </row>
    <row r="11" ht="12.0" customHeight="1">
      <c r="B11" s="2"/>
      <c r="C11" s="6"/>
      <c r="D11" s="7"/>
      <c r="E11" s="7"/>
      <c r="F11" s="7"/>
      <c r="G11" s="7"/>
      <c r="H11" s="7"/>
      <c r="I11" s="7"/>
      <c r="J11" s="7"/>
      <c r="K11" s="7"/>
      <c r="L11" s="7"/>
      <c r="M11" s="7"/>
      <c r="N11" s="7"/>
      <c r="O11" s="7"/>
      <c r="P11" s="7"/>
      <c r="Q11" s="7"/>
      <c r="R11" s="7"/>
      <c r="S11" s="8"/>
      <c r="T11" s="2"/>
      <c r="U11" s="2"/>
      <c r="V11" s="2"/>
      <c r="W11" s="2"/>
      <c r="X11" s="2"/>
      <c r="Y11" s="2"/>
      <c r="Z11" s="2"/>
    </row>
    <row r="12" ht="12.0" customHeight="1">
      <c r="B12" s="2"/>
      <c r="C12" s="12"/>
      <c r="S12" s="13"/>
      <c r="T12" s="2"/>
      <c r="U12" s="2"/>
      <c r="V12" s="2"/>
      <c r="W12" s="2"/>
      <c r="X12" s="2"/>
      <c r="Y12" s="2"/>
      <c r="Z12" s="2"/>
    </row>
    <row r="13" ht="32.25" customHeight="1">
      <c r="B13" s="2"/>
      <c r="C13" s="14"/>
      <c r="D13" s="15"/>
      <c r="E13" s="15"/>
      <c r="F13" s="15"/>
      <c r="G13" s="15"/>
      <c r="H13" s="15"/>
      <c r="I13" s="15"/>
      <c r="J13" s="15"/>
      <c r="K13" s="15"/>
      <c r="L13" s="15"/>
      <c r="M13" s="15"/>
      <c r="N13" s="15"/>
      <c r="O13" s="15"/>
      <c r="P13" s="15"/>
      <c r="Q13" s="15"/>
      <c r="R13" s="15"/>
      <c r="S13" s="16"/>
      <c r="T13" s="2"/>
      <c r="U13" s="2"/>
      <c r="V13" s="2"/>
      <c r="W13" s="2"/>
      <c r="X13" s="2"/>
      <c r="Y13" s="2"/>
      <c r="Z13" s="2"/>
    </row>
    <row r="14" ht="22.5" customHeight="1">
      <c r="B14" s="2"/>
      <c r="C14" s="14"/>
      <c r="D14" s="15"/>
      <c r="E14" s="15"/>
      <c r="F14" s="15"/>
      <c r="G14" s="15"/>
      <c r="H14" s="15"/>
      <c r="I14" s="15"/>
      <c r="J14" s="15"/>
      <c r="K14" s="15"/>
      <c r="L14" s="15"/>
      <c r="M14" s="15"/>
      <c r="N14" s="15"/>
      <c r="O14" s="15"/>
      <c r="P14" s="15"/>
      <c r="Q14" s="15"/>
      <c r="R14" s="15"/>
      <c r="S14" s="16"/>
      <c r="T14" s="2"/>
      <c r="U14" s="2"/>
      <c r="V14" s="2"/>
      <c r="W14" s="2"/>
      <c r="X14" s="2"/>
      <c r="Y14" s="2"/>
      <c r="Z14" s="2"/>
    </row>
    <row r="15" ht="12.0" customHeight="1">
      <c r="B15" s="2"/>
      <c r="C15" s="14"/>
      <c r="D15" s="15"/>
      <c r="E15" s="15"/>
      <c r="F15" s="15"/>
      <c r="G15" s="15"/>
      <c r="H15" s="15"/>
      <c r="I15" s="15"/>
      <c r="J15" s="15"/>
      <c r="K15" s="15"/>
      <c r="L15" s="15"/>
      <c r="M15" s="15"/>
      <c r="N15" s="15"/>
      <c r="O15" s="15"/>
      <c r="P15" s="15"/>
      <c r="Q15" s="15"/>
      <c r="R15" s="15"/>
      <c r="S15" s="16"/>
      <c r="T15" s="2"/>
      <c r="U15" s="2"/>
      <c r="V15" s="2"/>
      <c r="W15" s="2"/>
      <c r="X15" s="2"/>
      <c r="Y15" s="2"/>
      <c r="Z15" s="2"/>
    </row>
    <row r="16" ht="12.0" customHeight="1">
      <c r="B16" s="2"/>
      <c r="C16" s="17" t="s">
        <v>2</v>
      </c>
      <c r="D16" s="15"/>
      <c r="E16" s="18" t="s">
        <v>3</v>
      </c>
      <c r="F16" s="15"/>
      <c r="G16" s="18" t="s">
        <v>4</v>
      </c>
      <c r="H16" s="15"/>
      <c r="I16" s="18" t="s">
        <v>5</v>
      </c>
      <c r="J16" s="18" t="s">
        <v>6</v>
      </c>
      <c r="K16" s="15"/>
      <c r="L16" s="18" t="s">
        <v>7</v>
      </c>
      <c r="M16" s="18" t="s">
        <v>8</v>
      </c>
      <c r="N16" s="18" t="s">
        <v>9</v>
      </c>
      <c r="O16" s="19"/>
      <c r="P16" s="18" t="s">
        <v>10</v>
      </c>
      <c r="Q16" s="15"/>
      <c r="R16" s="15"/>
      <c r="S16" s="16"/>
      <c r="T16" s="2"/>
      <c r="U16" s="2"/>
      <c r="V16" s="2"/>
      <c r="W16" s="2"/>
      <c r="X16" s="2"/>
      <c r="Y16" s="2"/>
      <c r="Z16" s="2"/>
    </row>
    <row r="17" ht="12.0" customHeight="1">
      <c r="B17" s="2"/>
      <c r="C17" s="19"/>
      <c r="D17" s="15"/>
      <c r="E17" s="15"/>
      <c r="F17" s="15"/>
      <c r="G17" s="15"/>
      <c r="H17" s="15"/>
      <c r="I17" s="15"/>
      <c r="J17" s="15"/>
      <c r="K17" s="15"/>
      <c r="L17" s="15"/>
      <c r="M17" s="15"/>
      <c r="N17" s="15"/>
      <c r="O17" s="15"/>
      <c r="P17" s="15"/>
      <c r="Q17" s="15"/>
      <c r="R17" s="15"/>
      <c r="S17" s="16"/>
      <c r="T17" s="2"/>
      <c r="U17" s="2"/>
      <c r="V17" s="2"/>
      <c r="W17" s="2"/>
      <c r="X17" s="2"/>
      <c r="Y17" s="2"/>
      <c r="Z17" s="2"/>
    </row>
    <row r="18" ht="12.0" customHeight="1">
      <c r="B18" s="2"/>
      <c r="C18" s="17" t="s">
        <v>11</v>
      </c>
      <c r="D18" s="15"/>
      <c r="E18" s="15"/>
      <c r="F18" s="15"/>
      <c r="G18" s="18" t="s">
        <v>12</v>
      </c>
      <c r="H18" s="15"/>
      <c r="I18" s="15"/>
      <c r="J18" s="18" t="s">
        <v>13</v>
      </c>
      <c r="K18" s="15"/>
      <c r="L18" s="15"/>
      <c r="M18" s="15"/>
      <c r="N18" s="15"/>
      <c r="O18" s="19"/>
      <c r="P18" s="15"/>
      <c r="Q18" s="15"/>
      <c r="R18" s="15"/>
      <c r="S18" s="16"/>
      <c r="T18" s="2"/>
      <c r="U18" s="2"/>
      <c r="V18" s="2"/>
      <c r="W18" s="2"/>
      <c r="X18" s="2"/>
      <c r="Y18" s="2"/>
      <c r="Z18" s="2"/>
    </row>
    <row r="19" ht="12.0" customHeight="1">
      <c r="B19" s="2"/>
      <c r="C19" s="14"/>
      <c r="D19" s="15"/>
      <c r="E19" s="15"/>
      <c r="F19" s="15"/>
      <c r="G19" s="15"/>
      <c r="H19" s="15"/>
      <c r="I19" s="15"/>
      <c r="J19" s="15"/>
      <c r="K19" s="15"/>
      <c r="L19" s="15"/>
      <c r="M19" s="15"/>
      <c r="N19" s="15"/>
      <c r="O19" s="15"/>
      <c r="P19" s="15"/>
      <c r="Q19" s="15"/>
      <c r="R19" s="15"/>
      <c r="S19" s="16"/>
      <c r="T19" s="2"/>
      <c r="U19" s="2"/>
      <c r="V19" s="2"/>
      <c r="W19" s="2"/>
      <c r="X19" s="2"/>
      <c r="Y19" s="2"/>
      <c r="Z19" s="2"/>
    </row>
    <row r="20" ht="12.0" customHeight="1">
      <c r="B20" s="2"/>
      <c r="C20" s="17" t="s">
        <v>14</v>
      </c>
      <c r="D20" s="15"/>
      <c r="E20" s="15"/>
      <c r="F20" s="15"/>
      <c r="G20" s="18" t="s">
        <v>15</v>
      </c>
      <c r="H20" s="15"/>
      <c r="I20" s="15"/>
      <c r="J20" s="18" t="s">
        <v>16</v>
      </c>
      <c r="K20" s="15"/>
      <c r="L20" s="15"/>
      <c r="M20" s="15"/>
      <c r="N20" s="15"/>
      <c r="O20" s="15"/>
      <c r="P20" s="15"/>
      <c r="Q20" s="15"/>
      <c r="R20" s="15"/>
      <c r="S20" s="16"/>
      <c r="T20" s="2"/>
      <c r="U20" s="2"/>
      <c r="V20" s="2"/>
      <c r="W20" s="2"/>
      <c r="X20" s="2"/>
      <c r="Y20" s="2"/>
      <c r="Z20" s="2"/>
    </row>
    <row r="21" ht="12.0" customHeight="1">
      <c r="B21" s="2"/>
      <c r="C21" s="14"/>
      <c r="D21" s="15"/>
      <c r="E21" s="15"/>
      <c r="F21" s="15"/>
      <c r="G21" s="15"/>
      <c r="H21" s="15"/>
      <c r="I21" s="15"/>
      <c r="J21" s="15"/>
      <c r="K21" s="15"/>
      <c r="L21" s="15"/>
      <c r="M21" s="15"/>
      <c r="N21" s="15"/>
      <c r="O21" s="15"/>
      <c r="P21" s="15"/>
      <c r="Q21" s="15"/>
      <c r="R21" s="15"/>
      <c r="S21" s="16"/>
      <c r="T21" s="2"/>
      <c r="U21" s="2"/>
      <c r="V21" s="2"/>
      <c r="W21" s="2"/>
      <c r="X21" s="2"/>
      <c r="Y21" s="2"/>
      <c r="Z21" s="2"/>
    </row>
    <row r="22" ht="12.0" customHeight="1">
      <c r="B22" s="2"/>
      <c r="D22" s="17" t="s">
        <v>17</v>
      </c>
      <c r="E22" s="15"/>
      <c r="F22" s="15"/>
      <c r="G22" s="18" t="s">
        <v>18</v>
      </c>
      <c r="H22" s="15"/>
      <c r="I22" s="15"/>
      <c r="J22" s="15"/>
      <c r="K22" s="15"/>
      <c r="L22" s="15"/>
      <c r="M22" s="15"/>
      <c r="N22" s="15"/>
      <c r="O22" s="15"/>
      <c r="P22" s="15"/>
      <c r="Q22" s="15"/>
      <c r="R22" s="15"/>
      <c r="S22" s="16"/>
      <c r="T22" s="2"/>
      <c r="U22" s="2"/>
      <c r="V22" s="2"/>
      <c r="W22" s="2"/>
      <c r="X22" s="2"/>
      <c r="Y22" s="2"/>
      <c r="Z22" s="2"/>
    </row>
    <row r="23" ht="12.0" customHeight="1">
      <c r="B23" s="2"/>
      <c r="C23" s="14"/>
      <c r="D23" s="15"/>
      <c r="E23" s="15"/>
      <c r="F23" s="15"/>
      <c r="G23" s="15"/>
      <c r="H23" s="15"/>
      <c r="I23" s="15"/>
      <c r="J23" s="15"/>
      <c r="K23" s="15"/>
      <c r="L23" s="15"/>
      <c r="M23" s="15"/>
      <c r="N23" s="15"/>
      <c r="O23" s="15"/>
      <c r="P23" s="15"/>
      <c r="Q23" s="15"/>
      <c r="R23" s="15"/>
      <c r="S23" s="16"/>
      <c r="T23" s="2"/>
      <c r="U23" s="2"/>
      <c r="V23" s="2"/>
      <c r="W23" s="2"/>
      <c r="X23" s="2"/>
      <c r="Y23" s="2"/>
      <c r="Z23" s="2"/>
    </row>
    <row r="24" ht="12.0" customHeight="1">
      <c r="B24" s="2"/>
      <c r="C24" s="17" t="s">
        <v>19</v>
      </c>
      <c r="D24" s="15"/>
      <c r="E24" s="15"/>
      <c r="F24" s="15"/>
      <c r="G24" s="18" t="s">
        <v>20</v>
      </c>
      <c r="H24" s="15"/>
      <c r="I24" s="15"/>
      <c r="J24" s="15"/>
      <c r="K24" s="15"/>
      <c r="L24" s="15"/>
      <c r="M24" s="15"/>
      <c r="N24" s="15"/>
      <c r="O24" s="15"/>
      <c r="P24" s="15"/>
      <c r="Q24" s="15"/>
      <c r="R24" s="15"/>
      <c r="S24" s="16"/>
      <c r="T24" s="2"/>
      <c r="U24" s="2"/>
      <c r="V24" s="2"/>
      <c r="W24" s="2"/>
      <c r="X24" s="2"/>
      <c r="Y24" s="2"/>
      <c r="Z24" s="2"/>
    </row>
    <row r="25" ht="12.0" customHeight="1">
      <c r="B25" s="2"/>
      <c r="C25" s="14"/>
      <c r="D25" s="15"/>
      <c r="E25" s="15"/>
      <c r="F25" s="15"/>
      <c r="G25" s="15"/>
      <c r="H25" s="15"/>
      <c r="I25" s="15"/>
      <c r="J25" s="15"/>
      <c r="K25" s="15"/>
      <c r="L25" s="15"/>
      <c r="M25" s="15"/>
      <c r="N25" s="15"/>
      <c r="O25" s="15"/>
      <c r="P25" s="15"/>
      <c r="Q25" s="15"/>
      <c r="R25" s="15"/>
      <c r="S25" s="16"/>
      <c r="T25" s="2"/>
      <c r="U25" s="2"/>
      <c r="V25" s="2"/>
      <c r="W25" s="2"/>
      <c r="X25" s="2"/>
      <c r="Y25" s="2"/>
      <c r="Z25" s="2"/>
    </row>
    <row r="26" ht="12.0" customHeight="1">
      <c r="B26" s="2"/>
      <c r="C26" s="20"/>
      <c r="D26" s="21"/>
      <c r="E26" s="21"/>
      <c r="F26" s="21"/>
      <c r="G26" s="21"/>
      <c r="H26" s="21"/>
      <c r="I26" s="21"/>
      <c r="J26" s="21"/>
      <c r="K26" s="21"/>
      <c r="L26" s="21"/>
      <c r="M26" s="21"/>
      <c r="N26" s="21"/>
      <c r="O26" s="21"/>
      <c r="P26" s="21"/>
      <c r="Q26" s="21"/>
      <c r="R26" s="21"/>
      <c r="S26" s="22"/>
      <c r="T26" s="2"/>
      <c r="U26" s="2"/>
      <c r="V26" s="2"/>
      <c r="W26" s="2"/>
      <c r="X26" s="2"/>
      <c r="Y26" s="2"/>
      <c r="Z26" s="2"/>
    </row>
    <row r="27" ht="12.0" customHeight="1">
      <c r="B27" s="2"/>
      <c r="C27" s="2"/>
      <c r="D27" s="2"/>
      <c r="E27" s="2"/>
      <c r="F27" s="2"/>
      <c r="G27" s="2"/>
      <c r="H27" s="2"/>
      <c r="I27" s="2"/>
      <c r="J27" s="2"/>
      <c r="K27" s="2"/>
      <c r="L27" s="2"/>
      <c r="M27" s="2"/>
      <c r="N27" s="2"/>
      <c r="O27" s="2"/>
      <c r="P27" s="2"/>
      <c r="Q27" s="2"/>
      <c r="R27" s="2"/>
      <c r="S27" s="2"/>
      <c r="T27" s="2"/>
      <c r="U27" s="2"/>
      <c r="V27" s="2"/>
      <c r="W27" s="2"/>
      <c r="X27" s="2"/>
      <c r="Y27" s="2"/>
      <c r="Z27" s="2"/>
    </row>
    <row r="28" ht="12.0" customHeight="1">
      <c r="B28" s="2"/>
      <c r="C28" s="2"/>
      <c r="D28" s="2"/>
      <c r="E28" s="2"/>
      <c r="F28" s="2"/>
      <c r="G28" s="2"/>
      <c r="H28" s="2"/>
      <c r="I28" s="2"/>
      <c r="J28" s="2"/>
      <c r="K28" s="2"/>
      <c r="L28" s="2"/>
      <c r="M28" s="2"/>
      <c r="N28" s="2"/>
      <c r="O28" s="2"/>
      <c r="P28" s="2"/>
      <c r="Q28" s="2"/>
      <c r="R28" s="2"/>
      <c r="S28" s="2"/>
      <c r="T28" s="2"/>
      <c r="U28" s="2"/>
      <c r="V28" s="2"/>
      <c r="W28" s="2"/>
      <c r="X28" s="2"/>
      <c r="Y28" s="2"/>
      <c r="Z28" s="2"/>
    </row>
    <row r="29" ht="12.0" customHeight="1">
      <c r="B29" s="2"/>
      <c r="C29" s="2"/>
      <c r="D29" s="2"/>
      <c r="E29" s="2"/>
      <c r="F29" s="2"/>
      <c r="G29" s="2"/>
      <c r="H29" s="2"/>
      <c r="I29" s="2"/>
      <c r="J29" s="2"/>
      <c r="K29" s="2"/>
      <c r="L29" s="2"/>
      <c r="M29" s="2"/>
      <c r="N29" s="2"/>
      <c r="O29" s="2"/>
      <c r="P29" s="2"/>
      <c r="Q29" s="2"/>
      <c r="R29" s="2"/>
      <c r="S29" s="2"/>
      <c r="T29" s="2"/>
      <c r="U29" s="2"/>
      <c r="V29" s="2"/>
      <c r="W29" s="2"/>
      <c r="X29" s="2"/>
      <c r="Y29" s="2"/>
      <c r="Z29" s="2"/>
    </row>
    <row r="30" ht="12.0" customHeight="1">
      <c r="B30" s="2"/>
      <c r="C30" s="2"/>
      <c r="D30" s="2"/>
      <c r="E30" s="2"/>
      <c r="F30" s="2"/>
      <c r="G30" s="2"/>
      <c r="H30" s="2"/>
      <c r="I30" s="2"/>
      <c r="J30" s="2"/>
      <c r="K30" s="2"/>
      <c r="L30" s="2"/>
      <c r="M30" s="2"/>
      <c r="N30" s="2"/>
      <c r="O30" s="2"/>
      <c r="P30" s="2"/>
      <c r="Q30" s="2"/>
      <c r="R30" s="2"/>
      <c r="S30" s="2"/>
      <c r="T30" s="2"/>
      <c r="U30" s="2"/>
      <c r="V30" s="2"/>
      <c r="W30" s="2"/>
      <c r="X30" s="2"/>
      <c r="Y30" s="2"/>
      <c r="Z30" s="2"/>
    </row>
    <row r="31" ht="12.0" customHeight="1">
      <c r="B31" s="2"/>
      <c r="C31" s="2"/>
      <c r="D31" s="2"/>
      <c r="E31" s="2"/>
      <c r="F31" s="2"/>
      <c r="G31" s="2"/>
      <c r="H31" s="2"/>
      <c r="I31" s="2"/>
      <c r="J31" s="2"/>
      <c r="K31" s="2"/>
      <c r="L31" s="2"/>
      <c r="M31" s="2"/>
      <c r="N31" s="2"/>
      <c r="O31" s="2"/>
      <c r="P31" s="2"/>
      <c r="Q31" s="2"/>
      <c r="R31" s="2"/>
      <c r="S31" s="2"/>
      <c r="T31" s="2"/>
      <c r="U31" s="2"/>
      <c r="V31" s="2"/>
      <c r="W31" s="2"/>
      <c r="X31" s="2"/>
      <c r="Y31" s="2"/>
      <c r="Z31" s="2"/>
    </row>
    <row r="32" ht="12.0" customHeight="1">
      <c r="B32" s="2"/>
      <c r="C32" s="2"/>
      <c r="D32" s="2"/>
      <c r="E32" s="2"/>
      <c r="F32" s="2"/>
      <c r="G32" s="2"/>
      <c r="H32" s="2"/>
      <c r="I32" s="2"/>
      <c r="J32" s="2"/>
      <c r="K32" s="2"/>
      <c r="L32" s="2"/>
      <c r="M32" s="2"/>
      <c r="N32" s="2"/>
      <c r="O32" s="2"/>
      <c r="P32" s="2"/>
      <c r="Q32" s="2"/>
      <c r="R32" s="2"/>
      <c r="S32" s="2"/>
      <c r="T32" s="2"/>
      <c r="U32" s="2"/>
      <c r="V32" s="2"/>
      <c r="W32" s="2"/>
      <c r="X32" s="2"/>
      <c r="Y32" s="2"/>
      <c r="Z32" s="2"/>
    </row>
    <row r="33" ht="12.0" customHeight="1">
      <c r="B33" s="2"/>
      <c r="C33" s="2"/>
      <c r="D33" s="2"/>
      <c r="E33" s="2"/>
      <c r="F33" s="2"/>
      <c r="G33" s="2"/>
      <c r="H33" s="2"/>
      <c r="I33" s="2"/>
      <c r="J33" s="2"/>
      <c r="K33" s="2"/>
      <c r="L33" s="2"/>
      <c r="M33" s="2"/>
      <c r="N33" s="2"/>
      <c r="O33" s="2"/>
      <c r="P33" s="2"/>
      <c r="Q33" s="2"/>
      <c r="R33" s="2"/>
      <c r="S33" s="2"/>
      <c r="T33" s="2"/>
      <c r="U33" s="2"/>
      <c r="V33" s="2"/>
      <c r="W33" s="2"/>
      <c r="X33" s="2"/>
      <c r="Y33" s="2"/>
      <c r="Z33" s="2"/>
    </row>
    <row r="34" ht="12.0" customHeight="1">
      <c r="B34" s="2"/>
      <c r="C34" s="2"/>
      <c r="D34" s="2"/>
      <c r="E34" s="2"/>
      <c r="F34" s="2"/>
      <c r="G34" s="2"/>
      <c r="H34" s="2"/>
      <c r="I34" s="2"/>
      <c r="J34" s="2"/>
      <c r="K34" s="2"/>
      <c r="L34" s="2"/>
      <c r="M34" s="2"/>
      <c r="N34" s="2"/>
      <c r="O34" s="2"/>
      <c r="P34" s="2"/>
      <c r="Q34" s="2"/>
      <c r="R34" s="2"/>
      <c r="S34" s="2"/>
      <c r="T34" s="2"/>
      <c r="U34" s="2"/>
      <c r="V34" s="2"/>
      <c r="W34" s="2"/>
      <c r="X34" s="2"/>
      <c r="Y34" s="2"/>
      <c r="Z34" s="2"/>
    </row>
    <row r="35" ht="12.0" customHeight="1">
      <c r="B35" s="2"/>
      <c r="C35" s="2"/>
      <c r="D35" s="2"/>
      <c r="E35" s="2"/>
      <c r="F35" s="2"/>
      <c r="G35" s="2"/>
      <c r="H35" s="2"/>
      <c r="I35" s="2"/>
      <c r="J35" s="2"/>
      <c r="K35" s="2"/>
      <c r="L35" s="2"/>
      <c r="M35" s="2"/>
      <c r="N35" s="2"/>
      <c r="O35" s="2"/>
      <c r="P35" s="2"/>
      <c r="Q35" s="2"/>
      <c r="R35" s="2"/>
      <c r="S35" s="2"/>
      <c r="T35" s="2"/>
      <c r="U35" s="2"/>
      <c r="V35" s="2"/>
      <c r="W35" s="2"/>
      <c r="X35" s="2"/>
      <c r="Y35" s="2"/>
      <c r="Z35" s="2"/>
    </row>
    <row r="36" ht="12.0" customHeight="1">
      <c r="B36" s="2"/>
      <c r="C36" s="2"/>
      <c r="D36" s="2"/>
      <c r="E36" s="2"/>
      <c r="F36" s="2"/>
      <c r="G36" s="2"/>
      <c r="H36" s="2"/>
      <c r="I36" s="2"/>
      <c r="J36" s="2"/>
      <c r="K36" s="2"/>
      <c r="L36" s="2"/>
      <c r="M36" s="2"/>
      <c r="N36" s="2"/>
      <c r="O36" s="2"/>
      <c r="P36" s="2"/>
      <c r="Q36" s="2"/>
      <c r="R36" s="2"/>
      <c r="S36" s="2"/>
      <c r="T36" s="2"/>
      <c r="U36" s="2"/>
      <c r="V36" s="2"/>
      <c r="W36" s="2"/>
      <c r="X36" s="2"/>
      <c r="Y36" s="2"/>
      <c r="Z36" s="2"/>
    </row>
    <row r="37" ht="12.0" customHeight="1">
      <c r="B37" s="2"/>
      <c r="C37" s="2"/>
      <c r="D37" s="2"/>
      <c r="E37" s="2"/>
      <c r="F37" s="2"/>
      <c r="G37" s="2"/>
      <c r="H37" s="2"/>
      <c r="I37" s="2"/>
      <c r="J37" s="2"/>
      <c r="K37" s="2"/>
      <c r="L37" s="2"/>
      <c r="M37" s="2"/>
      <c r="N37" s="2"/>
      <c r="O37" s="2"/>
      <c r="P37" s="2"/>
      <c r="Q37" s="2"/>
      <c r="R37" s="2"/>
      <c r="S37" s="2"/>
      <c r="T37" s="2"/>
      <c r="U37" s="2"/>
      <c r="V37" s="2"/>
      <c r="W37" s="2"/>
      <c r="X37" s="2"/>
      <c r="Y37" s="2"/>
      <c r="Z37" s="2"/>
    </row>
    <row r="38" ht="12.0" customHeight="1">
      <c r="B38" s="2"/>
      <c r="C38" s="2"/>
      <c r="D38" s="2"/>
      <c r="E38" s="2"/>
      <c r="F38" s="2"/>
      <c r="G38" s="2"/>
      <c r="H38" s="2"/>
      <c r="I38" s="2"/>
      <c r="J38" s="2"/>
      <c r="K38" s="2"/>
      <c r="L38" s="2"/>
      <c r="M38" s="2"/>
      <c r="N38" s="2"/>
      <c r="O38" s="2"/>
      <c r="P38" s="2"/>
      <c r="Q38" s="2"/>
      <c r="R38" s="2"/>
      <c r="S38" s="2"/>
      <c r="T38" s="2"/>
      <c r="U38" s="2"/>
      <c r="V38" s="2"/>
      <c r="W38" s="2"/>
      <c r="X38" s="2"/>
      <c r="Y38" s="2"/>
      <c r="Z38" s="2"/>
    </row>
    <row r="39" ht="12.0" customHeight="1">
      <c r="B39" s="2"/>
      <c r="C39" s="2"/>
      <c r="D39" s="2"/>
      <c r="E39" s="2"/>
      <c r="F39" s="2"/>
      <c r="G39" s="2"/>
      <c r="H39" s="2"/>
      <c r="I39" s="2"/>
      <c r="J39" s="2"/>
      <c r="K39" s="2"/>
      <c r="L39" s="2"/>
      <c r="M39" s="2"/>
      <c r="N39" s="2"/>
      <c r="O39" s="2"/>
      <c r="P39" s="2"/>
      <c r="Q39" s="2"/>
      <c r="R39" s="2"/>
      <c r="S39" s="2"/>
      <c r="T39" s="2"/>
      <c r="U39" s="2"/>
      <c r="V39" s="2"/>
      <c r="W39" s="2"/>
      <c r="X39" s="2"/>
      <c r="Y39" s="2"/>
      <c r="Z39" s="2"/>
    </row>
    <row r="40" ht="12.0" customHeight="1">
      <c r="B40" s="2"/>
      <c r="C40" s="2"/>
      <c r="D40" s="2"/>
      <c r="E40" s="2"/>
      <c r="F40" s="2"/>
      <c r="G40" s="2"/>
      <c r="H40" s="2"/>
      <c r="I40" s="2"/>
      <c r="J40" s="2"/>
      <c r="K40" s="2"/>
      <c r="L40" s="2"/>
      <c r="M40" s="2"/>
      <c r="N40" s="2"/>
      <c r="O40" s="2"/>
      <c r="P40" s="2"/>
      <c r="Q40" s="2"/>
      <c r="R40" s="2"/>
      <c r="S40" s="2"/>
      <c r="T40" s="2"/>
      <c r="U40" s="2"/>
      <c r="V40" s="2"/>
      <c r="W40" s="2"/>
      <c r="X40" s="2"/>
      <c r="Y40" s="2"/>
      <c r="Z40" s="2"/>
    </row>
    <row r="41" ht="12.0" customHeight="1">
      <c r="B41" s="2"/>
      <c r="C41" s="2"/>
      <c r="D41" s="2"/>
      <c r="E41" s="2"/>
      <c r="F41" s="2"/>
      <c r="G41" s="2"/>
      <c r="H41" s="2"/>
      <c r="I41" s="2"/>
      <c r="J41" s="2"/>
      <c r="K41" s="2"/>
      <c r="L41" s="2"/>
      <c r="M41" s="2"/>
      <c r="N41" s="2"/>
      <c r="O41" s="2"/>
      <c r="P41" s="2"/>
      <c r="Q41" s="2"/>
      <c r="R41" s="2"/>
      <c r="S41" s="2"/>
      <c r="T41" s="2"/>
      <c r="U41" s="2"/>
      <c r="V41" s="2"/>
      <c r="W41" s="2"/>
      <c r="X41" s="2"/>
      <c r="Y41" s="2"/>
      <c r="Z41" s="2"/>
    </row>
    <row r="42" ht="12.0" customHeight="1">
      <c r="B42" s="2"/>
      <c r="C42" s="2"/>
      <c r="D42" s="2"/>
      <c r="E42" s="2"/>
      <c r="F42" s="2"/>
      <c r="G42" s="2"/>
      <c r="H42" s="2"/>
      <c r="I42" s="2"/>
      <c r="J42" s="2"/>
      <c r="K42" s="2"/>
      <c r="L42" s="2"/>
      <c r="M42" s="2"/>
      <c r="N42" s="2"/>
      <c r="O42" s="2"/>
      <c r="P42" s="2"/>
      <c r="Q42" s="2"/>
      <c r="R42" s="2"/>
      <c r="S42" s="2"/>
      <c r="T42" s="2"/>
      <c r="U42" s="2"/>
      <c r="V42" s="2"/>
      <c r="W42" s="2"/>
      <c r="X42" s="2"/>
      <c r="Y42" s="2"/>
      <c r="Z42" s="2"/>
    </row>
    <row r="43" ht="12.0" customHeight="1">
      <c r="B43" s="2"/>
      <c r="C43" s="2"/>
      <c r="D43" s="2"/>
      <c r="E43" s="2"/>
      <c r="F43" s="2"/>
      <c r="G43" s="2"/>
      <c r="H43" s="2"/>
      <c r="I43" s="2"/>
      <c r="J43" s="2"/>
      <c r="K43" s="2"/>
      <c r="L43" s="2"/>
      <c r="M43" s="2"/>
      <c r="N43" s="2"/>
      <c r="O43" s="2"/>
      <c r="P43" s="2"/>
      <c r="Q43" s="2"/>
      <c r="R43" s="2"/>
      <c r="S43" s="2"/>
      <c r="T43" s="2"/>
      <c r="U43" s="2"/>
      <c r="V43" s="2"/>
      <c r="W43" s="2"/>
      <c r="X43" s="2"/>
      <c r="Y43" s="2"/>
      <c r="Z43" s="2"/>
    </row>
    <row r="44" ht="12.0" customHeight="1">
      <c r="B44" s="2"/>
      <c r="C44" s="2"/>
      <c r="D44" s="2"/>
      <c r="E44" s="2"/>
      <c r="F44" s="2"/>
      <c r="G44" s="2"/>
      <c r="H44" s="2"/>
      <c r="I44" s="2"/>
      <c r="J44" s="2"/>
      <c r="K44" s="2"/>
      <c r="L44" s="2"/>
      <c r="M44" s="2"/>
      <c r="N44" s="2"/>
      <c r="O44" s="2"/>
      <c r="P44" s="2"/>
      <c r="Q44" s="2"/>
      <c r="R44" s="2"/>
      <c r="S44" s="2"/>
      <c r="T44" s="2"/>
      <c r="U44" s="2"/>
      <c r="V44" s="2"/>
      <c r="W44" s="2"/>
      <c r="X44" s="2"/>
      <c r="Y44" s="2"/>
      <c r="Z44" s="2"/>
    </row>
    <row r="45" ht="12.0" customHeight="1">
      <c r="B45" s="2"/>
      <c r="C45" s="2"/>
      <c r="D45" s="2"/>
      <c r="E45" s="2"/>
      <c r="F45" s="2"/>
      <c r="G45" s="2"/>
      <c r="H45" s="2"/>
      <c r="I45" s="2"/>
      <c r="J45" s="2"/>
      <c r="K45" s="2"/>
      <c r="L45" s="2"/>
      <c r="M45" s="2"/>
      <c r="N45" s="2"/>
      <c r="O45" s="2"/>
      <c r="P45" s="2"/>
      <c r="Q45" s="2"/>
      <c r="R45" s="2"/>
      <c r="S45" s="2"/>
      <c r="T45" s="2"/>
      <c r="U45" s="2"/>
      <c r="V45" s="2"/>
      <c r="W45" s="2"/>
      <c r="X45" s="2"/>
      <c r="Y45" s="2"/>
      <c r="Z45" s="2"/>
    </row>
    <row r="46" ht="12.0" customHeight="1">
      <c r="B46" s="2"/>
      <c r="C46" s="2"/>
      <c r="D46" s="2"/>
      <c r="E46" s="2"/>
      <c r="F46" s="2"/>
      <c r="G46" s="2"/>
      <c r="H46" s="2"/>
      <c r="I46" s="2"/>
      <c r="J46" s="2"/>
      <c r="K46" s="2"/>
      <c r="L46" s="2"/>
      <c r="M46" s="2"/>
      <c r="N46" s="2"/>
      <c r="O46" s="2"/>
      <c r="P46" s="2"/>
      <c r="Q46" s="2"/>
      <c r="R46" s="2"/>
      <c r="S46" s="2"/>
      <c r="T46" s="2"/>
      <c r="U46" s="2"/>
      <c r="V46" s="2"/>
      <c r="W46" s="2"/>
      <c r="X46" s="2"/>
      <c r="Y46" s="2"/>
      <c r="Z46" s="2"/>
    </row>
    <row r="47" ht="12.0" customHeight="1">
      <c r="B47" s="2"/>
      <c r="C47" s="2"/>
      <c r="D47" s="2"/>
      <c r="E47" s="2"/>
      <c r="F47" s="2"/>
      <c r="G47" s="2"/>
      <c r="H47" s="2"/>
      <c r="I47" s="2"/>
      <c r="J47" s="2"/>
      <c r="K47" s="2"/>
      <c r="L47" s="2"/>
      <c r="M47" s="2"/>
      <c r="N47" s="2"/>
      <c r="O47" s="2"/>
      <c r="P47" s="2"/>
      <c r="Q47" s="2"/>
      <c r="R47" s="2"/>
      <c r="S47" s="2"/>
      <c r="T47" s="2"/>
      <c r="U47" s="2"/>
      <c r="V47" s="2"/>
      <c r="W47" s="2"/>
      <c r="X47" s="2"/>
      <c r="Y47" s="2"/>
      <c r="Z47" s="2"/>
    </row>
    <row r="48" ht="12.0" customHeight="1">
      <c r="B48" s="2"/>
      <c r="C48" s="2"/>
      <c r="D48" s="2"/>
      <c r="E48" s="2"/>
      <c r="F48" s="2"/>
      <c r="G48" s="2"/>
      <c r="H48" s="2"/>
      <c r="I48" s="2"/>
      <c r="J48" s="2"/>
      <c r="K48" s="2"/>
      <c r="L48" s="2"/>
      <c r="M48" s="2"/>
      <c r="N48" s="2"/>
      <c r="O48" s="2"/>
      <c r="P48" s="2"/>
      <c r="Q48" s="2"/>
      <c r="R48" s="2"/>
      <c r="S48" s="2"/>
      <c r="T48" s="2"/>
      <c r="U48" s="2"/>
      <c r="V48" s="2"/>
      <c r="W48" s="2"/>
      <c r="X48" s="2"/>
      <c r="Y48" s="2"/>
      <c r="Z48" s="2"/>
    </row>
    <row r="49" ht="12.0" customHeight="1">
      <c r="B49" s="2"/>
      <c r="C49" s="2"/>
      <c r="D49" s="2"/>
      <c r="E49" s="2"/>
      <c r="F49" s="2"/>
      <c r="G49" s="2"/>
      <c r="H49" s="2"/>
      <c r="I49" s="2"/>
      <c r="J49" s="2"/>
      <c r="K49" s="2"/>
      <c r="L49" s="2"/>
      <c r="M49" s="2"/>
      <c r="N49" s="2"/>
      <c r="O49" s="2"/>
      <c r="P49" s="2"/>
      <c r="Q49" s="2"/>
      <c r="R49" s="2"/>
      <c r="S49" s="2"/>
      <c r="T49" s="2"/>
      <c r="U49" s="2"/>
      <c r="V49" s="2"/>
      <c r="W49" s="2"/>
      <c r="X49" s="2"/>
      <c r="Y49" s="2"/>
      <c r="Z49" s="2"/>
    </row>
    <row r="50" ht="12.0" customHeight="1">
      <c r="B50" s="2"/>
      <c r="C50" s="2"/>
      <c r="D50" s="2"/>
      <c r="E50" s="2"/>
      <c r="F50" s="2"/>
      <c r="G50" s="2"/>
      <c r="H50" s="2"/>
      <c r="I50" s="2"/>
      <c r="J50" s="2"/>
      <c r="K50" s="2"/>
      <c r="L50" s="2"/>
      <c r="M50" s="2"/>
      <c r="N50" s="2"/>
      <c r="O50" s="2"/>
      <c r="P50" s="2"/>
      <c r="Q50" s="2"/>
      <c r="R50" s="2"/>
      <c r="S50" s="2"/>
      <c r="T50" s="2"/>
      <c r="U50" s="2"/>
      <c r="V50" s="2"/>
      <c r="W50" s="2"/>
      <c r="X50" s="2"/>
      <c r="Y50" s="2"/>
      <c r="Z50" s="2"/>
    </row>
    <row r="51" ht="12.0" customHeight="1">
      <c r="B51" s="2"/>
      <c r="C51" s="2"/>
      <c r="D51" s="2"/>
      <c r="E51" s="2"/>
      <c r="F51" s="2"/>
      <c r="G51" s="2"/>
      <c r="H51" s="2"/>
      <c r="I51" s="2"/>
      <c r="J51" s="2"/>
      <c r="K51" s="2"/>
      <c r="L51" s="2"/>
      <c r="M51" s="2"/>
      <c r="N51" s="2"/>
      <c r="O51" s="2"/>
      <c r="P51" s="2"/>
      <c r="Q51" s="2"/>
      <c r="R51" s="2"/>
      <c r="S51" s="2"/>
      <c r="T51" s="2"/>
      <c r="U51" s="2"/>
      <c r="V51" s="2"/>
      <c r="W51" s="2"/>
      <c r="X51" s="2"/>
      <c r="Y51" s="2"/>
      <c r="Z51" s="2"/>
    </row>
    <row r="52" ht="12.0" customHeight="1">
      <c r="B52" s="2"/>
      <c r="C52" s="2"/>
      <c r="D52" s="2"/>
      <c r="E52" s="2"/>
      <c r="F52" s="2"/>
      <c r="G52" s="2"/>
      <c r="H52" s="2"/>
      <c r="I52" s="2"/>
      <c r="J52" s="2"/>
      <c r="K52" s="2"/>
      <c r="L52" s="2"/>
      <c r="M52" s="2"/>
      <c r="N52" s="2"/>
      <c r="O52" s="2"/>
      <c r="P52" s="2"/>
      <c r="Q52" s="2"/>
      <c r="R52" s="2"/>
      <c r="S52" s="2"/>
      <c r="T52" s="2"/>
      <c r="U52" s="2"/>
      <c r="V52" s="2"/>
      <c r="W52" s="2"/>
      <c r="X52" s="2"/>
      <c r="Y52" s="2"/>
      <c r="Z52" s="2"/>
    </row>
    <row r="53" ht="12.0" customHeight="1">
      <c r="B53" s="2"/>
      <c r="C53" s="2"/>
      <c r="D53" s="2"/>
      <c r="E53" s="2"/>
      <c r="F53" s="2"/>
      <c r="G53" s="2"/>
      <c r="H53" s="2"/>
      <c r="I53" s="2"/>
      <c r="J53" s="2"/>
      <c r="K53" s="2"/>
      <c r="L53" s="2"/>
      <c r="M53" s="2"/>
      <c r="N53" s="2"/>
      <c r="O53" s="2"/>
      <c r="P53" s="2"/>
      <c r="Q53" s="2"/>
      <c r="R53" s="2"/>
      <c r="S53" s="2"/>
      <c r="T53" s="2"/>
      <c r="U53" s="2"/>
      <c r="V53" s="2"/>
      <c r="W53" s="2"/>
      <c r="X53" s="2"/>
      <c r="Y53" s="2"/>
      <c r="Z53" s="2"/>
    </row>
    <row r="54" ht="12.0" customHeight="1">
      <c r="B54" s="2"/>
      <c r="C54" s="2"/>
      <c r="D54" s="2"/>
      <c r="E54" s="2"/>
      <c r="F54" s="2"/>
      <c r="G54" s="2"/>
      <c r="H54" s="2"/>
      <c r="I54" s="2"/>
      <c r="J54" s="2"/>
      <c r="K54" s="2"/>
      <c r="L54" s="2"/>
      <c r="M54" s="2"/>
      <c r="N54" s="2"/>
      <c r="O54" s="2"/>
      <c r="P54" s="2"/>
      <c r="Q54" s="2"/>
      <c r="R54" s="2"/>
      <c r="S54" s="2"/>
      <c r="T54" s="2"/>
      <c r="U54" s="2"/>
      <c r="V54" s="2"/>
      <c r="W54" s="2"/>
      <c r="X54" s="2"/>
      <c r="Y54" s="2"/>
      <c r="Z54" s="2"/>
    </row>
    <row r="55" ht="12.0" customHeight="1">
      <c r="B55" s="2"/>
      <c r="C55" s="2"/>
      <c r="D55" s="2"/>
      <c r="E55" s="2"/>
      <c r="F55" s="2"/>
      <c r="G55" s="2"/>
      <c r="H55" s="2"/>
      <c r="I55" s="2"/>
      <c r="J55" s="2"/>
      <c r="K55" s="2"/>
      <c r="L55" s="2"/>
      <c r="M55" s="2"/>
      <c r="N55" s="2"/>
      <c r="O55" s="2"/>
      <c r="P55" s="2"/>
      <c r="Q55" s="2"/>
      <c r="R55" s="2"/>
      <c r="S55" s="2"/>
      <c r="T55" s="2"/>
      <c r="U55" s="2"/>
      <c r="V55" s="2"/>
      <c r="W55" s="2"/>
      <c r="X55" s="2"/>
      <c r="Y55" s="2"/>
      <c r="Z55" s="2"/>
    </row>
    <row r="56" ht="12.0" customHeight="1">
      <c r="B56" s="2"/>
      <c r="C56" s="2"/>
      <c r="D56" s="2"/>
      <c r="E56" s="2"/>
      <c r="F56" s="2"/>
      <c r="G56" s="2"/>
      <c r="H56" s="2"/>
      <c r="I56" s="2"/>
      <c r="J56" s="2"/>
      <c r="K56" s="2"/>
      <c r="L56" s="2"/>
      <c r="M56" s="2"/>
      <c r="N56" s="2"/>
      <c r="O56" s="2"/>
      <c r="P56" s="2"/>
      <c r="Q56" s="2"/>
      <c r="R56" s="2"/>
      <c r="S56" s="2"/>
      <c r="T56" s="2"/>
      <c r="U56" s="2"/>
      <c r="V56" s="2"/>
      <c r="W56" s="2"/>
      <c r="X56" s="2"/>
      <c r="Y56" s="2"/>
      <c r="Z56" s="2"/>
    </row>
    <row r="57" ht="12.0" customHeight="1">
      <c r="B57" s="2"/>
      <c r="C57" s="2"/>
      <c r="D57" s="2"/>
      <c r="E57" s="2"/>
      <c r="F57" s="2"/>
      <c r="G57" s="2"/>
      <c r="H57" s="2"/>
      <c r="I57" s="2"/>
      <c r="J57" s="2"/>
      <c r="K57" s="2"/>
      <c r="L57" s="2"/>
      <c r="M57" s="2"/>
      <c r="N57" s="2"/>
      <c r="O57" s="2"/>
      <c r="P57" s="2"/>
      <c r="Q57" s="2"/>
      <c r="R57" s="2"/>
      <c r="S57" s="2"/>
      <c r="T57" s="2"/>
      <c r="U57" s="2"/>
      <c r="V57" s="2"/>
      <c r="W57" s="2"/>
      <c r="X57" s="2"/>
      <c r="Y57" s="2"/>
      <c r="Z57" s="2"/>
    </row>
    <row r="58" ht="12.0" customHeight="1">
      <c r="B58" s="2"/>
      <c r="C58" s="2"/>
      <c r="D58" s="2"/>
      <c r="E58" s="2"/>
      <c r="F58" s="2"/>
      <c r="G58" s="2"/>
      <c r="H58" s="2"/>
      <c r="I58" s="2"/>
      <c r="J58" s="2"/>
      <c r="K58" s="2"/>
      <c r="L58" s="2"/>
      <c r="M58" s="2"/>
      <c r="N58" s="2"/>
      <c r="O58" s="2"/>
      <c r="P58" s="2"/>
      <c r="Q58" s="2"/>
      <c r="R58" s="2"/>
      <c r="S58" s="2"/>
      <c r="T58" s="2"/>
      <c r="U58" s="2"/>
      <c r="V58" s="2"/>
      <c r="W58" s="2"/>
      <c r="X58" s="2"/>
      <c r="Y58" s="2"/>
      <c r="Z58" s="2"/>
    </row>
    <row r="59" ht="12.0" customHeight="1">
      <c r="B59" s="2"/>
      <c r="C59" s="2"/>
      <c r="D59" s="2"/>
      <c r="E59" s="2"/>
      <c r="F59" s="2"/>
      <c r="G59" s="2"/>
      <c r="H59" s="2"/>
      <c r="I59" s="2"/>
      <c r="J59" s="2"/>
      <c r="K59" s="2"/>
      <c r="L59" s="2"/>
      <c r="M59" s="2"/>
      <c r="N59" s="2"/>
      <c r="O59" s="2"/>
      <c r="P59" s="2"/>
      <c r="Q59" s="2"/>
      <c r="R59" s="2"/>
      <c r="S59" s="2"/>
      <c r="T59" s="2"/>
      <c r="U59" s="2"/>
      <c r="V59" s="2"/>
      <c r="W59" s="2"/>
      <c r="X59" s="2"/>
      <c r="Y59" s="2"/>
      <c r="Z59" s="2"/>
    </row>
    <row r="60" ht="12.0" customHeight="1">
      <c r="B60" s="2"/>
      <c r="C60" s="2"/>
      <c r="D60" s="2"/>
      <c r="E60" s="2"/>
      <c r="F60" s="2"/>
      <c r="G60" s="2"/>
      <c r="H60" s="2"/>
      <c r="I60" s="2"/>
      <c r="J60" s="2"/>
      <c r="K60" s="2"/>
      <c r="L60" s="2"/>
      <c r="M60" s="2"/>
      <c r="N60" s="2"/>
      <c r="O60" s="2"/>
      <c r="P60" s="2"/>
      <c r="Q60" s="2"/>
      <c r="R60" s="2"/>
      <c r="S60" s="2"/>
      <c r="T60" s="2"/>
      <c r="U60" s="2"/>
      <c r="V60" s="2"/>
      <c r="W60" s="2"/>
      <c r="X60" s="2"/>
      <c r="Y60" s="2"/>
      <c r="Z60" s="2"/>
    </row>
    <row r="61" ht="12.0" customHeight="1">
      <c r="B61" s="2"/>
      <c r="C61" s="2"/>
      <c r="D61" s="2"/>
      <c r="E61" s="2"/>
      <c r="F61" s="2"/>
      <c r="G61" s="2"/>
      <c r="H61" s="2"/>
      <c r="I61" s="2"/>
      <c r="J61" s="2"/>
      <c r="K61" s="2"/>
      <c r="L61" s="2"/>
      <c r="M61" s="2"/>
      <c r="N61" s="2"/>
      <c r="O61" s="2"/>
      <c r="P61" s="2"/>
      <c r="Q61" s="2"/>
      <c r="R61" s="2"/>
      <c r="S61" s="2"/>
      <c r="T61" s="2"/>
      <c r="U61" s="2"/>
      <c r="V61" s="2"/>
      <c r="W61" s="2"/>
      <c r="X61" s="2"/>
      <c r="Y61" s="2"/>
      <c r="Z61" s="2"/>
    </row>
    <row r="62" ht="12.0" customHeight="1">
      <c r="B62" s="2"/>
      <c r="C62" s="2"/>
      <c r="D62" s="2"/>
      <c r="E62" s="2"/>
      <c r="F62" s="2"/>
      <c r="G62" s="2"/>
      <c r="H62" s="2"/>
      <c r="I62" s="2"/>
      <c r="J62" s="2"/>
      <c r="K62" s="2"/>
      <c r="L62" s="2"/>
      <c r="M62" s="2"/>
      <c r="N62" s="2"/>
      <c r="O62" s="2"/>
      <c r="P62" s="2"/>
      <c r="Q62" s="2"/>
      <c r="R62" s="2"/>
      <c r="S62" s="2"/>
      <c r="T62" s="2"/>
      <c r="U62" s="2"/>
      <c r="V62" s="2"/>
      <c r="W62" s="2"/>
      <c r="X62" s="2"/>
      <c r="Y62" s="2"/>
      <c r="Z62" s="2"/>
    </row>
    <row r="63" ht="12.0" customHeight="1">
      <c r="B63" s="2"/>
      <c r="C63" s="2"/>
      <c r="D63" s="2"/>
      <c r="E63" s="2"/>
      <c r="F63" s="2"/>
      <c r="G63" s="2"/>
      <c r="H63" s="2"/>
      <c r="I63" s="2"/>
      <c r="J63" s="2"/>
      <c r="K63" s="2"/>
      <c r="L63" s="2"/>
      <c r="M63" s="2"/>
      <c r="N63" s="2"/>
      <c r="O63" s="2"/>
      <c r="P63" s="2"/>
      <c r="Q63" s="2"/>
      <c r="R63" s="2"/>
      <c r="S63" s="2"/>
      <c r="T63" s="2"/>
      <c r="U63" s="2"/>
      <c r="V63" s="2"/>
      <c r="W63" s="2"/>
      <c r="X63" s="2"/>
      <c r="Y63" s="2"/>
      <c r="Z63" s="2"/>
    </row>
    <row r="64" ht="12.0" customHeight="1">
      <c r="B64" s="2"/>
      <c r="C64" s="2"/>
      <c r="D64" s="2"/>
      <c r="E64" s="2"/>
      <c r="F64" s="2"/>
      <c r="G64" s="2"/>
      <c r="H64" s="2"/>
      <c r="I64" s="2"/>
      <c r="J64" s="2"/>
      <c r="K64" s="2"/>
      <c r="L64" s="2"/>
      <c r="M64" s="2"/>
      <c r="N64" s="2"/>
      <c r="O64" s="2"/>
      <c r="P64" s="2"/>
      <c r="Q64" s="2"/>
      <c r="R64" s="2"/>
      <c r="S64" s="2"/>
      <c r="T64" s="2"/>
      <c r="U64" s="2"/>
      <c r="V64" s="2"/>
      <c r="W64" s="2"/>
      <c r="X64" s="2"/>
      <c r="Y64" s="2"/>
      <c r="Z64" s="2"/>
    </row>
    <row r="65" ht="12.0" customHeight="1">
      <c r="B65" s="2"/>
      <c r="C65" s="2"/>
      <c r="D65" s="2"/>
      <c r="E65" s="2"/>
      <c r="F65" s="2"/>
      <c r="G65" s="2"/>
      <c r="H65" s="2"/>
      <c r="I65" s="2"/>
      <c r="J65" s="2"/>
      <c r="K65" s="2"/>
      <c r="L65" s="2"/>
      <c r="M65" s="2"/>
      <c r="N65" s="2"/>
      <c r="O65" s="2"/>
      <c r="P65" s="2"/>
      <c r="Q65" s="2"/>
      <c r="R65" s="2"/>
      <c r="S65" s="2"/>
      <c r="T65" s="2"/>
      <c r="U65" s="2"/>
      <c r="V65" s="2"/>
      <c r="W65" s="2"/>
      <c r="X65" s="2"/>
      <c r="Y65" s="2"/>
      <c r="Z65" s="2"/>
    </row>
    <row r="66" ht="12.0" customHeight="1">
      <c r="B66" s="2"/>
      <c r="C66" s="2"/>
      <c r="D66" s="2"/>
      <c r="E66" s="2"/>
      <c r="F66" s="2"/>
      <c r="G66" s="2"/>
      <c r="H66" s="2"/>
      <c r="I66" s="2"/>
      <c r="J66" s="2"/>
      <c r="K66" s="2"/>
      <c r="L66" s="2"/>
      <c r="M66" s="2"/>
      <c r="N66" s="2"/>
      <c r="O66" s="2"/>
      <c r="P66" s="2"/>
      <c r="Q66" s="2"/>
      <c r="R66" s="2"/>
      <c r="S66" s="2"/>
      <c r="T66" s="2"/>
      <c r="U66" s="2"/>
      <c r="V66" s="2"/>
      <c r="W66" s="2"/>
      <c r="X66" s="2"/>
      <c r="Y66" s="2"/>
      <c r="Z66" s="2"/>
    </row>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G6:M6"/>
    <mergeCell ref="H8:K8"/>
  </mergeCells>
  <hyperlinks>
    <hyperlink display="ALEVEL" location="null!A1" ref="C16"/>
    <hyperlink display="ASLEVEL" location="null!A1" ref="E16"/>
    <hyperlink display="IGCSE 1" location="'IGCSE 1A'!A1" ref="G16"/>
    <hyperlink display="LS3A" location="LS3A!A1" ref="I16"/>
    <hyperlink display="LS3B" location="LS3B!A1" ref="J16"/>
    <hyperlink display="LS2A" location="LS2A!A1" ref="L16"/>
    <hyperlink display="LS2B" location="LS2B!A1" ref="M16"/>
    <hyperlink display="LS1B" location="LS1B!A1" ref="N16"/>
    <hyperlink display="LS1A F" location="LS1A!A1" ref="P16"/>
    <hyperlink display="A LEVEL REPORT CARD" location="null!A1" ref="C18"/>
    <hyperlink display="LS3 A REPORT CARD" location="'LS3 A REPORT CARD'!A1" ref="G18"/>
    <hyperlink display="LS1 A REPORT CARD F" location="'LS1 A REPORT CARD'!A1" ref="J18"/>
    <hyperlink display="AS LEVEL REPORT CARD" location="null!A1" ref="C20"/>
    <hyperlink display="LS3 B REPORT CARD" location="'LS3 B REPORT CARD'!A1" ref="G20"/>
    <hyperlink display="LS1 B REPORT CARD" location="'LS1 B REPORT CARD'!A1" ref="J20"/>
    <hyperlink display="IGCSE 2 REPORT CARD" location="null!A1" ref="D22"/>
    <hyperlink display="LS2 A REPORT CARD" location="'LS2 A REPORT CARD'!A1" ref="G22"/>
    <hyperlink display="IGCSE 1 REPORT CARD " location="'IGCSE 1A REPORT CARD '!A1" ref="C24"/>
    <hyperlink display="LS2 B REPORT CARD" location="'LS2 B REPORT CARD'!A1" ref="G24"/>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9.25"/>
    <col customWidth="1" min="3" max="3" width="14.0"/>
    <col customWidth="1" min="4" max="4" width="9.75"/>
    <col customWidth="1" min="5" max="5" width="15.38"/>
    <col customWidth="1" min="6" max="6" width="16.5"/>
    <col customWidth="1" min="7" max="7" width="17.63"/>
    <col customWidth="1" min="8" max="8" width="8.25"/>
    <col customWidth="1" min="10" max="10" width="11.5"/>
    <col customWidth="1" min="11" max="11" width="7.63"/>
  </cols>
  <sheetData>
    <row r="1" ht="24.0" customHeight="1">
      <c r="B1" s="23"/>
      <c r="C1" s="23"/>
    </row>
    <row r="2" ht="24.0" customHeight="1">
      <c r="B2" s="23"/>
      <c r="C2" s="23"/>
      <c r="D2" s="24" t="s">
        <v>21</v>
      </c>
    </row>
    <row r="3" ht="24.0" customHeight="1">
      <c r="B3" s="23"/>
      <c r="C3" s="23"/>
    </row>
    <row r="4" ht="24.0" customHeight="1">
      <c r="B4" s="23"/>
      <c r="C4" s="23"/>
    </row>
    <row r="5" ht="24.0" customHeight="1">
      <c r="B5" s="23" t="s">
        <v>22</v>
      </c>
    </row>
    <row r="6">
      <c r="A6" s="25"/>
      <c r="B6" s="25" t="s">
        <v>23</v>
      </c>
      <c r="C6" s="25" t="s">
        <v>24</v>
      </c>
      <c r="D6" s="25" t="s">
        <v>25</v>
      </c>
      <c r="E6" s="25" t="s">
        <v>26</v>
      </c>
      <c r="F6" s="25" t="s">
        <v>27</v>
      </c>
      <c r="G6" s="25" t="s">
        <v>28</v>
      </c>
      <c r="H6" s="25" t="s">
        <v>29</v>
      </c>
      <c r="I6" s="25" t="s">
        <v>30</v>
      </c>
      <c r="J6" s="25" t="s">
        <v>31</v>
      </c>
      <c r="K6" s="25" t="s">
        <v>32</v>
      </c>
      <c r="L6" s="26"/>
      <c r="M6" s="26"/>
      <c r="N6" s="26"/>
      <c r="O6" s="26"/>
    </row>
    <row r="7">
      <c r="A7" s="27" t="s">
        <v>33</v>
      </c>
      <c r="B7" s="28">
        <f>LS1A!E36</f>
        <v>63.375</v>
      </c>
      <c r="C7" s="28">
        <f>LS1A!I36</f>
        <v>46.45833333</v>
      </c>
      <c r="D7" s="28">
        <f>LS1A!M36</f>
        <v>53.20833333</v>
      </c>
      <c r="E7" s="28">
        <f>LS1A!Q36</f>
        <v>67.66666667</v>
      </c>
      <c r="F7" s="28">
        <f>LS1A!U36</f>
        <v>65.29166667</v>
      </c>
      <c r="G7" s="28">
        <f>LS1A!Y36</f>
        <v>63.375</v>
      </c>
      <c r="H7" s="28">
        <f>LS1A!AC36</f>
        <v>61.33333333</v>
      </c>
      <c r="I7" s="28">
        <f>LS1A!AG36</f>
        <v>73.625</v>
      </c>
      <c r="J7" s="28">
        <f>LS1A!AK36</f>
        <v>76.33333333</v>
      </c>
      <c r="K7" s="28">
        <f>LS1A!AO36</f>
        <v>66.94166667</v>
      </c>
    </row>
    <row r="8">
      <c r="A8" s="27" t="s">
        <v>34</v>
      </c>
      <c r="B8" s="28">
        <f>LS1A!E37</f>
        <v>24</v>
      </c>
      <c r="C8" s="28">
        <f>LS1A!I37</f>
        <v>24</v>
      </c>
      <c r="D8" s="28">
        <f>LS1A!M37</f>
        <v>24</v>
      </c>
      <c r="E8" s="28">
        <f>LS1A!Q37</f>
        <v>24</v>
      </c>
      <c r="F8" s="28">
        <f>LS1A!U37</f>
        <v>24</v>
      </c>
      <c r="G8" s="28">
        <f>LS1A!Y37</f>
        <v>24</v>
      </c>
      <c r="H8" s="28">
        <f>LS1A!AC37</f>
        <v>24</v>
      </c>
      <c r="I8" s="28">
        <f>LS1A!AG37</f>
        <v>24</v>
      </c>
      <c r="J8" s="28">
        <f>LS1A!AK37</f>
        <v>24</v>
      </c>
      <c r="K8" s="28">
        <f>LS1A!AO37</f>
        <v>24</v>
      </c>
    </row>
    <row r="9">
      <c r="A9" s="27" t="s">
        <v>35</v>
      </c>
      <c r="B9" s="28">
        <f>LS1A!E38</f>
        <v>21</v>
      </c>
      <c r="C9" s="28">
        <f>LS1A!I38</f>
        <v>12</v>
      </c>
      <c r="D9" s="28">
        <f>LS1A!M38</f>
        <v>11</v>
      </c>
      <c r="E9" s="28">
        <f>LS1A!Q38</f>
        <v>21</v>
      </c>
      <c r="F9" s="28">
        <f>LS1A!U38</f>
        <v>22</v>
      </c>
      <c r="G9" s="28">
        <f>LS1A!Y38</f>
        <v>21</v>
      </c>
      <c r="H9" s="28">
        <f>LS1A!AC38</f>
        <v>15</v>
      </c>
      <c r="I9" s="28">
        <f>LS1A!AG38</f>
        <v>24</v>
      </c>
      <c r="J9" s="28">
        <f>LS1A!AK38</f>
        <v>24</v>
      </c>
      <c r="K9" s="28">
        <f>LS1A!AO38</f>
        <v>22</v>
      </c>
    </row>
    <row r="10">
      <c r="A10" s="27" t="s">
        <v>36</v>
      </c>
      <c r="B10" s="28">
        <f>LS1A!E39</f>
        <v>3</v>
      </c>
      <c r="C10" s="28">
        <f>LS1A!I39</f>
        <v>12</v>
      </c>
      <c r="D10" s="28">
        <f>LS1A!M39</f>
        <v>13</v>
      </c>
      <c r="E10" s="28">
        <f>LS1A!Q39</f>
        <v>3</v>
      </c>
      <c r="F10" s="28">
        <f>LS1A!U39</f>
        <v>2</v>
      </c>
      <c r="G10" s="28">
        <f>LS1A!Y39</f>
        <v>3</v>
      </c>
      <c r="H10" s="28">
        <f>LS1A!AC39</f>
        <v>9</v>
      </c>
      <c r="I10" s="28">
        <f>LS1A!AG39</f>
        <v>0</v>
      </c>
      <c r="J10" s="28">
        <f>LS1A!AK39</f>
        <v>0</v>
      </c>
      <c r="K10" s="28">
        <f>LS1A!AO39</f>
        <v>2</v>
      </c>
    </row>
    <row r="11">
      <c r="A11" s="29" t="s">
        <v>37</v>
      </c>
      <c r="B11" s="28">
        <f>LS1A!E40</f>
        <v>87.5</v>
      </c>
      <c r="C11" s="28">
        <f>LS1A!I40</f>
        <v>50</v>
      </c>
      <c r="D11" s="28">
        <f>LS1A!M40</f>
        <v>45.83333333</v>
      </c>
      <c r="E11" s="28">
        <f>LS1A!Q40</f>
        <v>87.5</v>
      </c>
      <c r="F11" s="28">
        <f>LS1A!U40</f>
        <v>91.66666667</v>
      </c>
      <c r="G11" s="28">
        <f>LS1A!Y40</f>
        <v>87.5</v>
      </c>
      <c r="H11" s="28">
        <f>LS1A!AC40</f>
        <v>62.5</v>
      </c>
      <c r="I11" s="28">
        <f>LS1A!AG40</f>
        <v>100</v>
      </c>
      <c r="J11" s="28">
        <f>LS1A!AK40</f>
        <v>100</v>
      </c>
      <c r="K11" s="28">
        <f>LS1A!AO40</f>
        <v>91.66666667</v>
      </c>
    </row>
    <row r="12" ht="34.5" customHeight="1"/>
    <row r="14" ht="17.25" customHeight="1">
      <c r="B14" s="23" t="s">
        <v>38</v>
      </c>
    </row>
    <row r="15">
      <c r="A15" s="25"/>
      <c r="B15" s="25" t="s">
        <v>23</v>
      </c>
      <c r="C15" s="25" t="s">
        <v>24</v>
      </c>
      <c r="D15" s="25" t="s">
        <v>25</v>
      </c>
      <c r="E15" s="25" t="s">
        <v>26</v>
      </c>
      <c r="F15" s="25" t="s">
        <v>27</v>
      </c>
      <c r="G15" s="25" t="s">
        <v>28</v>
      </c>
      <c r="H15" s="25" t="s">
        <v>29</v>
      </c>
      <c r="I15" s="25" t="s">
        <v>30</v>
      </c>
      <c r="J15" s="25" t="s">
        <v>31</v>
      </c>
      <c r="K15" s="25" t="s">
        <v>32</v>
      </c>
    </row>
    <row r="16">
      <c r="A16" s="27" t="s">
        <v>33</v>
      </c>
      <c r="B16" s="28">
        <f>LS1B!E35</f>
        <v>65.96296296</v>
      </c>
      <c r="C16" s="28">
        <f>LS1B!I35</f>
        <v>52.55555556</v>
      </c>
      <c r="D16" s="28">
        <f>LS1B!M35</f>
        <v>58.93703704</v>
      </c>
      <c r="E16" s="28">
        <f>LS1B!Q35</f>
        <v>61.66666667</v>
      </c>
      <c r="F16" s="28">
        <f>LS1B!U35</f>
        <v>68.77777778</v>
      </c>
      <c r="G16" s="28">
        <f>LS1B!Y35</f>
        <v>70.88888889</v>
      </c>
      <c r="H16" s="28">
        <f>LS1B!AC35</f>
        <v>70.07692308</v>
      </c>
      <c r="I16" s="28">
        <f>LS1B!AG35</f>
        <v>75.74074074</v>
      </c>
      <c r="J16" s="28">
        <f>LS1B!AK35</f>
        <v>68.81481481</v>
      </c>
      <c r="K16" s="28">
        <f>LS1B!AO35</f>
        <v>66.86296296</v>
      </c>
    </row>
    <row r="17">
      <c r="A17" s="27" t="s">
        <v>34</v>
      </c>
      <c r="B17" s="28">
        <f>LS1B!E36</f>
        <v>27</v>
      </c>
      <c r="C17" s="28">
        <f>LS1B!I36</f>
        <v>27</v>
      </c>
      <c r="D17" s="28">
        <f>LS1B!M36</f>
        <v>27</v>
      </c>
      <c r="E17" s="28">
        <f>LS1B!Q36</f>
        <v>27</v>
      </c>
      <c r="F17" s="28">
        <f>LS1B!U36</f>
        <v>27</v>
      </c>
      <c r="G17" s="28">
        <f>LS1B!Y36</f>
        <v>27</v>
      </c>
      <c r="H17" s="28">
        <f>LS1B!AC36</f>
        <v>26</v>
      </c>
      <c r="I17" s="28">
        <f>LS1B!AG36</f>
        <v>27</v>
      </c>
      <c r="J17" s="28">
        <f>LS1B!AK36</f>
        <v>27</v>
      </c>
      <c r="K17" s="28">
        <f>LS1B!AO36</f>
        <v>27</v>
      </c>
    </row>
    <row r="18">
      <c r="A18" s="27" t="s">
        <v>35</v>
      </c>
      <c r="B18" s="28">
        <f>LS1B!E37</f>
        <v>26</v>
      </c>
      <c r="C18" s="28">
        <f>LS1B!I37</f>
        <v>17</v>
      </c>
      <c r="D18" s="28">
        <f>LS1B!M37</f>
        <v>19</v>
      </c>
      <c r="E18" s="28">
        <f>LS1B!Q37</f>
        <v>23</v>
      </c>
      <c r="F18" s="28">
        <f>LS1B!U37</f>
        <v>26</v>
      </c>
      <c r="G18" s="28">
        <f>LS1B!Y37</f>
        <v>26</v>
      </c>
      <c r="H18" s="28">
        <f>LS1B!AC37</f>
        <v>21</v>
      </c>
      <c r="I18" s="28">
        <f>LS1B!AG37</f>
        <v>27</v>
      </c>
      <c r="J18" s="28">
        <f>LS1B!AK37</f>
        <v>24</v>
      </c>
      <c r="K18" s="28">
        <f>LS1B!AO37</f>
        <v>27</v>
      </c>
    </row>
    <row r="19">
      <c r="A19" s="27" t="s">
        <v>36</v>
      </c>
      <c r="B19" s="28">
        <f>LS1B!E38</f>
        <v>1</v>
      </c>
      <c r="C19" s="28">
        <f>LS1B!I38</f>
        <v>10</v>
      </c>
      <c r="D19" s="28">
        <f>LS1B!M38</f>
        <v>8</v>
      </c>
      <c r="E19" s="28">
        <f>LS1B!Q38</f>
        <v>4</v>
      </c>
      <c r="F19" s="28">
        <f>LS1B!U38</f>
        <v>1</v>
      </c>
      <c r="G19" s="28">
        <f>LS1B!Y38</f>
        <v>1</v>
      </c>
      <c r="H19" s="28">
        <f>LS1B!AC38</f>
        <v>5</v>
      </c>
      <c r="I19" s="28">
        <f>LS1B!AG38</f>
        <v>0</v>
      </c>
      <c r="J19" s="28">
        <f>LS1B!AK38</f>
        <v>3</v>
      </c>
      <c r="K19" s="28">
        <f>LS1B!AO38</f>
        <v>0</v>
      </c>
    </row>
    <row r="20">
      <c r="A20" s="29" t="s">
        <v>37</v>
      </c>
      <c r="B20" s="28">
        <f>LS1B!E39</f>
        <v>96.2962963</v>
      </c>
      <c r="C20" s="28">
        <f>LS1B!I39</f>
        <v>62.96296296</v>
      </c>
      <c r="D20" s="28">
        <f>LS1B!M39</f>
        <v>70.37037037</v>
      </c>
      <c r="E20" s="28">
        <f>LS1B!Q39</f>
        <v>85.18518519</v>
      </c>
      <c r="F20" s="28">
        <f>LS1B!U39</f>
        <v>96.2962963</v>
      </c>
      <c r="G20" s="28">
        <f>LS1B!Y39</f>
        <v>96.2962963</v>
      </c>
      <c r="H20" s="28">
        <f>LS1B!AC39</f>
        <v>80.76923077</v>
      </c>
      <c r="I20" s="28">
        <f>LS1B!AG39</f>
        <v>100</v>
      </c>
      <c r="J20" s="28">
        <f>LS1B!AK39</f>
        <v>88.88888889</v>
      </c>
      <c r="K20" s="28">
        <f>LS1B!AO39</f>
        <v>100</v>
      </c>
    </row>
    <row r="21" ht="28.5" customHeight="1"/>
    <row r="23">
      <c r="B23" s="23" t="s">
        <v>39</v>
      </c>
    </row>
    <row r="24">
      <c r="A24" s="25"/>
      <c r="B24" s="25" t="s">
        <v>23</v>
      </c>
      <c r="C24" s="25" t="s">
        <v>24</v>
      </c>
      <c r="D24" s="25" t="s">
        <v>25</v>
      </c>
      <c r="E24" s="25" t="s">
        <v>26</v>
      </c>
      <c r="F24" s="25" t="s">
        <v>27</v>
      </c>
      <c r="G24" s="25" t="s">
        <v>28</v>
      </c>
      <c r="H24" s="25" t="s">
        <v>29</v>
      </c>
      <c r="I24" s="25" t="s">
        <v>30</v>
      </c>
      <c r="J24" s="25" t="s">
        <v>31</v>
      </c>
      <c r="K24" s="25" t="s">
        <v>32</v>
      </c>
    </row>
    <row r="25">
      <c r="A25" s="27" t="s">
        <v>33</v>
      </c>
      <c r="B25" s="28">
        <f>LS2A!E34</f>
        <v>50.48</v>
      </c>
      <c r="C25" s="28">
        <f>LS2A!I34</f>
        <v>53.52</v>
      </c>
      <c r="D25" s="28">
        <f>LS2A!M34</f>
        <v>61.48</v>
      </c>
      <c r="E25" s="28">
        <f>LS2A!Q34</f>
        <v>63.48</v>
      </c>
      <c r="F25" s="28">
        <f>LS2A!U34</f>
        <v>69.56</v>
      </c>
      <c r="G25" s="28">
        <f>LS2A!Y34</f>
        <v>71.24</v>
      </c>
      <c r="H25" s="28">
        <f>LS2A!AC34</f>
        <v>61.8</v>
      </c>
      <c r="I25" s="28">
        <f>LS2A!AG34</f>
        <v>68.48</v>
      </c>
      <c r="J25" s="28">
        <f>LS2A!AK34</f>
        <v>71.68</v>
      </c>
      <c r="K25" s="28">
        <f>LS2A!AO34</f>
        <v>67.744</v>
      </c>
    </row>
    <row r="26">
      <c r="A26" s="27" t="s">
        <v>34</v>
      </c>
      <c r="B26" s="28">
        <f>LS2A!E35</f>
        <v>25</v>
      </c>
      <c r="C26" s="28">
        <f>LS2A!I35</f>
        <v>25</v>
      </c>
      <c r="D26" s="28">
        <f>LS2A!M35</f>
        <v>25</v>
      </c>
      <c r="E26" s="28">
        <f>LS2A!Q35</f>
        <v>25</v>
      </c>
      <c r="F26" s="28">
        <f>LS2A!U35</f>
        <v>25</v>
      </c>
      <c r="G26" s="28">
        <f>LS2A!Y35</f>
        <v>25</v>
      </c>
      <c r="H26" s="28">
        <f>LS2A!AC35</f>
        <v>25</v>
      </c>
      <c r="I26" s="28">
        <f>LS2A!AG35</f>
        <v>25</v>
      </c>
      <c r="J26" s="28">
        <f>LS2A!AK35</f>
        <v>25</v>
      </c>
      <c r="K26" s="28">
        <f>LS2A!AO35</f>
        <v>25</v>
      </c>
    </row>
    <row r="27">
      <c r="A27" s="27" t="s">
        <v>35</v>
      </c>
      <c r="B27" s="28">
        <f>LS2A!E36</f>
        <v>17</v>
      </c>
      <c r="C27" s="28">
        <f>LS2A!I36</f>
        <v>15</v>
      </c>
      <c r="D27" s="28">
        <f>LS2A!M36</f>
        <v>21</v>
      </c>
      <c r="E27" s="28">
        <f>LS2A!Q36</f>
        <v>21</v>
      </c>
      <c r="F27" s="28">
        <f>LS2A!U36</f>
        <v>22</v>
      </c>
      <c r="G27" s="28">
        <f>LS2A!Y36</f>
        <v>22</v>
      </c>
      <c r="H27" s="28">
        <f>LS2A!AC36</f>
        <v>21</v>
      </c>
      <c r="I27" s="28">
        <f>LS2A!AG36</f>
        <v>23</v>
      </c>
      <c r="J27" s="28">
        <f>LS2A!AK36</f>
        <v>23</v>
      </c>
      <c r="K27" s="28">
        <f>LS2A!AO36</f>
        <v>24</v>
      </c>
    </row>
    <row r="28">
      <c r="A28" s="27" t="s">
        <v>36</v>
      </c>
      <c r="B28" s="28">
        <f>LS2A!E37</f>
        <v>8</v>
      </c>
      <c r="C28" s="28">
        <f>LS2A!I37</f>
        <v>10</v>
      </c>
      <c r="D28" s="28">
        <f>LS2A!M37</f>
        <v>4</v>
      </c>
      <c r="E28" s="28">
        <f>LS2A!Q37</f>
        <v>4</v>
      </c>
      <c r="F28" s="28">
        <f>LS2A!U37</f>
        <v>3</v>
      </c>
      <c r="G28" s="28">
        <f>LS2A!Y37</f>
        <v>3</v>
      </c>
      <c r="H28" s="28">
        <f>LS2A!AC37</f>
        <v>4</v>
      </c>
      <c r="I28" s="28">
        <f>LS2A!AG37</f>
        <v>2</v>
      </c>
      <c r="J28" s="28">
        <f>LS2A!AK37</f>
        <v>2</v>
      </c>
      <c r="K28" s="28">
        <f>LS2A!AO37</f>
        <v>1</v>
      </c>
    </row>
    <row r="29">
      <c r="A29" s="29" t="s">
        <v>37</v>
      </c>
      <c r="B29" s="28">
        <f>LS2A!E38</f>
        <v>68</v>
      </c>
      <c r="C29" s="28">
        <f>LS2A!I38</f>
        <v>60</v>
      </c>
      <c r="D29" s="28">
        <f>LS2A!M38</f>
        <v>84</v>
      </c>
      <c r="E29" s="28">
        <f>LS2A!Q38</f>
        <v>84</v>
      </c>
      <c r="F29" s="28">
        <f>LS2A!U38</f>
        <v>88</v>
      </c>
      <c r="G29" s="28">
        <f>LS2A!Y38</f>
        <v>88</v>
      </c>
      <c r="H29" s="28">
        <f>LS2A!AC38</f>
        <v>84</v>
      </c>
      <c r="I29" s="28">
        <f>LS2A!AG38</f>
        <v>92</v>
      </c>
      <c r="J29" s="28">
        <f>LS2A!AK38</f>
        <v>92</v>
      </c>
      <c r="K29" s="28">
        <f>LS2A!AO38</f>
        <v>96</v>
      </c>
    </row>
    <row r="30" ht="33.75" customHeight="1"/>
    <row r="32">
      <c r="B32" s="23" t="s">
        <v>40</v>
      </c>
    </row>
    <row r="33">
      <c r="A33" s="25"/>
      <c r="B33" s="25" t="s">
        <v>23</v>
      </c>
      <c r="C33" s="25" t="s">
        <v>24</v>
      </c>
      <c r="D33" s="25" t="s">
        <v>25</v>
      </c>
      <c r="E33" s="25" t="s">
        <v>26</v>
      </c>
      <c r="F33" s="25" t="s">
        <v>27</v>
      </c>
      <c r="G33" s="25" t="s">
        <v>28</v>
      </c>
      <c r="H33" s="25" t="s">
        <v>29</v>
      </c>
      <c r="I33" s="25" t="s">
        <v>30</v>
      </c>
      <c r="J33" s="25" t="s">
        <v>31</v>
      </c>
      <c r="K33" s="25" t="s">
        <v>32</v>
      </c>
    </row>
    <row r="34">
      <c r="A34" s="27" t="s">
        <v>33</v>
      </c>
      <c r="B34" s="28">
        <f>LS2B!E30</f>
        <v>57.5</v>
      </c>
      <c r="C34" s="28">
        <f>LS2B!I30</f>
        <v>64.83333333</v>
      </c>
      <c r="D34" s="28">
        <f>LS2B!M30</f>
        <v>69.55555556</v>
      </c>
      <c r="E34" s="28">
        <f>LS2B!Q30</f>
        <v>71.94444444</v>
      </c>
      <c r="F34" s="28">
        <f>LS2B!U30</f>
        <v>86</v>
      </c>
      <c r="G34" s="28">
        <f>LS2B!Y30</f>
        <v>78.72222222</v>
      </c>
      <c r="H34" s="28">
        <f>LS2B!AC30</f>
        <v>73.05555556</v>
      </c>
      <c r="I34" s="28">
        <f>LS2B!AG30</f>
        <v>74.66666667</v>
      </c>
      <c r="J34" s="28">
        <f>LS2B!AK30</f>
        <v>71.66666667</v>
      </c>
      <c r="K34" s="28">
        <f>LS2B!AO30</f>
        <v>71.52777778</v>
      </c>
    </row>
    <row r="35">
      <c r="A35" s="27" t="s">
        <v>34</v>
      </c>
      <c r="B35" s="28">
        <f>LS2B!E31</f>
        <v>18</v>
      </c>
      <c r="C35" s="28">
        <f>LS2B!I31</f>
        <v>18</v>
      </c>
      <c r="D35" s="28">
        <f>LS2B!M31</f>
        <v>18</v>
      </c>
      <c r="E35" s="28">
        <f>LS2B!Q31</f>
        <v>18</v>
      </c>
      <c r="F35" s="28">
        <f>LS2B!U31</f>
        <v>18</v>
      </c>
      <c r="G35" s="28">
        <f>LS2B!Y31</f>
        <v>18</v>
      </c>
      <c r="H35" s="28">
        <f>LS2B!AC31</f>
        <v>18</v>
      </c>
      <c r="I35" s="28">
        <f>LS2B!AG31</f>
        <v>18</v>
      </c>
      <c r="J35" s="28">
        <f>LS2B!AK31</f>
        <v>18</v>
      </c>
      <c r="K35" s="28">
        <f>LS2B!AO31</f>
        <v>18</v>
      </c>
    </row>
    <row r="36">
      <c r="A36" s="27" t="s">
        <v>35</v>
      </c>
      <c r="B36" s="28">
        <f>LS2B!E32</f>
        <v>16</v>
      </c>
      <c r="C36" s="28">
        <f>LS2B!I32</f>
        <v>16</v>
      </c>
      <c r="D36" s="28">
        <f>LS2B!M32</f>
        <v>16</v>
      </c>
      <c r="E36" s="28">
        <f>LS2B!Q32</f>
        <v>17</v>
      </c>
      <c r="F36" s="28">
        <f>LS2B!U32</f>
        <v>17</v>
      </c>
      <c r="G36" s="28">
        <f>LS2B!Y32</f>
        <v>17</v>
      </c>
      <c r="H36" s="28">
        <f>LS2B!AC32</f>
        <v>17</v>
      </c>
      <c r="I36" s="28">
        <f>LS2B!AG32</f>
        <v>18</v>
      </c>
      <c r="J36" s="28">
        <f>LS2B!AK32</f>
        <v>18</v>
      </c>
      <c r="K36" s="28">
        <f>LS2B!AO32</f>
        <v>18</v>
      </c>
    </row>
    <row r="37">
      <c r="A37" s="27" t="s">
        <v>36</v>
      </c>
      <c r="B37" s="28">
        <f>LS2B!E33</f>
        <v>2</v>
      </c>
      <c r="C37" s="28">
        <f>LS2B!I33</f>
        <v>2</v>
      </c>
      <c r="D37" s="28">
        <f>LS2B!M33</f>
        <v>2</v>
      </c>
      <c r="E37" s="28">
        <f>LS2B!Q33</f>
        <v>1</v>
      </c>
      <c r="F37" s="28">
        <f>LS2B!U33</f>
        <v>1</v>
      </c>
      <c r="G37" s="28">
        <f>LS2B!Y33</f>
        <v>1</v>
      </c>
      <c r="H37" s="28">
        <f>LS2B!AC33</f>
        <v>1</v>
      </c>
      <c r="I37" s="28">
        <f>LS2B!AG33</f>
        <v>0</v>
      </c>
      <c r="J37" s="28">
        <f>LS2B!AK33</f>
        <v>0</v>
      </c>
      <c r="K37" s="28">
        <f>LS2B!AO33</f>
        <v>0</v>
      </c>
    </row>
    <row r="38">
      <c r="A38" s="29" t="s">
        <v>37</v>
      </c>
      <c r="B38" s="28">
        <f>LS2B!E34</f>
        <v>88.88888889</v>
      </c>
      <c r="C38" s="28">
        <f>LS2B!I34</f>
        <v>88.88888889</v>
      </c>
      <c r="D38" s="28">
        <f>LS2B!M34</f>
        <v>88.88888889</v>
      </c>
      <c r="E38" s="28">
        <f>LS2B!Q34</f>
        <v>94.44444444</v>
      </c>
      <c r="F38" s="28">
        <f>LS2B!U34</f>
        <v>94.44444444</v>
      </c>
      <c r="G38" s="28">
        <f>LS2B!Y34</f>
        <v>94.44444444</v>
      </c>
      <c r="H38" s="28">
        <f>LS2B!AC34</f>
        <v>94.44444444</v>
      </c>
      <c r="I38" s="28">
        <f>LS2B!AG34</f>
        <v>100</v>
      </c>
      <c r="J38" s="28">
        <f>LS2B!AK34</f>
        <v>100</v>
      </c>
      <c r="K38" s="28">
        <f>LS2B!AO34</f>
        <v>100</v>
      </c>
    </row>
    <row r="39" ht="36.75" customHeight="1">
      <c r="I39" s="28"/>
    </row>
    <row r="41">
      <c r="B41" s="23" t="s">
        <v>41</v>
      </c>
    </row>
    <row r="42">
      <c r="A42" s="25"/>
      <c r="B42" s="25" t="s">
        <v>23</v>
      </c>
      <c r="C42" s="25" t="s">
        <v>24</v>
      </c>
      <c r="D42" s="25" t="s">
        <v>25</v>
      </c>
      <c r="E42" s="25" t="s">
        <v>26</v>
      </c>
      <c r="F42" s="25" t="s">
        <v>27</v>
      </c>
      <c r="G42" s="25" t="s">
        <v>28</v>
      </c>
      <c r="H42" s="25" t="s">
        <v>29</v>
      </c>
      <c r="I42" s="25" t="s">
        <v>30</v>
      </c>
      <c r="J42" s="25" t="s">
        <v>31</v>
      </c>
      <c r="K42" s="25" t="s">
        <v>32</v>
      </c>
    </row>
    <row r="43">
      <c r="A43" s="27" t="s">
        <v>33</v>
      </c>
      <c r="B43" s="28">
        <f>LS3A!E31</f>
        <v>55.26086957</v>
      </c>
      <c r="C43" s="28">
        <f>LS3A!I31</f>
        <v>54.39130435</v>
      </c>
      <c r="D43" s="28">
        <f>LS3A!M31</f>
        <v>56.43043478</v>
      </c>
      <c r="E43" s="28">
        <f>LS3A!Q31</f>
        <v>60.04347826</v>
      </c>
      <c r="F43" s="28">
        <f>LS3A!U31</f>
        <v>62.91304348</v>
      </c>
      <c r="G43" s="28">
        <f>LS3A!Y31</f>
        <v>66.86956522</v>
      </c>
      <c r="H43" s="28">
        <f>LS3A!AC31</f>
        <v>64.47826087</v>
      </c>
      <c r="I43" s="28">
        <f>LS3A!AG31</f>
        <v>73.86956522</v>
      </c>
      <c r="J43" s="28">
        <f>LS3A!AK31</f>
        <v>78.56521739</v>
      </c>
      <c r="K43" s="28">
        <f>LS3A!AO31</f>
        <v>61.47826087</v>
      </c>
    </row>
    <row r="44">
      <c r="A44" s="27" t="s">
        <v>34</v>
      </c>
      <c r="B44" s="28">
        <f>LS3A!E32</f>
        <v>23</v>
      </c>
      <c r="C44" s="28">
        <f>LS3A!I32</f>
        <v>23</v>
      </c>
      <c r="D44" s="28">
        <f>LS3A!M32</f>
        <v>23</v>
      </c>
      <c r="E44" s="28">
        <f>LS3A!Q32</f>
        <v>23</v>
      </c>
      <c r="F44" s="28">
        <f>LS3A!U32</f>
        <v>23</v>
      </c>
      <c r="G44" s="28">
        <f>LS3A!Y32</f>
        <v>23</v>
      </c>
      <c r="H44" s="28">
        <f>LS3A!AC32</f>
        <v>23</v>
      </c>
      <c r="I44" s="28">
        <f>LS3A!AG32</f>
        <v>23</v>
      </c>
      <c r="J44" s="28">
        <f>LS3A!AK32</f>
        <v>23</v>
      </c>
      <c r="K44" s="28">
        <f>LS3A!AO32</f>
        <v>23</v>
      </c>
    </row>
    <row r="45">
      <c r="A45" s="27" t="s">
        <v>35</v>
      </c>
      <c r="B45" s="28">
        <f>LS3A!E33</f>
        <v>17</v>
      </c>
      <c r="C45" s="28">
        <f>LS3A!I33</f>
        <v>15</v>
      </c>
      <c r="D45" s="28">
        <f>LS3A!M33</f>
        <v>17</v>
      </c>
      <c r="E45" s="28">
        <f>LS3A!Q33</f>
        <v>20</v>
      </c>
      <c r="F45" s="28">
        <f>LS3A!U33</f>
        <v>21</v>
      </c>
      <c r="G45" s="28">
        <f>LS3A!Y33</f>
        <v>20</v>
      </c>
      <c r="H45" s="28">
        <f>LS3A!AC33</f>
        <v>19</v>
      </c>
      <c r="I45" s="28">
        <f>LS3A!AG33</f>
        <v>23</v>
      </c>
      <c r="J45" s="28">
        <f>LS3A!AK33</f>
        <v>23</v>
      </c>
      <c r="K45" s="28">
        <f>LS3A!AO33</f>
        <v>21</v>
      </c>
    </row>
    <row r="46">
      <c r="A46" s="27" t="s">
        <v>36</v>
      </c>
      <c r="B46" s="28">
        <f>LS3A!E34</f>
        <v>6</v>
      </c>
      <c r="C46" s="28">
        <f>LS3A!I34</f>
        <v>8</v>
      </c>
      <c r="D46" s="28">
        <f>LS3A!M34</f>
        <v>6</v>
      </c>
      <c r="E46" s="28">
        <f>LS3A!Q34</f>
        <v>3</v>
      </c>
      <c r="F46" s="28">
        <f>LS3A!U34</f>
        <v>2</v>
      </c>
      <c r="G46" s="28">
        <f>LS3A!Y34</f>
        <v>3</v>
      </c>
      <c r="H46" s="28">
        <f>LS3A!AC34</f>
        <v>4</v>
      </c>
      <c r="I46" s="28">
        <f>LS3A!AG34</f>
        <v>0</v>
      </c>
      <c r="J46" s="28">
        <f>LS3A!AK34</f>
        <v>0</v>
      </c>
      <c r="K46" s="28">
        <f>LS3A!AO34</f>
        <v>2</v>
      </c>
    </row>
    <row r="47">
      <c r="A47" s="29" t="s">
        <v>37</v>
      </c>
      <c r="B47" s="28">
        <f>LS3A!E35</f>
        <v>73.91304348</v>
      </c>
      <c r="C47" s="28">
        <f>LS3A!I35</f>
        <v>65.2173913</v>
      </c>
      <c r="D47" s="28">
        <f>LS3A!M35</f>
        <v>73.91304348</v>
      </c>
      <c r="E47" s="28">
        <f>LS3A!Q35</f>
        <v>86.95652174</v>
      </c>
      <c r="F47" s="28">
        <f>LS3A!U35</f>
        <v>91.30434783</v>
      </c>
      <c r="G47" s="28">
        <f>LS3A!Y35</f>
        <v>86.95652174</v>
      </c>
      <c r="H47" s="28">
        <f>LS3A!AC35</f>
        <v>82.60869565</v>
      </c>
      <c r="I47" s="28">
        <f>LS3A!AG35</f>
        <v>100</v>
      </c>
      <c r="J47" s="28">
        <f>LS3A!AK35</f>
        <v>100</v>
      </c>
      <c r="K47" s="28">
        <f>LS3A!AO35</f>
        <v>91.30434783</v>
      </c>
    </row>
    <row r="48" ht="37.5" customHeight="1"/>
    <row r="50">
      <c r="B50" s="23" t="s">
        <v>42</v>
      </c>
    </row>
    <row r="51">
      <c r="A51" s="25"/>
      <c r="B51" s="25" t="s">
        <v>23</v>
      </c>
      <c r="C51" s="25" t="s">
        <v>24</v>
      </c>
      <c r="D51" s="25" t="s">
        <v>25</v>
      </c>
      <c r="E51" s="25" t="s">
        <v>26</v>
      </c>
      <c r="F51" s="25" t="s">
        <v>27</v>
      </c>
      <c r="G51" s="25" t="s">
        <v>28</v>
      </c>
      <c r="H51" s="25" t="s">
        <v>29</v>
      </c>
      <c r="I51" s="25" t="s">
        <v>30</v>
      </c>
      <c r="J51" s="25" t="s">
        <v>31</v>
      </c>
      <c r="K51" s="25" t="s">
        <v>32</v>
      </c>
    </row>
    <row r="52">
      <c r="A52" s="27" t="s">
        <v>33</v>
      </c>
      <c r="B52" s="28">
        <f>LS3B!E36</f>
        <v>54.48</v>
      </c>
      <c r="C52" s="28">
        <f>LS3B!I36</f>
        <v>54</v>
      </c>
      <c r="D52" s="28">
        <f>LS3B!M36</f>
        <v>57.34</v>
      </c>
      <c r="E52" s="28">
        <f>LS3B!Q36</f>
        <v>62.36</v>
      </c>
      <c r="F52" s="28">
        <f>LS3B!U36</f>
        <v>55.76</v>
      </c>
      <c r="G52" s="28">
        <f>LS3B!Y36</f>
        <v>66.56</v>
      </c>
      <c r="H52" s="28">
        <f>LS3B!AC36</f>
        <v>58.2</v>
      </c>
      <c r="I52" s="28">
        <f>LS3B!AG36</f>
        <v>75.6</v>
      </c>
      <c r="J52" s="28">
        <f>LS3B!AK36</f>
        <v>57.6</v>
      </c>
      <c r="K52" s="28">
        <f>LS3B!AO36</f>
        <v>68.624</v>
      </c>
    </row>
    <row r="53">
      <c r="A53" s="27" t="s">
        <v>34</v>
      </c>
      <c r="B53" s="28">
        <f>LS3B!E37</f>
        <v>25</v>
      </c>
      <c r="C53" s="28">
        <f>LS3B!I37</f>
        <v>25</v>
      </c>
      <c r="D53" s="28">
        <f>LS3B!M37</f>
        <v>25</v>
      </c>
      <c r="E53" s="28">
        <f>LS3B!Q37</f>
        <v>25</v>
      </c>
      <c r="F53" s="28">
        <f>LS3B!U37</f>
        <v>25</v>
      </c>
      <c r="G53" s="28">
        <f>LS3B!Y37</f>
        <v>25</v>
      </c>
      <c r="H53" s="28">
        <f>LS3B!AC37</f>
        <v>25</v>
      </c>
      <c r="I53" s="28">
        <f>LS3B!AG37</f>
        <v>25</v>
      </c>
      <c r="J53" s="28">
        <f>LS3B!AK37</f>
        <v>25</v>
      </c>
      <c r="K53" s="28">
        <f>LS3B!AO37</f>
        <v>25</v>
      </c>
    </row>
    <row r="54">
      <c r="A54" s="27" t="s">
        <v>35</v>
      </c>
      <c r="B54" s="28">
        <f>LS3B!E38</f>
        <v>12</v>
      </c>
      <c r="C54" s="28">
        <f>LS3B!I38</f>
        <v>15</v>
      </c>
      <c r="D54" s="28">
        <f>LS3B!M38</f>
        <v>16</v>
      </c>
      <c r="E54" s="28">
        <f>LS3B!Q38</f>
        <v>22</v>
      </c>
      <c r="F54" s="28">
        <f>LS3B!U38</f>
        <v>16</v>
      </c>
      <c r="G54" s="28">
        <f>LS3B!Y38</f>
        <v>21</v>
      </c>
      <c r="H54" s="28">
        <f>LS3B!AC38</f>
        <v>17</v>
      </c>
      <c r="I54" s="28">
        <f>LS3B!AG38</f>
        <v>25</v>
      </c>
      <c r="J54" s="28">
        <f>LS3B!AK38</f>
        <v>22</v>
      </c>
      <c r="K54" s="28">
        <f>LS3B!AO38</f>
        <v>25</v>
      </c>
    </row>
    <row r="55">
      <c r="A55" s="27" t="s">
        <v>36</v>
      </c>
      <c r="B55" s="28">
        <f>LS3B!E39</f>
        <v>13</v>
      </c>
      <c r="C55" s="28">
        <f>LS3B!I39</f>
        <v>10</v>
      </c>
      <c r="D55" s="28">
        <f>LS3B!M39</f>
        <v>9</v>
      </c>
      <c r="E55" s="28">
        <f>LS3B!Q39</f>
        <v>3</v>
      </c>
      <c r="F55" s="28">
        <f>LS3B!U39</f>
        <v>9</v>
      </c>
      <c r="G55" s="28">
        <f>LS3B!Y39</f>
        <v>4</v>
      </c>
      <c r="H55" s="28">
        <f>LS3B!AC39</f>
        <v>8</v>
      </c>
      <c r="I55" s="28">
        <f>LS3B!AG39</f>
        <v>0</v>
      </c>
      <c r="J55" s="28">
        <f>LS3B!AK39</f>
        <v>3</v>
      </c>
      <c r="K55" s="28">
        <f>LS3B!AO39</f>
        <v>0</v>
      </c>
    </row>
    <row r="56">
      <c r="A56" s="29" t="s">
        <v>37</v>
      </c>
      <c r="B56" s="28">
        <f>LS3B!E40</f>
        <v>48</v>
      </c>
      <c r="C56" s="28">
        <f>LS3B!I40</f>
        <v>60</v>
      </c>
      <c r="D56" s="28">
        <f>LS3B!M40</f>
        <v>64</v>
      </c>
      <c r="E56" s="28">
        <f>LS3B!Q40</f>
        <v>88</v>
      </c>
      <c r="F56" s="28">
        <f>LS3B!U40</f>
        <v>64</v>
      </c>
      <c r="G56" s="28">
        <f>LS3B!Y40</f>
        <v>84</v>
      </c>
      <c r="H56" s="28">
        <f>LS3B!AC40</f>
        <v>68</v>
      </c>
      <c r="I56" s="28">
        <f>LS3B!AG40</f>
        <v>100</v>
      </c>
      <c r="J56" s="28">
        <f>LS3B!AK40</f>
        <v>88</v>
      </c>
      <c r="K56" s="28">
        <f>LS3B!AO40</f>
        <v>100</v>
      </c>
    </row>
    <row r="57" ht="31.5" customHeight="1"/>
    <row r="59">
      <c r="B59" s="30" t="s">
        <v>43</v>
      </c>
    </row>
    <row r="60">
      <c r="A60" s="25"/>
      <c r="B60" s="25" t="s">
        <v>23</v>
      </c>
      <c r="C60" s="25" t="s">
        <v>24</v>
      </c>
      <c r="D60" s="25" t="s">
        <v>44</v>
      </c>
      <c r="E60" s="25" t="s">
        <v>45</v>
      </c>
      <c r="F60" s="25" t="s">
        <v>46</v>
      </c>
      <c r="G60" s="25" t="s">
        <v>28</v>
      </c>
      <c r="H60" s="25" t="s">
        <v>47</v>
      </c>
      <c r="I60" s="25" t="s">
        <v>48</v>
      </c>
      <c r="J60" s="25" t="s">
        <v>49</v>
      </c>
      <c r="K60" s="25" t="s">
        <v>32</v>
      </c>
    </row>
    <row r="61">
      <c r="A61" s="27" t="s">
        <v>33</v>
      </c>
      <c r="B61" s="28">
        <f>'IGCSE 1A'!C34</f>
        <v>60.95</v>
      </c>
      <c r="C61" s="28">
        <f>'IGCSE 1A'!E34</f>
        <v>57.8</v>
      </c>
      <c r="D61" s="28">
        <f>'IGCSE 1A'!G34</f>
        <v>67.44444444</v>
      </c>
      <c r="E61" s="28">
        <f>'IGCSE 1A'!I34</f>
        <v>55.4</v>
      </c>
      <c r="F61" s="28">
        <f>'IGCSE 1A'!K34</f>
        <v>89.33333333</v>
      </c>
      <c r="G61" s="28">
        <f>'IGCSE 1A'!M34</f>
        <v>65</v>
      </c>
      <c r="H61" s="28" t="str">
        <f>'IGCSE 1A'!O34</f>
        <v>#DIV/0!</v>
      </c>
      <c r="I61" s="28">
        <f>'IGCSE 1A'!Q34</f>
        <v>55</v>
      </c>
      <c r="J61" s="28">
        <f>'IGCSE 1A'!S34</f>
        <v>75.85</v>
      </c>
      <c r="K61" s="28">
        <f>'IGCSE 1A'!U34</f>
        <v>58.75</v>
      </c>
    </row>
    <row r="62">
      <c r="A62" s="27" t="s">
        <v>34</v>
      </c>
      <c r="B62" s="28">
        <f>'IGCSE 1A'!C35</f>
        <v>20</v>
      </c>
      <c r="C62" s="28">
        <f>'IGCSE 1A'!E35</f>
        <v>20</v>
      </c>
      <c r="D62" s="28">
        <f>'IGCSE 1A'!G35</f>
        <v>18</v>
      </c>
      <c r="E62" s="28">
        <f>'IGCSE 1A'!I35</f>
        <v>20</v>
      </c>
      <c r="F62" s="28">
        <f>'IGCSE 1A'!K35</f>
        <v>3</v>
      </c>
      <c r="G62" s="28">
        <f>'IGCSE 1A'!M35</f>
        <v>2</v>
      </c>
      <c r="H62" s="28">
        <f>'IGCSE 1A'!O35</f>
        <v>0</v>
      </c>
      <c r="I62" s="28">
        <f>'IGCSE 1A'!Q35</f>
        <v>8</v>
      </c>
      <c r="J62" s="28">
        <f>'IGCSE 1A'!S35</f>
        <v>20</v>
      </c>
      <c r="K62" s="28">
        <f>'IGCSE 1A'!U35</f>
        <v>12</v>
      </c>
    </row>
    <row r="63">
      <c r="A63" s="27" t="s">
        <v>35</v>
      </c>
      <c r="B63" s="28">
        <f>'IGCSE 1A'!C36</f>
        <v>17</v>
      </c>
      <c r="C63" s="28">
        <f>'IGCSE 1A'!E36</f>
        <v>15</v>
      </c>
      <c r="D63" s="28">
        <f>'IGCSE 1A'!G36</f>
        <v>17</v>
      </c>
      <c r="E63" s="28">
        <f>'IGCSE 1A'!I36</f>
        <v>11</v>
      </c>
      <c r="F63" s="28">
        <f>'IGCSE 1A'!K36</f>
        <v>3</v>
      </c>
      <c r="G63" s="28">
        <f>'IGCSE 1A'!M36</f>
        <v>2</v>
      </c>
      <c r="H63" s="28">
        <f>'IGCSE 1A'!O36</f>
        <v>0</v>
      </c>
      <c r="I63" s="28">
        <f>'IGCSE 1A'!Q36</f>
        <v>6</v>
      </c>
      <c r="J63" s="28">
        <f>'IGCSE 1A'!S36</f>
        <v>19</v>
      </c>
      <c r="K63" s="28">
        <f>'IGCSE 1A'!U36</f>
        <v>10</v>
      </c>
    </row>
    <row r="64">
      <c r="A64" s="27" t="s">
        <v>36</v>
      </c>
      <c r="B64" s="28">
        <f>'IGCSE 1A'!C37</f>
        <v>3</v>
      </c>
      <c r="C64" s="28">
        <f>'IGCSE 1A'!E37</f>
        <v>5</v>
      </c>
      <c r="D64" s="28">
        <f>'IGCSE 1A'!G37</f>
        <v>1</v>
      </c>
      <c r="E64" s="28">
        <f>'IGCSE 1A'!I37</f>
        <v>9</v>
      </c>
      <c r="F64" s="28">
        <f>'IGCSE 1A'!K37</f>
        <v>0</v>
      </c>
      <c r="G64" s="28">
        <f>'IGCSE 1A'!M37</f>
        <v>0</v>
      </c>
      <c r="H64" s="28">
        <f>'IGCSE 1A'!O37</f>
        <v>0</v>
      </c>
      <c r="I64" s="28">
        <f>'IGCSE 1A'!Q37</f>
        <v>2</v>
      </c>
      <c r="J64" s="28">
        <f>'IGCSE 1A'!S37</f>
        <v>1</v>
      </c>
      <c r="K64" s="28">
        <f>'IGCSE 1A'!U37</f>
        <v>2</v>
      </c>
    </row>
    <row r="65">
      <c r="A65" s="29" t="s">
        <v>37</v>
      </c>
      <c r="B65" s="28">
        <f>'IGCSE 1A'!C38</f>
        <v>85</v>
      </c>
      <c r="C65" s="28">
        <f>'IGCSE 1A'!E38</f>
        <v>75</v>
      </c>
      <c r="D65" s="28">
        <f>'IGCSE 1A'!G38</f>
        <v>94.44444444</v>
      </c>
      <c r="E65" s="28">
        <f>'IGCSE 1A'!I38</f>
        <v>55</v>
      </c>
      <c r="F65" s="28">
        <f>'IGCSE 1A'!K38</f>
        <v>100</v>
      </c>
      <c r="G65" s="28">
        <f>'IGCSE 1A'!M38</f>
        <v>100</v>
      </c>
      <c r="H65" s="28" t="str">
        <f>'IGCSE 1A'!O38</f>
        <v>#DIV/0!</v>
      </c>
      <c r="I65" s="28">
        <f>'IGCSE 1A'!Q38</f>
        <v>75</v>
      </c>
      <c r="J65" s="28">
        <f>'IGCSE 1A'!S38</f>
        <v>95</v>
      </c>
      <c r="K65" s="28">
        <f>'IGCSE 1A'!U38</f>
        <v>83.33333333</v>
      </c>
    </row>
    <row r="66" ht="30.75" customHeight="1"/>
    <row r="67">
      <c r="B67" s="30" t="s">
        <v>50</v>
      </c>
    </row>
    <row r="68">
      <c r="A68" s="25"/>
      <c r="B68" s="25" t="s">
        <v>23</v>
      </c>
      <c r="C68" s="25" t="s">
        <v>24</v>
      </c>
      <c r="D68" s="25" t="s">
        <v>44</v>
      </c>
      <c r="E68" s="25" t="s">
        <v>45</v>
      </c>
      <c r="F68" s="25" t="s">
        <v>46</v>
      </c>
      <c r="G68" s="25" t="s">
        <v>28</v>
      </c>
      <c r="H68" s="25" t="s">
        <v>47</v>
      </c>
      <c r="I68" s="25" t="s">
        <v>48</v>
      </c>
      <c r="J68" s="25" t="s">
        <v>49</v>
      </c>
      <c r="K68" s="25" t="s">
        <v>32</v>
      </c>
    </row>
    <row r="69">
      <c r="A69" s="27" t="s">
        <v>33</v>
      </c>
      <c r="B69" s="28" t="str">
        <f>'IGCSE 1B'!C34</f>
        <v/>
      </c>
      <c r="C69" s="28">
        <f>'IGCSE 1A'!E34</f>
        <v>57.8</v>
      </c>
      <c r="D69" s="28">
        <f>'IGCSE 1A'!G34</f>
        <v>67.44444444</v>
      </c>
      <c r="E69" s="28">
        <f>'IGCSE 1A'!I34</f>
        <v>55.4</v>
      </c>
      <c r="F69" s="28">
        <f>'IGCSE 1A'!K34</f>
        <v>89.33333333</v>
      </c>
      <c r="G69" s="28">
        <f>'IGCSE 1A'!M34</f>
        <v>65</v>
      </c>
      <c r="H69" s="28" t="str">
        <f>'IGCSE 1A'!O34</f>
        <v>#DIV/0!</v>
      </c>
      <c r="I69" s="28">
        <f>'IGCSE 1A'!Q34</f>
        <v>55</v>
      </c>
      <c r="J69" s="28">
        <f>'IGCSE 1A'!S34</f>
        <v>75.85</v>
      </c>
      <c r="K69" s="28">
        <f>'IGCSE 1A'!U34</f>
        <v>58.75</v>
      </c>
    </row>
    <row r="70">
      <c r="A70" s="27" t="s">
        <v>34</v>
      </c>
      <c r="B70" s="28">
        <f>'IGCSE 1A'!C35</f>
        <v>20</v>
      </c>
      <c r="C70" s="28">
        <f>'IGCSE 1A'!E35</f>
        <v>20</v>
      </c>
      <c r="D70" s="28">
        <f>'IGCSE 1A'!G35</f>
        <v>18</v>
      </c>
      <c r="E70" s="28">
        <f>'IGCSE 1A'!I35</f>
        <v>20</v>
      </c>
      <c r="F70" s="28">
        <f>'IGCSE 1A'!K35</f>
        <v>3</v>
      </c>
      <c r="G70" s="28">
        <f>'IGCSE 1A'!M35</f>
        <v>2</v>
      </c>
      <c r="H70" s="28">
        <f>'IGCSE 1A'!O35</f>
        <v>0</v>
      </c>
      <c r="I70" s="28">
        <f>'IGCSE 1A'!Q35</f>
        <v>8</v>
      </c>
      <c r="J70" s="28">
        <f>'IGCSE 1A'!S35</f>
        <v>20</v>
      </c>
      <c r="K70" s="28">
        <f>'IGCSE 1A'!U35</f>
        <v>12</v>
      </c>
    </row>
    <row r="71">
      <c r="A71" s="27" t="s">
        <v>35</v>
      </c>
      <c r="B71" s="28">
        <f>'IGCSE 1A'!C36</f>
        <v>17</v>
      </c>
      <c r="C71" s="28">
        <f>'IGCSE 1A'!E36</f>
        <v>15</v>
      </c>
      <c r="D71" s="28">
        <f>'IGCSE 1A'!G36</f>
        <v>17</v>
      </c>
      <c r="E71" s="28">
        <f>'IGCSE 1A'!I36</f>
        <v>11</v>
      </c>
      <c r="F71" s="28">
        <f>'IGCSE 1A'!K36</f>
        <v>3</v>
      </c>
      <c r="G71" s="28">
        <f>'IGCSE 1A'!M36</f>
        <v>2</v>
      </c>
      <c r="H71" s="28">
        <f>'IGCSE 1A'!O36</f>
        <v>0</v>
      </c>
      <c r="I71" s="28">
        <f>'IGCSE 1A'!Q36</f>
        <v>6</v>
      </c>
      <c r="J71" s="28">
        <f>'IGCSE 1A'!S36</f>
        <v>19</v>
      </c>
      <c r="K71" s="28">
        <f>'IGCSE 1A'!U36</f>
        <v>10</v>
      </c>
    </row>
    <row r="72">
      <c r="A72" s="27" t="s">
        <v>36</v>
      </c>
      <c r="B72" s="28">
        <f>'IGCSE 1A'!C37</f>
        <v>3</v>
      </c>
      <c r="C72" s="28">
        <f>'IGCSE 1A'!E37</f>
        <v>5</v>
      </c>
      <c r="D72" s="28">
        <f>'IGCSE 1A'!G37</f>
        <v>1</v>
      </c>
      <c r="E72" s="28">
        <f>'IGCSE 1A'!I37</f>
        <v>9</v>
      </c>
      <c r="F72" s="28">
        <f>'IGCSE 1A'!K37</f>
        <v>0</v>
      </c>
      <c r="G72" s="28">
        <f>'IGCSE 1A'!M37</f>
        <v>0</v>
      </c>
      <c r="H72" s="28">
        <f>'IGCSE 1A'!O37</f>
        <v>0</v>
      </c>
      <c r="I72" s="28">
        <f>'IGCSE 1A'!Q37</f>
        <v>2</v>
      </c>
      <c r="J72" s="28">
        <f>'IGCSE 1A'!S37</f>
        <v>1</v>
      </c>
      <c r="K72" s="28">
        <f>'IGCSE 1A'!U37</f>
        <v>2</v>
      </c>
    </row>
    <row r="73">
      <c r="A73" s="29" t="s">
        <v>37</v>
      </c>
      <c r="B73" s="28">
        <f>'IGCSE 1A'!C38</f>
        <v>85</v>
      </c>
      <c r="C73" s="28">
        <f>'IGCSE 1A'!E38</f>
        <v>75</v>
      </c>
      <c r="D73" s="28">
        <f>'IGCSE 1A'!G38</f>
        <v>94.44444444</v>
      </c>
      <c r="E73" s="28">
        <f>'IGCSE 1A'!I38</f>
        <v>55</v>
      </c>
      <c r="F73" s="28">
        <f>'IGCSE 1A'!K38</f>
        <v>100</v>
      </c>
      <c r="G73" s="28">
        <f>'IGCSE 1A'!M38</f>
        <v>100</v>
      </c>
      <c r="H73" s="28" t="str">
        <f>'IGCSE 1A'!O38</f>
        <v>#DIV/0!</v>
      </c>
      <c r="I73" s="28">
        <f>'IGCSE 1A'!Q38</f>
        <v>75</v>
      </c>
      <c r="J73" s="28">
        <f>'IGCSE 1A'!S38</f>
        <v>95</v>
      </c>
      <c r="K73" s="28">
        <f>'IGCSE 1A'!U38</f>
        <v>83.33333333</v>
      </c>
    </row>
    <row r="74">
      <c r="A74" s="31"/>
      <c r="B74" s="32"/>
      <c r="C74" s="32"/>
      <c r="D74" s="32"/>
      <c r="E74" s="32"/>
      <c r="F74" s="32"/>
      <c r="G74" s="32"/>
      <c r="H74" s="32"/>
      <c r="I74" s="32"/>
      <c r="J74" s="32"/>
      <c r="K74" s="32"/>
    </row>
    <row r="75">
      <c r="A75" s="31"/>
      <c r="B75" s="32"/>
      <c r="C75" s="32"/>
      <c r="D75" s="32"/>
      <c r="E75" s="32"/>
      <c r="F75" s="32"/>
      <c r="G75" s="32"/>
      <c r="H75" s="32"/>
      <c r="I75" s="32"/>
      <c r="J75" s="32"/>
      <c r="K75" s="32"/>
    </row>
    <row r="76">
      <c r="B76" s="30" t="s">
        <v>51</v>
      </c>
    </row>
    <row r="77">
      <c r="A77" s="25"/>
      <c r="B77" s="25" t="s">
        <v>23</v>
      </c>
      <c r="C77" s="25" t="s">
        <v>24</v>
      </c>
      <c r="D77" s="25" t="s">
        <v>44</v>
      </c>
      <c r="E77" s="25" t="s">
        <v>45</v>
      </c>
      <c r="F77" s="25" t="s">
        <v>46</v>
      </c>
      <c r="G77" s="25" t="s">
        <v>28</v>
      </c>
      <c r="H77" s="25" t="s">
        <v>47</v>
      </c>
      <c r="I77" s="25" t="s">
        <v>48</v>
      </c>
      <c r="J77" s="25" t="s">
        <v>49</v>
      </c>
      <c r="K77" s="25" t="s">
        <v>32</v>
      </c>
    </row>
    <row r="78">
      <c r="A78" s="27" t="s">
        <v>33</v>
      </c>
      <c r="B78" s="28">
        <f>'IGCSE 1C'!C25</f>
        <v>57.5</v>
      </c>
      <c r="C78" s="28">
        <f>'IGCSE 1C'!E25</f>
        <v>56.11764706</v>
      </c>
      <c r="D78" s="28">
        <f>'IGCSE 1C'!G25</f>
        <v>59</v>
      </c>
      <c r="E78" s="28" t="str">
        <f>'IGCSE 1C'!I25</f>
        <v>#DIV/0!</v>
      </c>
      <c r="F78" s="28">
        <f>'IGCSE 1C'!K25</f>
        <v>74.33333333</v>
      </c>
      <c r="G78" s="28">
        <f>'IGCSE 1C'!M25</f>
        <v>47.78571429</v>
      </c>
      <c r="H78" s="28">
        <f>'IGCSE 1C'!O25</f>
        <v>72.58823529</v>
      </c>
      <c r="I78" s="28">
        <f>'IGCSE 1C'!Q25</f>
        <v>46.76923077</v>
      </c>
      <c r="J78" s="28">
        <f>'IGCSE 1C'!S25</f>
        <v>68.44444444</v>
      </c>
      <c r="K78" s="28">
        <f>'IGCSE 1C'!U25</f>
        <v>42.5</v>
      </c>
    </row>
    <row r="79">
      <c r="A79" s="27" t="s">
        <v>34</v>
      </c>
      <c r="B79" s="28">
        <f>'IGCSE 1C'!C26</f>
        <v>16</v>
      </c>
      <c r="C79" s="28">
        <f>'IGCSE 1C'!E26</f>
        <v>17</v>
      </c>
      <c r="D79" s="28">
        <f>'IGCSE 1C'!G26</f>
        <v>2</v>
      </c>
      <c r="E79" s="28">
        <f>'IGCSE 1C'!I26</f>
        <v>0</v>
      </c>
      <c r="F79" s="28">
        <f>'IGCSE 1C'!K26</f>
        <v>6</v>
      </c>
      <c r="G79" s="28">
        <f>'IGCSE 1C'!M26</f>
        <v>14</v>
      </c>
      <c r="H79" s="28">
        <f>'IGCSE 1C'!O26</f>
        <v>17</v>
      </c>
      <c r="I79" s="28">
        <f>'IGCSE 1C'!Q26</f>
        <v>13</v>
      </c>
      <c r="J79" s="28">
        <f>'IGCSE 1C'!S26</f>
        <v>9</v>
      </c>
      <c r="K79" s="28">
        <f>'IGCSE 1C'!U26</f>
        <v>2</v>
      </c>
    </row>
    <row r="80">
      <c r="A80" s="27" t="s">
        <v>35</v>
      </c>
      <c r="B80" s="28">
        <f>'IGCSE 1C'!C27</f>
        <v>12</v>
      </c>
      <c r="C80" s="28">
        <f>'IGCSE 1C'!E27</f>
        <v>10</v>
      </c>
      <c r="D80" s="28">
        <f>'IGCSE 1C'!G27</f>
        <v>2</v>
      </c>
      <c r="E80" s="28">
        <f>'IGCSE 1C'!I27</f>
        <v>0</v>
      </c>
      <c r="F80" s="28">
        <f>'IGCSE 1C'!K27</f>
        <v>6</v>
      </c>
      <c r="G80" s="28">
        <f>'IGCSE 1C'!M27</f>
        <v>5</v>
      </c>
      <c r="H80" s="28">
        <f>'IGCSE 1C'!O27</f>
        <v>17</v>
      </c>
      <c r="I80" s="28">
        <f>'IGCSE 1C'!Q27</f>
        <v>6</v>
      </c>
      <c r="J80" s="28">
        <f>'IGCSE 1C'!S27</f>
        <v>9</v>
      </c>
      <c r="K80" s="28">
        <f>'IGCSE 1C'!U27</f>
        <v>0</v>
      </c>
    </row>
    <row r="81">
      <c r="A81" s="27" t="s">
        <v>36</v>
      </c>
      <c r="B81" s="28">
        <f>'IGCSE 1C'!C28</f>
        <v>4</v>
      </c>
      <c r="C81" s="28">
        <f>'IGCSE 1C'!E28</f>
        <v>7</v>
      </c>
      <c r="D81" s="28">
        <f>'IGCSE 1C'!G28</f>
        <v>0</v>
      </c>
      <c r="E81" s="28">
        <f>'IGCSE 1C'!I28</f>
        <v>0</v>
      </c>
      <c r="F81" s="28">
        <f>'IGCSE 1C'!K28</f>
        <v>0</v>
      </c>
      <c r="G81" s="28">
        <f>'IGCSE 1C'!M28</f>
        <v>9</v>
      </c>
      <c r="H81" s="28">
        <f>'IGCSE 1C'!O28</f>
        <v>0</v>
      </c>
      <c r="I81" s="28">
        <f>'IGCSE 1C'!Q28</f>
        <v>7</v>
      </c>
      <c r="J81" s="28">
        <f>'IGCSE 1C'!S28</f>
        <v>0</v>
      </c>
      <c r="K81" s="28">
        <f>'IGCSE 1C'!U28</f>
        <v>2</v>
      </c>
    </row>
    <row r="82">
      <c r="A82" s="29" t="s">
        <v>37</v>
      </c>
      <c r="B82" s="28">
        <f>'IGCSE 1C'!C29</f>
        <v>75</v>
      </c>
      <c r="C82" s="28">
        <f>'IGCSE 1C'!E29</f>
        <v>58.82352941</v>
      </c>
      <c r="D82" s="28">
        <f>'IGCSE 1C'!G29</f>
        <v>100</v>
      </c>
      <c r="E82" s="28" t="str">
        <f>'IGCSE 1C'!I29</f>
        <v>#DIV/0!</v>
      </c>
      <c r="F82" s="28">
        <f>'IGCSE 1C'!K29</f>
        <v>100</v>
      </c>
      <c r="G82" s="28">
        <f>'IGCSE 1C'!M29</f>
        <v>35.71428571</v>
      </c>
      <c r="H82" s="28">
        <f>'IGCSE 1C'!O29</f>
        <v>100</v>
      </c>
      <c r="I82" s="28">
        <f>'IGCSE 1C'!Q29</f>
        <v>46.15384615</v>
      </c>
      <c r="J82" s="28">
        <f>'IGCSE 1C'!S29</f>
        <v>100</v>
      </c>
      <c r="K82" s="28">
        <f>'IGCSE 1C'!U29</f>
        <v>0</v>
      </c>
    </row>
    <row r="83">
      <c r="A83" s="31"/>
      <c r="B83" s="33"/>
      <c r="C83" s="33"/>
      <c r="D83" s="33"/>
      <c r="E83" s="33"/>
      <c r="F83" s="33"/>
      <c r="G83" s="33"/>
      <c r="H83" s="33"/>
      <c r="I83" s="33"/>
      <c r="J83" s="33"/>
      <c r="K83" s="33"/>
    </row>
    <row r="84">
      <c r="A84" s="31"/>
      <c r="B84" s="33"/>
      <c r="C84" s="33"/>
      <c r="D84" s="33"/>
      <c r="E84" s="33"/>
      <c r="F84" s="33"/>
      <c r="G84" s="33"/>
      <c r="H84" s="33"/>
      <c r="I84" s="33"/>
      <c r="J84" s="33"/>
      <c r="K84" s="33"/>
    </row>
    <row r="86">
      <c r="B86" s="30" t="s">
        <v>52</v>
      </c>
    </row>
    <row r="87">
      <c r="A87" s="25"/>
      <c r="B87" s="25" t="s">
        <v>23</v>
      </c>
      <c r="C87" s="25" t="s">
        <v>24</v>
      </c>
      <c r="D87" s="25" t="s">
        <v>44</v>
      </c>
      <c r="E87" s="25" t="s">
        <v>45</v>
      </c>
      <c r="F87" s="25" t="s">
        <v>46</v>
      </c>
      <c r="G87" s="25" t="s">
        <v>28</v>
      </c>
      <c r="H87" s="25" t="s">
        <v>47</v>
      </c>
      <c r="I87" s="25" t="s">
        <v>48</v>
      </c>
      <c r="J87" s="25" t="s">
        <v>49</v>
      </c>
      <c r="K87" s="25" t="s">
        <v>32</v>
      </c>
    </row>
    <row r="88">
      <c r="A88" s="27" t="s">
        <v>33</v>
      </c>
      <c r="B88" s="28">
        <f>'IGCSE 2A'!C34</f>
        <v>43.47368421</v>
      </c>
      <c r="C88" s="28">
        <f>'IGCSE 2A'!E34</f>
        <v>52</v>
      </c>
      <c r="D88" s="28">
        <f>'IGCSE 2A'!G34</f>
        <v>52.31578947</v>
      </c>
      <c r="E88" s="28">
        <f>'IGCSE 2A'!I34</f>
        <v>59.75</v>
      </c>
      <c r="F88" s="28">
        <f>'IGCSE 2A'!K34</f>
        <v>61.66666667</v>
      </c>
      <c r="G88" s="28">
        <f>'IGCSE 2A'!M34</f>
        <v>45.33333333</v>
      </c>
      <c r="H88" s="28" t="str">
        <f>'IGCSE 2A'!O34</f>
        <v>#DIV/0!</v>
      </c>
      <c r="I88" s="28">
        <f>'IGCSE 2A'!Q34</f>
        <v>48.63636364</v>
      </c>
      <c r="J88" s="28">
        <f>'IGCSE 2A'!S34</f>
        <v>53</v>
      </c>
      <c r="K88" s="28">
        <f>'IGCSE 2A'!U34</f>
        <v>63.2</v>
      </c>
    </row>
    <row r="89">
      <c r="A89" s="27" t="s">
        <v>34</v>
      </c>
      <c r="B89" s="28">
        <f>'IGCSE 2A'!C35</f>
        <v>19</v>
      </c>
      <c r="C89" s="28">
        <f>'IGCSE 2A'!E35</f>
        <v>22</v>
      </c>
      <c r="D89" s="28">
        <f>'IGCSE 2A'!G35</f>
        <v>19</v>
      </c>
      <c r="E89" s="28">
        <f>'IGCSE 2A'!I35</f>
        <v>20</v>
      </c>
      <c r="F89" s="28">
        <f>'IGCSE 2A'!K35</f>
        <v>3</v>
      </c>
      <c r="G89" s="28">
        <f>'IGCSE 2A'!M35</f>
        <v>3</v>
      </c>
      <c r="H89" s="28">
        <f>'IGCSE 2A'!O35</f>
        <v>0</v>
      </c>
      <c r="I89" s="28">
        <f>'IGCSE 2A'!Q35</f>
        <v>11</v>
      </c>
      <c r="J89" s="28">
        <f>'IGCSE 2A'!S35</f>
        <v>16</v>
      </c>
      <c r="K89" s="28">
        <f>'IGCSE 2A'!U35</f>
        <v>10</v>
      </c>
    </row>
    <row r="90">
      <c r="A90" s="27" t="s">
        <v>35</v>
      </c>
      <c r="B90" s="28">
        <f>'IGCSE 2A'!C36</f>
        <v>6</v>
      </c>
      <c r="C90" s="28">
        <f>'IGCSE 2A'!E36</f>
        <v>14</v>
      </c>
      <c r="D90" s="28">
        <f>'IGCSE 2A'!G36</f>
        <v>13</v>
      </c>
      <c r="E90" s="28">
        <f>'IGCSE 2A'!I36</f>
        <v>17</v>
      </c>
      <c r="F90" s="28">
        <f>'IGCSE 2A'!K36</f>
        <v>2</v>
      </c>
      <c r="G90" s="28">
        <f>'IGCSE 2A'!M36</f>
        <v>1</v>
      </c>
      <c r="H90" s="28">
        <f>'IGCSE 2A'!O36</f>
        <v>0</v>
      </c>
      <c r="I90" s="28">
        <f>'IGCSE 2A'!Q36</f>
        <v>7</v>
      </c>
      <c r="J90" s="28">
        <f>'IGCSE 2A'!S36</f>
        <v>12</v>
      </c>
      <c r="K90" s="28">
        <f>'IGCSE 2A'!U36</f>
        <v>7</v>
      </c>
    </row>
    <row r="91">
      <c r="A91" s="27" t="s">
        <v>36</v>
      </c>
      <c r="B91" s="28">
        <f>'IGCSE 2A'!C37</f>
        <v>13</v>
      </c>
      <c r="C91" s="28">
        <f>'IGCSE 2A'!E37</f>
        <v>8</v>
      </c>
      <c r="D91" s="28">
        <f>'IGCSE 2A'!G37</f>
        <v>6</v>
      </c>
      <c r="E91" s="28">
        <f>'IGCSE 2A'!I37</f>
        <v>3</v>
      </c>
      <c r="F91" s="28">
        <f>'IGCSE 2A'!K37</f>
        <v>1</v>
      </c>
      <c r="G91" s="28">
        <f>'IGCSE 2A'!M37</f>
        <v>2</v>
      </c>
      <c r="H91" s="28">
        <f>'IGCSE 2A'!O37</f>
        <v>0</v>
      </c>
      <c r="I91" s="28">
        <f>'IGCSE 2A'!Q37</f>
        <v>4</v>
      </c>
      <c r="J91" s="28">
        <f>'IGCSE 2A'!S37</f>
        <v>4</v>
      </c>
      <c r="K91" s="28">
        <f>'IGCSE 2A'!U37</f>
        <v>3</v>
      </c>
    </row>
    <row r="92">
      <c r="A92" s="29" t="s">
        <v>37</v>
      </c>
      <c r="B92" s="28">
        <f>'IGCSE 2A'!C38</f>
        <v>31.57894737</v>
      </c>
      <c r="C92" s="28">
        <f>'IGCSE 2A'!E38</f>
        <v>63.63636364</v>
      </c>
      <c r="D92" s="28">
        <f>'IGCSE 2A'!G38</f>
        <v>68.42105263</v>
      </c>
      <c r="E92" s="28">
        <f>'IGCSE 2A'!I38</f>
        <v>85</v>
      </c>
      <c r="F92" s="28">
        <f>'IGCSE 2A'!K38</f>
        <v>66.66666667</v>
      </c>
      <c r="G92" s="28">
        <f>'IGCSE 2A'!M38</f>
        <v>33.33333333</v>
      </c>
      <c r="H92" s="28" t="str">
        <f>'IGCSE 2A'!O38</f>
        <v>#DIV/0!</v>
      </c>
      <c r="I92" s="28">
        <f>'IGCSE 2A'!Q38</f>
        <v>63.63636364</v>
      </c>
      <c r="J92" s="28">
        <f>'IGCSE 2A'!S38</f>
        <v>75</v>
      </c>
      <c r="K92" s="28">
        <f>'IGCSE 2A'!U38</f>
        <v>70</v>
      </c>
    </row>
    <row r="93" ht="30.75" customHeight="1"/>
    <row r="94">
      <c r="B94" s="30" t="s">
        <v>53</v>
      </c>
    </row>
    <row r="95">
      <c r="A95" s="25"/>
      <c r="B95" s="25" t="s">
        <v>23</v>
      </c>
      <c r="C95" s="25" t="s">
        <v>24</v>
      </c>
      <c r="D95" s="25" t="s">
        <v>44</v>
      </c>
      <c r="E95" s="25" t="s">
        <v>45</v>
      </c>
      <c r="F95" s="25" t="s">
        <v>46</v>
      </c>
      <c r="G95" s="25" t="s">
        <v>28</v>
      </c>
      <c r="H95" s="25" t="s">
        <v>47</v>
      </c>
      <c r="I95" s="25" t="s">
        <v>48</v>
      </c>
      <c r="J95" s="25" t="s">
        <v>49</v>
      </c>
      <c r="K95" s="25" t="s">
        <v>32</v>
      </c>
    </row>
    <row r="96">
      <c r="A96" s="27" t="s">
        <v>33</v>
      </c>
      <c r="B96" s="28">
        <f>'IGCSE 2B'!C14</f>
        <v>38.25</v>
      </c>
      <c r="C96" s="28">
        <f>'IGCSE 2B'!E14</f>
        <v>39.25</v>
      </c>
      <c r="D96" s="28">
        <f>'IGCSE 2B'!G14</f>
        <v>41</v>
      </c>
      <c r="E96" s="28">
        <f>'IGCSE 2B'!I14</f>
        <v>44.66666667</v>
      </c>
      <c r="F96" s="28">
        <f>'IGCSE 2B'!K14</f>
        <v>40.5</v>
      </c>
      <c r="G96" s="28">
        <f>'IGCSE 2B'!M14</f>
        <v>32.2</v>
      </c>
      <c r="H96" s="28" t="str">
        <f>'IGCSE 2B'!O14</f>
        <v>#DIV/0!</v>
      </c>
      <c r="I96" s="28">
        <f>'IGCSE 2B'!Q14</f>
        <v>44.2</v>
      </c>
      <c r="J96" s="28">
        <f>'IGCSE 2B'!S14</f>
        <v>44</v>
      </c>
      <c r="K96" s="28">
        <f>'IGCSE 2B'!U14</f>
        <v>59.33333333</v>
      </c>
    </row>
    <row r="97">
      <c r="A97" s="27" t="s">
        <v>34</v>
      </c>
      <c r="B97" s="28">
        <f>'IGCSE 2B'!C15</f>
        <v>8</v>
      </c>
      <c r="C97" s="28">
        <f>'IGCSE 2B'!E15</f>
        <v>8</v>
      </c>
      <c r="D97" s="28">
        <f>'IGCSE 2B'!G15</f>
        <v>3</v>
      </c>
      <c r="E97" s="28">
        <f>'IGCSE 2B'!I15</f>
        <v>3</v>
      </c>
      <c r="F97" s="28">
        <f>'IGCSE 2B'!K15</f>
        <v>6</v>
      </c>
      <c r="G97" s="28">
        <f>'IGCSE 2B'!M15</f>
        <v>5</v>
      </c>
      <c r="H97" s="28">
        <f>'IGCSE 2B'!O15</f>
        <v>0</v>
      </c>
      <c r="I97" s="28">
        <f>'IGCSE 2B'!Q15</f>
        <v>5</v>
      </c>
      <c r="J97" s="28">
        <f>'IGCSE 2B'!S15</f>
        <v>2</v>
      </c>
      <c r="K97" s="28">
        <f>'IGCSE 2B'!U15</f>
        <v>3</v>
      </c>
    </row>
    <row r="98">
      <c r="A98" s="27" t="s">
        <v>35</v>
      </c>
      <c r="B98" s="28">
        <f>'IGCSE 2B'!C16</f>
        <v>0</v>
      </c>
      <c r="C98" s="28">
        <f>'IGCSE 2B'!E16</f>
        <v>1</v>
      </c>
      <c r="D98" s="28">
        <f>'IGCSE 2B'!G16</f>
        <v>1</v>
      </c>
      <c r="E98" s="28">
        <f>'IGCSE 2B'!I16</f>
        <v>1</v>
      </c>
      <c r="F98" s="28">
        <f>'IGCSE 2B'!K16</f>
        <v>1</v>
      </c>
      <c r="G98" s="28">
        <f>'IGCSE 2B'!M16</f>
        <v>1</v>
      </c>
      <c r="H98" s="28">
        <f>'IGCSE 2B'!O16</f>
        <v>0</v>
      </c>
      <c r="I98" s="28">
        <f>'IGCSE 2B'!Q16</f>
        <v>1</v>
      </c>
      <c r="J98" s="28">
        <f>'IGCSE 2B'!S16</f>
        <v>1</v>
      </c>
      <c r="K98" s="28">
        <f>'IGCSE 2B'!U16</f>
        <v>3</v>
      </c>
    </row>
    <row r="99">
      <c r="A99" s="27" t="s">
        <v>36</v>
      </c>
      <c r="B99" s="28">
        <f>'IGCSE 2B'!C17</f>
        <v>8</v>
      </c>
      <c r="C99" s="28">
        <f>'IGCSE 2B'!E17</f>
        <v>7</v>
      </c>
      <c r="D99" s="28">
        <f>'IGCSE 2B'!G17</f>
        <v>2</v>
      </c>
      <c r="E99" s="28">
        <f>'IGCSE 2B'!I17</f>
        <v>2</v>
      </c>
      <c r="F99" s="28">
        <f>'IGCSE 2B'!K17</f>
        <v>5</v>
      </c>
      <c r="G99" s="28">
        <f>'IGCSE 2B'!M17</f>
        <v>4</v>
      </c>
      <c r="H99" s="28">
        <f>'IGCSE 2B'!O17</f>
        <v>0</v>
      </c>
      <c r="I99" s="28">
        <f>'IGCSE 2B'!Q17</f>
        <v>4</v>
      </c>
      <c r="J99" s="28">
        <f>'IGCSE 2B'!S17</f>
        <v>1</v>
      </c>
      <c r="K99" s="28">
        <f>'IGCSE 2B'!U17</f>
        <v>0</v>
      </c>
    </row>
    <row r="100">
      <c r="A100" s="29" t="s">
        <v>37</v>
      </c>
      <c r="B100" s="28">
        <f>'IGCSE 2B'!C18</f>
        <v>0</v>
      </c>
      <c r="C100" s="28">
        <f>'IGCSE 2B'!E18</f>
        <v>12.5</v>
      </c>
      <c r="D100" s="28">
        <f>'IGCSE 2B'!G18</f>
        <v>33.33333333</v>
      </c>
      <c r="E100" s="28">
        <f>'IGCSE 2B'!I18</f>
        <v>33.33333333</v>
      </c>
      <c r="F100" s="28">
        <f>'IGCSE 2B'!K18</f>
        <v>16.66666667</v>
      </c>
      <c r="G100" s="28">
        <f>'IGCSE 2B'!M18</f>
        <v>20</v>
      </c>
      <c r="H100" s="28" t="str">
        <f>'IGCSE 2B'!O18</f>
        <v>#DIV/0!</v>
      </c>
      <c r="I100" s="28">
        <f>'IGCSE 2B'!Q18</f>
        <v>20</v>
      </c>
      <c r="J100" s="28">
        <f>'IGCSE 2B'!S18</f>
        <v>50</v>
      </c>
      <c r="K100" s="28">
        <f>'IGCSE 2B'!U18</f>
        <v>100</v>
      </c>
    </row>
    <row r="101">
      <c r="A101" s="31"/>
      <c r="B101" s="32"/>
      <c r="C101" s="32"/>
      <c r="D101" s="32"/>
      <c r="E101" s="32"/>
      <c r="F101" s="32"/>
      <c r="G101" s="32"/>
      <c r="H101" s="32"/>
      <c r="I101" s="32"/>
      <c r="J101" s="32"/>
      <c r="K101" s="32"/>
    </row>
    <row r="102">
      <c r="A102" s="31"/>
      <c r="B102" s="32"/>
      <c r="C102" s="32"/>
      <c r="D102" s="32"/>
      <c r="E102" s="32"/>
      <c r="F102" s="32"/>
      <c r="G102" s="32"/>
      <c r="H102" s="32"/>
      <c r="I102" s="32"/>
      <c r="J102" s="32"/>
      <c r="K102" s="32"/>
    </row>
    <row r="103">
      <c r="B103" s="30" t="s">
        <v>54</v>
      </c>
    </row>
    <row r="104">
      <c r="A104" s="25"/>
      <c r="B104" s="25" t="s">
        <v>23</v>
      </c>
      <c r="C104" s="25" t="s">
        <v>24</v>
      </c>
      <c r="D104" s="25" t="s">
        <v>44</v>
      </c>
      <c r="E104" s="25" t="s">
        <v>45</v>
      </c>
      <c r="F104" s="25" t="s">
        <v>46</v>
      </c>
      <c r="G104" s="25" t="s">
        <v>28</v>
      </c>
      <c r="H104" s="25" t="s">
        <v>47</v>
      </c>
      <c r="I104" s="25" t="s">
        <v>48</v>
      </c>
      <c r="J104" s="25" t="s">
        <v>49</v>
      </c>
      <c r="K104" s="25" t="s">
        <v>32</v>
      </c>
    </row>
    <row r="105">
      <c r="A105" s="27" t="s">
        <v>33</v>
      </c>
      <c r="B105" s="28">
        <f>'IGCSE 2C'!C24</f>
        <v>56.44444444</v>
      </c>
      <c r="C105" s="28">
        <f>'IGCSE 2C'!E24</f>
        <v>50.22222222</v>
      </c>
      <c r="D105" s="28">
        <f>'IGCSE 2C'!G24</f>
        <v>49.54545455</v>
      </c>
      <c r="E105" s="28">
        <f>'IGCSE 2C'!I24</f>
        <v>55.14285714</v>
      </c>
      <c r="F105" s="28">
        <f>'IGCSE 2C'!K24</f>
        <v>49.09090909</v>
      </c>
      <c r="G105" s="28">
        <f>'IGCSE 2C'!M24</f>
        <v>49.33333333</v>
      </c>
      <c r="H105" s="28">
        <f>'IGCSE 2C'!O24</f>
        <v>43.11111111</v>
      </c>
      <c r="I105" s="28">
        <f>'IGCSE 2C'!Q24</f>
        <v>48.57142857</v>
      </c>
      <c r="J105" s="28">
        <f>'IGCSE 2C'!S24</f>
        <v>47</v>
      </c>
      <c r="K105" s="28">
        <f>'IGCSE 2C'!U24</f>
        <v>62.25</v>
      </c>
    </row>
    <row r="106">
      <c r="A106" s="27" t="s">
        <v>34</v>
      </c>
      <c r="B106" s="28">
        <f>'IGCSE 2C'!C25</f>
        <v>18</v>
      </c>
      <c r="C106" s="28">
        <f>'IGCSE 2C'!E25</f>
        <v>18</v>
      </c>
      <c r="D106" s="28">
        <f>'IGCSE 2C'!G25</f>
        <v>11</v>
      </c>
      <c r="E106" s="28">
        <f>'IGCSE 2C'!I25</f>
        <v>7</v>
      </c>
      <c r="F106" s="28">
        <f>'IGCSE 2C'!K25</f>
        <v>11</v>
      </c>
      <c r="G106" s="28">
        <f>'IGCSE 2C'!M25</f>
        <v>9</v>
      </c>
      <c r="H106" s="28">
        <f>'IGCSE 2C'!O25</f>
        <v>9</v>
      </c>
      <c r="I106" s="28">
        <f>'IGCSE 2C'!Q25</f>
        <v>7</v>
      </c>
      <c r="J106" s="28">
        <f>'IGCSE 2C'!S25</f>
        <v>4</v>
      </c>
      <c r="K106" s="28">
        <f>'IGCSE 2C'!U25</f>
        <v>8</v>
      </c>
    </row>
    <row r="107">
      <c r="A107" s="27" t="s">
        <v>35</v>
      </c>
      <c r="B107" s="28">
        <f>'IGCSE 2C'!C26</f>
        <v>14</v>
      </c>
      <c r="C107" s="28">
        <f>'IGCSE 2C'!E26</f>
        <v>10</v>
      </c>
      <c r="D107" s="28">
        <f>'IGCSE 2C'!G26</f>
        <v>5</v>
      </c>
      <c r="E107" s="28">
        <f>'IGCSE 2C'!I26</f>
        <v>6</v>
      </c>
      <c r="F107" s="28">
        <f>'IGCSE 2C'!K26</f>
        <v>5</v>
      </c>
      <c r="G107" s="28">
        <f>'IGCSE 2C'!M26</f>
        <v>4</v>
      </c>
      <c r="H107" s="28">
        <f>'IGCSE 2C'!O26</f>
        <v>4</v>
      </c>
      <c r="I107" s="28">
        <f>'IGCSE 2C'!Q26</f>
        <v>2</v>
      </c>
      <c r="J107" s="28">
        <f>'IGCSE 2C'!S26</f>
        <v>3</v>
      </c>
      <c r="K107" s="28">
        <f>'IGCSE 2C'!U26</f>
        <v>7</v>
      </c>
    </row>
    <row r="108">
      <c r="A108" s="27" t="s">
        <v>36</v>
      </c>
      <c r="B108" s="28">
        <f>'IGCSE 2C'!C27</f>
        <v>4</v>
      </c>
      <c r="C108" s="28">
        <f>'IGCSE 2C'!E27</f>
        <v>8</v>
      </c>
      <c r="D108" s="28">
        <f>'IGCSE 2C'!G27</f>
        <v>6</v>
      </c>
      <c r="E108" s="28">
        <f>'IGCSE 2C'!I27</f>
        <v>1</v>
      </c>
      <c r="F108" s="28">
        <f>'IGCSE 2C'!K27</f>
        <v>6</v>
      </c>
      <c r="G108" s="28">
        <f>'IGCSE 2C'!M27</f>
        <v>5</v>
      </c>
      <c r="H108" s="28">
        <f>'IGCSE 2C'!O27</f>
        <v>5</v>
      </c>
      <c r="I108" s="28">
        <f>'IGCSE 2C'!Q27</f>
        <v>5</v>
      </c>
      <c r="J108" s="28">
        <f>'IGCSE 2C'!S27</f>
        <v>1</v>
      </c>
      <c r="K108" s="28">
        <f>'IGCSE 2C'!U27</f>
        <v>1</v>
      </c>
    </row>
    <row r="109">
      <c r="A109" s="29" t="s">
        <v>37</v>
      </c>
      <c r="B109" s="28">
        <f>'IGCSE 2C'!C28</f>
        <v>77.77777778</v>
      </c>
      <c r="C109" s="28">
        <f>'IGCSE 2C'!E28</f>
        <v>55.55555556</v>
      </c>
      <c r="D109" s="28">
        <f>'IGCSE 2C'!G28</f>
        <v>45.45454545</v>
      </c>
      <c r="E109" s="28">
        <f>'IGCSE 2C'!I28</f>
        <v>85.71428571</v>
      </c>
      <c r="F109" s="28">
        <f>'IGCSE 2C'!K28</f>
        <v>45.45454545</v>
      </c>
      <c r="G109" s="28">
        <f>'IGCSE 2C'!M28</f>
        <v>44.44444444</v>
      </c>
      <c r="H109" s="28">
        <f>'IGCSE 2C'!O28</f>
        <v>44.44444444</v>
      </c>
      <c r="I109" s="28">
        <f>'IGCSE 2C'!Q28</f>
        <v>28.57142857</v>
      </c>
      <c r="J109" s="28">
        <f>'IGCSE 2C'!S28</f>
        <v>75</v>
      </c>
      <c r="K109" s="28">
        <f>'IGCSE 2C'!U28</f>
        <v>87.5</v>
      </c>
    </row>
    <row r="110">
      <c r="A110" s="31"/>
      <c r="B110" s="33"/>
      <c r="C110" s="33"/>
      <c r="D110" s="33"/>
      <c r="E110" s="33"/>
      <c r="F110" s="33"/>
      <c r="G110" s="33"/>
      <c r="H110" s="33"/>
      <c r="I110" s="33"/>
      <c r="J110" s="33"/>
      <c r="K110" s="33"/>
    </row>
    <row r="111">
      <c r="B111" s="23" t="s">
        <v>55</v>
      </c>
    </row>
    <row r="112">
      <c r="A112" s="25"/>
      <c r="B112" s="25" t="s">
        <v>23</v>
      </c>
      <c r="C112" s="25" t="s">
        <v>24</v>
      </c>
      <c r="D112" s="25" t="s">
        <v>44</v>
      </c>
      <c r="E112" s="25" t="s">
        <v>45</v>
      </c>
      <c r="F112" s="25" t="s">
        <v>56</v>
      </c>
      <c r="G112" s="25" t="s">
        <v>28</v>
      </c>
      <c r="H112" s="25" t="s">
        <v>47</v>
      </c>
      <c r="I112" s="25" t="s">
        <v>57</v>
      </c>
      <c r="J112" s="25" t="s">
        <v>58</v>
      </c>
      <c r="K112" s="25" t="s">
        <v>30</v>
      </c>
    </row>
    <row r="113">
      <c r="A113" s="27" t="s">
        <v>33</v>
      </c>
      <c r="B113" s="28" t="str">
        <f>AVERAGE(ASLEVEL!$C$2:$C$14)</f>
        <v>#REF!</v>
      </c>
      <c r="C113" s="28" t="str">
        <f>AVERAGE(ASLEVEL!$E$2:$E$14)</f>
        <v>#REF!</v>
      </c>
      <c r="D113" s="28" t="str">
        <f>AVERAGE(ASLEVEL!$G$2:$G$14)</f>
        <v>#REF!</v>
      </c>
      <c r="E113" s="28" t="str">
        <f>AVERAGE(ASLEVEL!$I$2:$I$14)</f>
        <v>#REF!</v>
      </c>
      <c r="F113" s="28" t="str">
        <f>AVERAGE(ASLEVEL!$K$2:$K$14)</f>
        <v>#REF!</v>
      </c>
      <c r="G113" s="28" t="str">
        <f>AVERAGE(ASLEVEL!$M$2:$M$14)</f>
        <v>#REF!</v>
      </c>
      <c r="H113" s="28" t="str">
        <f>AVERAGE(ASLEVEL!$O$2:$O$14)</f>
        <v>#REF!</v>
      </c>
      <c r="I113" s="28" t="str">
        <f>AVERAGE(ASLEVEL!$Q$2:$Q$14)</f>
        <v>#REF!</v>
      </c>
      <c r="J113" s="28" t="str">
        <f>AVERAGE(ASLEVEL!$U$10:$U$11)</f>
        <v>#REF!</v>
      </c>
      <c r="K113" s="28">
        <v>85.0</v>
      </c>
    </row>
    <row r="114">
      <c r="A114" s="27" t="s">
        <v>34</v>
      </c>
      <c r="B114" s="34">
        <f>COUNT(ASLEVEL!$C$2:$C$14)</f>
        <v>0</v>
      </c>
      <c r="C114" s="34">
        <f>COUNT(ASLEVEL!$E$2:$E$14)</f>
        <v>0</v>
      </c>
      <c r="D114" s="34">
        <f>COUNT(ASLEVEL!$G$2:$G$14)</f>
        <v>0</v>
      </c>
      <c r="E114" s="34">
        <f>COUNT(ASLEVEL!$I$2:$I$14)</f>
        <v>0</v>
      </c>
      <c r="F114" s="34">
        <f>COUNT(ASLEVEL!$K$2:$K$14)</f>
        <v>0</v>
      </c>
      <c r="G114" s="34">
        <f>COUNT(ASLEVEL!$M$2:$M$14)</f>
        <v>0</v>
      </c>
      <c r="H114" s="34">
        <f>COUNT(ASLEVEL!$O$2:$O$14)</f>
        <v>0</v>
      </c>
      <c r="I114" s="34">
        <f>COUNT(ASLEVEL!$Q$2:$Q$14)</f>
        <v>0</v>
      </c>
      <c r="J114" s="34">
        <f>COUNT(ASLEVEL!$U$10:$U$11)</f>
        <v>0</v>
      </c>
      <c r="K114" s="34">
        <v>1.0</v>
      </c>
    </row>
    <row r="115">
      <c r="A115" s="27" t="s">
        <v>35</v>
      </c>
      <c r="B115" s="34" t="str">
        <f>COUNTIF(ASLEVEL!$C$2:$C$14,"&gt;49")</f>
        <v>#REF!</v>
      </c>
      <c r="C115" s="34" t="str">
        <f>COUNTIF(ASLEVEL!$E$2:$E$14,"&gt;49")</f>
        <v>#REF!</v>
      </c>
      <c r="D115" s="34" t="str">
        <f>COUNTIF(ASLEVEL!$G$2:$G$14,"&gt;49")</f>
        <v>#REF!</v>
      </c>
      <c r="E115" s="34" t="str">
        <f>COUNTIF(ASLEVEL!$I$2:$I$14,"&gt;49")</f>
        <v>#REF!</v>
      </c>
      <c r="F115" s="34" t="str">
        <f>COUNTIF(ASLEVEL!$K$2:$K$14,"&gt;49")</f>
        <v>#REF!</v>
      </c>
      <c r="G115" s="34" t="str">
        <f>COUNTIF(ASLEVEL!$M$2:$M$14,"&gt;49")</f>
        <v>#REF!</v>
      </c>
      <c r="H115" s="34" t="str">
        <f>COUNTIF(ASLEVEL!$O$2:$O$14,"&gt;49")</f>
        <v>#REF!</v>
      </c>
      <c r="I115" s="34" t="str">
        <f>COUNTIF(ASLEVEL!$Q$2:$Q$14,"&gt;49")</f>
        <v>#REF!</v>
      </c>
      <c r="J115" s="34" t="str">
        <f>COUNTIF(ASLEVEL!$U$10:$U$11,"&gt;49")</f>
        <v>#REF!</v>
      </c>
      <c r="K115" s="34">
        <v>1.0</v>
      </c>
    </row>
    <row r="116">
      <c r="A116" s="27" t="s">
        <v>36</v>
      </c>
      <c r="B116" s="34" t="str">
        <f>COUNTIF(ASLEVEL!$C$2:$C$14,"&lt;50")</f>
        <v>#REF!</v>
      </c>
      <c r="C116" s="34" t="str">
        <f>COUNTIF(ASLEVEL!$E$2:$E$14,"&lt;50")</f>
        <v>#REF!</v>
      </c>
      <c r="D116" s="34" t="str">
        <f>COUNTIF(ASLEVEL!$G$2:$G$14,"&lt;50")</f>
        <v>#REF!</v>
      </c>
      <c r="E116" s="34" t="str">
        <f>COUNTIF(ASLEVEL!$I$2:$I$14,"&lt;50")</f>
        <v>#REF!</v>
      </c>
      <c r="F116" s="34" t="str">
        <f>COUNTIF(ASLEVEL!$K$2:$K$14,"&lt;50")</f>
        <v>#REF!</v>
      </c>
      <c r="G116" s="34" t="str">
        <f>COUNTIF(ASLEVEL!$M$2:$M$14,"&lt;50")</f>
        <v>#REF!</v>
      </c>
      <c r="H116" s="34" t="str">
        <f>COUNTIF(ASLEVEL!$O$2:$O$14,"&lt;50")</f>
        <v>#REF!</v>
      </c>
      <c r="I116" s="34" t="str">
        <f>COUNTIF(ASLEVEL!$Q$2:$Q$14,"&lt;50")</f>
        <v>#REF!</v>
      </c>
      <c r="J116" s="34" t="str">
        <f>COUNTIF(ASLEVEL!$C$2:$C$14,"&lt;50")</f>
        <v>#REF!</v>
      </c>
      <c r="K116" s="34">
        <v>0.0</v>
      </c>
    </row>
    <row r="117">
      <c r="A117" s="29" t="s">
        <v>37</v>
      </c>
      <c r="B117" s="35" t="str">
        <f t="shared" ref="B117:K117" si="1">B115*100/B114</f>
        <v>#REF!</v>
      </c>
      <c r="C117" s="35" t="str">
        <f t="shared" si="1"/>
        <v>#REF!</v>
      </c>
      <c r="D117" s="35" t="str">
        <f t="shared" si="1"/>
        <v>#REF!</v>
      </c>
      <c r="E117" s="35" t="str">
        <f t="shared" si="1"/>
        <v>#REF!</v>
      </c>
      <c r="F117" s="35" t="str">
        <f t="shared" si="1"/>
        <v>#REF!</v>
      </c>
      <c r="G117" s="35" t="str">
        <f t="shared" si="1"/>
        <v>#REF!</v>
      </c>
      <c r="H117" s="35" t="str">
        <f t="shared" si="1"/>
        <v>#REF!</v>
      </c>
      <c r="I117" s="35" t="str">
        <f t="shared" si="1"/>
        <v>#REF!</v>
      </c>
      <c r="J117" s="35" t="str">
        <f t="shared" si="1"/>
        <v>#REF!</v>
      </c>
      <c r="K117" s="35">
        <f t="shared" si="1"/>
        <v>100</v>
      </c>
    </row>
  </sheetData>
  <mergeCells count="13">
    <mergeCell ref="B67:C67"/>
    <mergeCell ref="B76:C76"/>
    <mergeCell ref="B86:C86"/>
    <mergeCell ref="B94:C94"/>
    <mergeCell ref="B103:C103"/>
    <mergeCell ref="B111:C111"/>
    <mergeCell ref="B5:C5"/>
    <mergeCell ref="B14:C14"/>
    <mergeCell ref="B23:C23"/>
    <mergeCell ref="B32:C32"/>
    <mergeCell ref="B41:C41"/>
    <mergeCell ref="B50:C50"/>
    <mergeCell ref="B59:C59"/>
  </mergeCells>
  <printOptions/>
  <pageMargins bottom="0.75" footer="0.0" header="0.0" left="0.7" right="0.7" top="0.75"/>
  <pageSetup fitToHeight="0"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2" max="2" width="24.25"/>
    <col customWidth="1" min="3" max="3" width="11.63"/>
    <col customWidth="1" min="4" max="4" width="10.63"/>
    <col customWidth="1" min="5" max="5" width="10.5"/>
    <col customWidth="1" min="6" max="6" width="7.88"/>
    <col customWidth="1" min="7" max="7" width="10.5"/>
    <col customWidth="1" min="8" max="8" width="9.38"/>
    <col customWidth="1" min="9" max="9" width="10.0"/>
    <col customWidth="1" min="10" max="10" width="7.88"/>
    <col customWidth="1" min="11" max="11" width="9.13"/>
    <col customWidth="1" min="12" max="12" width="6.0"/>
    <col customWidth="1" min="13" max="13" width="9.25"/>
    <col customWidth="1" min="14" max="14" width="5.63"/>
    <col customWidth="1" min="15" max="15" width="7.25"/>
    <col customWidth="1" min="16" max="16" width="8.63"/>
    <col customWidth="1" min="17" max="17" width="9.5"/>
    <col customWidth="1" min="18" max="18" width="8.88"/>
    <col customWidth="1" min="19" max="19" width="9.0"/>
    <col customWidth="1" min="20" max="20" width="11.13"/>
    <col customWidth="1" min="21" max="21" width="8.5"/>
    <col customWidth="1" min="22" max="22" width="5.5"/>
    <col customWidth="1" min="23" max="23" width="11.13"/>
    <col customWidth="1" min="24" max="24" width="10.75"/>
    <col customWidth="1" min="26" max="44" width="13.63"/>
    <col customWidth="1" min="46" max="46" width="14.0"/>
    <col customWidth="1" min="51" max="51" width="114.0"/>
  </cols>
  <sheetData>
    <row r="1" ht="15.75" customHeight="1">
      <c r="A1" s="36" t="s">
        <v>59</v>
      </c>
      <c r="B1" s="37"/>
      <c r="C1" s="38"/>
      <c r="D1" s="38"/>
      <c r="E1" s="38"/>
      <c r="F1" s="38"/>
      <c r="G1" s="39"/>
      <c r="H1" s="39"/>
      <c r="I1" s="39"/>
      <c r="J1" s="39"/>
      <c r="K1" s="39"/>
      <c r="L1" s="39"/>
      <c r="M1" s="3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40"/>
    </row>
    <row r="2" ht="15.75" customHeight="1">
      <c r="A2" s="40"/>
      <c r="B2" s="37"/>
      <c r="C2" s="38"/>
      <c r="D2" s="38"/>
      <c r="E2" s="38"/>
      <c r="F2" s="38"/>
      <c r="G2" s="39"/>
      <c r="H2" s="39"/>
      <c r="I2" s="39"/>
      <c r="J2" s="39"/>
      <c r="K2" s="39"/>
      <c r="L2" s="39"/>
      <c r="M2" s="3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40"/>
    </row>
    <row r="3" ht="15.75" customHeight="1">
      <c r="A3" s="42" t="s">
        <v>60</v>
      </c>
      <c r="B3" s="43" t="s">
        <v>61</v>
      </c>
      <c r="C3" s="44" t="s">
        <v>62</v>
      </c>
      <c r="D3" s="45"/>
      <c r="E3" s="45"/>
      <c r="F3" s="46"/>
      <c r="G3" s="47" t="s">
        <v>63</v>
      </c>
      <c r="H3" s="45"/>
      <c r="I3" s="45"/>
      <c r="J3" s="46"/>
      <c r="K3" s="48" t="s">
        <v>64</v>
      </c>
      <c r="L3" s="45"/>
      <c r="M3" s="45"/>
      <c r="N3" s="46"/>
      <c r="O3" s="49" t="s">
        <v>65</v>
      </c>
      <c r="P3" s="45"/>
      <c r="Q3" s="45"/>
      <c r="R3" s="46"/>
      <c r="S3" s="50" t="s">
        <v>66</v>
      </c>
      <c r="T3" s="45"/>
      <c r="U3" s="45"/>
      <c r="V3" s="46"/>
      <c r="W3" s="51" t="s">
        <v>67</v>
      </c>
      <c r="X3" s="45"/>
      <c r="Y3" s="45"/>
      <c r="Z3" s="46"/>
      <c r="AA3" s="52" t="s">
        <v>68</v>
      </c>
      <c r="AB3" s="45"/>
      <c r="AC3" s="45"/>
      <c r="AD3" s="46"/>
      <c r="AE3" s="53" t="s">
        <v>69</v>
      </c>
      <c r="AF3" s="45"/>
      <c r="AG3" s="45"/>
      <c r="AH3" s="46"/>
      <c r="AI3" s="54" t="s">
        <v>70</v>
      </c>
      <c r="AJ3" s="45"/>
      <c r="AK3" s="45"/>
      <c r="AL3" s="46"/>
      <c r="AM3" s="55" t="s">
        <v>71</v>
      </c>
      <c r="AN3" s="45"/>
      <c r="AO3" s="45"/>
      <c r="AP3" s="46"/>
      <c r="AQ3" s="56"/>
      <c r="AR3" s="57" t="s">
        <v>72</v>
      </c>
      <c r="AS3" s="43" t="s">
        <v>73</v>
      </c>
      <c r="AT3" s="43" t="s">
        <v>74</v>
      </c>
      <c r="AU3" s="42" t="s">
        <v>75</v>
      </c>
      <c r="AV3" s="42" t="s">
        <v>76</v>
      </c>
      <c r="AW3" s="42" t="s">
        <v>77</v>
      </c>
      <c r="AX3" s="42" t="s">
        <v>78</v>
      </c>
      <c r="AY3" s="42" t="s">
        <v>79</v>
      </c>
    </row>
    <row r="4" ht="15.75" customHeight="1">
      <c r="A4" s="42"/>
      <c r="B4" s="43"/>
      <c r="C4" s="56" t="s">
        <v>80</v>
      </c>
      <c r="D4" s="56" t="s">
        <v>81</v>
      </c>
      <c r="E4" s="56" t="s">
        <v>82</v>
      </c>
      <c r="F4" s="56" t="s">
        <v>83</v>
      </c>
      <c r="G4" s="56" t="s">
        <v>80</v>
      </c>
      <c r="H4" s="56" t="s">
        <v>81</v>
      </c>
      <c r="I4" s="56" t="s">
        <v>82</v>
      </c>
      <c r="J4" s="56" t="s">
        <v>83</v>
      </c>
      <c r="K4" s="56" t="s">
        <v>80</v>
      </c>
      <c r="L4" s="56" t="s">
        <v>81</v>
      </c>
      <c r="M4" s="56" t="s">
        <v>82</v>
      </c>
      <c r="N4" s="56" t="s">
        <v>83</v>
      </c>
      <c r="O4" s="56" t="s">
        <v>80</v>
      </c>
      <c r="P4" s="56" t="s">
        <v>81</v>
      </c>
      <c r="Q4" s="56" t="s">
        <v>82</v>
      </c>
      <c r="R4" s="56" t="s">
        <v>83</v>
      </c>
      <c r="S4" s="56" t="s">
        <v>80</v>
      </c>
      <c r="T4" s="56" t="s">
        <v>81</v>
      </c>
      <c r="U4" s="56" t="s">
        <v>82</v>
      </c>
      <c r="V4" s="56" t="s">
        <v>83</v>
      </c>
      <c r="W4" s="56" t="s">
        <v>80</v>
      </c>
      <c r="X4" s="56" t="s">
        <v>81</v>
      </c>
      <c r="Y4" s="56" t="s">
        <v>82</v>
      </c>
      <c r="Z4" s="56" t="s">
        <v>83</v>
      </c>
      <c r="AA4" s="58" t="s">
        <v>80</v>
      </c>
      <c r="AB4" s="59" t="s">
        <v>81</v>
      </c>
      <c r="AC4" s="59" t="s">
        <v>82</v>
      </c>
      <c r="AD4" s="59" t="s">
        <v>83</v>
      </c>
      <c r="AE4" s="58" t="s">
        <v>80</v>
      </c>
      <c r="AF4" s="59" t="s">
        <v>81</v>
      </c>
      <c r="AG4" s="59" t="s">
        <v>82</v>
      </c>
      <c r="AH4" s="59" t="s">
        <v>83</v>
      </c>
      <c r="AI4" s="58" t="s">
        <v>80</v>
      </c>
      <c r="AJ4" s="59" t="s">
        <v>81</v>
      </c>
      <c r="AK4" s="59" t="s">
        <v>82</v>
      </c>
      <c r="AL4" s="59" t="s">
        <v>83</v>
      </c>
      <c r="AM4" s="58" t="s">
        <v>80</v>
      </c>
      <c r="AN4" s="59" t="s">
        <v>81</v>
      </c>
      <c r="AO4" s="59" t="s">
        <v>82</v>
      </c>
      <c r="AP4" s="59" t="s">
        <v>83</v>
      </c>
      <c r="AQ4" s="60"/>
      <c r="AR4" s="61"/>
      <c r="AS4" s="43"/>
      <c r="AT4" s="43"/>
      <c r="AU4" s="42"/>
      <c r="AV4" s="42"/>
      <c r="AW4" s="42"/>
      <c r="AX4" s="42"/>
      <c r="AY4" s="42"/>
    </row>
    <row r="5" ht="15.75" customHeight="1">
      <c r="A5" s="42">
        <v>1.0</v>
      </c>
      <c r="B5" s="62" t="s">
        <v>84</v>
      </c>
      <c r="C5" s="63">
        <v>31.0</v>
      </c>
      <c r="D5" s="63">
        <v>41.0</v>
      </c>
      <c r="E5" s="56">
        <f t="shared" ref="E5:E28" si="1">C5+D5</f>
        <v>72</v>
      </c>
      <c r="F5" s="56" t="str">
        <f t="shared" ref="F5:F26" si="2">VLOOKUP(E5,$B$44:$C$52,2)</f>
        <v>B</v>
      </c>
      <c r="G5" s="64">
        <v>28.0</v>
      </c>
      <c r="H5" s="65">
        <v>45.0</v>
      </c>
      <c r="I5" s="56">
        <f t="shared" ref="I5:I28" si="3">G5+H5</f>
        <v>73</v>
      </c>
      <c r="J5" s="56" t="str">
        <f t="shared" ref="J5:J28" si="4">VLOOKUP(I5,$B$44:$C$52,2)</f>
        <v>B</v>
      </c>
      <c r="K5" s="66">
        <v>32.0</v>
      </c>
      <c r="L5" s="66">
        <v>45.0</v>
      </c>
      <c r="M5" s="56">
        <f t="shared" ref="M5:M28" si="5">K5+L5</f>
        <v>77</v>
      </c>
      <c r="N5" s="56" t="str">
        <f t="shared" ref="N5:N28" si="6">VLOOKUP(M5,$B$44:$C$52,2)</f>
        <v>B</v>
      </c>
      <c r="O5" s="66">
        <v>35.0</v>
      </c>
      <c r="P5" s="66">
        <v>50.0</v>
      </c>
      <c r="Q5" s="56">
        <f t="shared" ref="Q5:Q28" si="7">O5+P5</f>
        <v>85</v>
      </c>
      <c r="R5" s="56" t="str">
        <f t="shared" ref="R5:R28" si="8">VLOOKUP(Q5,$B$44:$C$52,2)</f>
        <v>A</v>
      </c>
      <c r="S5" s="66">
        <v>33.0</v>
      </c>
      <c r="T5" s="66">
        <v>47.0</v>
      </c>
      <c r="U5" s="56">
        <f t="shared" ref="U5:U28" si="9">S5+T5</f>
        <v>80</v>
      </c>
      <c r="V5" s="56" t="str">
        <f t="shared" ref="V5:V28" si="10">VLOOKUP(U5,$B$44:$C$52,2)</f>
        <v>A</v>
      </c>
      <c r="W5" s="64">
        <v>28.0</v>
      </c>
      <c r="X5" s="66">
        <v>43.0</v>
      </c>
      <c r="Y5" s="56">
        <f t="shared" ref="Y5:Y16" si="11">W5+X5</f>
        <v>71</v>
      </c>
      <c r="Z5" s="56" t="str">
        <f t="shared" ref="Z5:Z28" si="12">VLOOKUP(Y5,$B$44:$C$52,2)</f>
        <v>B</v>
      </c>
      <c r="AA5" s="67">
        <v>30.0</v>
      </c>
      <c r="AB5" s="68">
        <v>38.0</v>
      </c>
      <c r="AC5" s="59">
        <f t="shared" ref="AC5:AC28" si="13">AA5+AB5</f>
        <v>68</v>
      </c>
      <c r="AD5" s="56" t="str">
        <f t="shared" ref="AD5:AD28" si="14">VLOOKUP(AC5,$B$44:$C$52,2)</f>
        <v>C</v>
      </c>
      <c r="AE5" s="64">
        <v>28.0</v>
      </c>
      <c r="AF5" s="65">
        <v>49.0</v>
      </c>
      <c r="AG5" s="68">
        <v>77.0</v>
      </c>
      <c r="AH5" s="56" t="str">
        <f t="shared" ref="AH5:AH28" si="15">VLOOKUP(AG5,$B$44:$C$52,2)</f>
        <v>B</v>
      </c>
      <c r="AI5" s="69">
        <v>37.0</v>
      </c>
      <c r="AJ5" s="68">
        <v>45.0</v>
      </c>
      <c r="AK5" s="59">
        <f t="shared" ref="AK5:AK28" si="16">AI5+AJ5</f>
        <v>82</v>
      </c>
      <c r="AL5" s="56" t="str">
        <f t="shared" ref="AL5:AL28" si="17">VLOOKUP(AK5,$B$44:$C$52,2)</f>
        <v>A</v>
      </c>
      <c r="AM5" s="70">
        <v>23.0</v>
      </c>
      <c r="AN5" s="68">
        <v>41.0</v>
      </c>
      <c r="AO5" s="71">
        <f t="shared" ref="AO5:AO28" si="18">AM5+AN5</f>
        <v>64</v>
      </c>
      <c r="AP5" s="56" t="str">
        <f t="shared" ref="AP5:AP28" si="19">VLOOKUP(AO5,$B$44:$C$52,2)</f>
        <v>C</v>
      </c>
      <c r="AQ5" s="59"/>
      <c r="AR5" s="57">
        <f t="shared" ref="AR5:AR28" si="20">AVERAGE(E5,I5,M5,Q5,U5,Y5,AC5,AG5,AK5,AO5)</f>
        <v>74.9</v>
      </c>
      <c r="AS5" s="72">
        <f t="shared" ref="AS5:AS28" si="21">RANK(AR5,$AR$5:$AR$33)</f>
        <v>5</v>
      </c>
      <c r="AT5" s="73" t="s">
        <v>85</v>
      </c>
      <c r="AU5" s="73" t="s">
        <v>86</v>
      </c>
      <c r="AV5" s="73" t="s">
        <v>87</v>
      </c>
      <c r="AW5" s="73" t="s">
        <v>85</v>
      </c>
      <c r="AX5" s="73" t="s">
        <v>86</v>
      </c>
      <c r="AY5" s="74" t="s">
        <v>88</v>
      </c>
    </row>
    <row r="6" ht="15.75" customHeight="1">
      <c r="A6" s="42">
        <v>2.0</v>
      </c>
      <c r="B6" s="62" t="s">
        <v>89</v>
      </c>
      <c r="C6" s="63">
        <v>21.0</v>
      </c>
      <c r="D6" s="63">
        <v>35.0</v>
      </c>
      <c r="E6" s="56">
        <f t="shared" si="1"/>
        <v>56</v>
      </c>
      <c r="F6" s="56" t="str">
        <f t="shared" si="2"/>
        <v>D</v>
      </c>
      <c r="G6" s="75">
        <v>9.0</v>
      </c>
      <c r="H6" s="76">
        <v>17.0</v>
      </c>
      <c r="I6" s="56">
        <f t="shared" si="3"/>
        <v>26</v>
      </c>
      <c r="J6" s="56" t="str">
        <f t="shared" si="4"/>
        <v>G</v>
      </c>
      <c r="K6" s="66">
        <v>18.0</v>
      </c>
      <c r="L6" s="66">
        <v>30.0</v>
      </c>
      <c r="M6" s="56">
        <f t="shared" si="5"/>
        <v>48</v>
      </c>
      <c r="N6" s="77" t="str">
        <f t="shared" si="6"/>
        <v>E</v>
      </c>
      <c r="O6" s="66">
        <v>23.0</v>
      </c>
      <c r="P6" s="66">
        <v>22.0</v>
      </c>
      <c r="Q6" s="56">
        <f t="shared" si="7"/>
        <v>45</v>
      </c>
      <c r="R6" s="56" t="str">
        <f t="shared" si="8"/>
        <v>E</v>
      </c>
      <c r="S6" s="66">
        <v>23.0</v>
      </c>
      <c r="T6" s="66">
        <v>37.0</v>
      </c>
      <c r="U6" s="56">
        <f t="shared" si="9"/>
        <v>60</v>
      </c>
      <c r="V6" s="56" t="str">
        <f t="shared" si="10"/>
        <v>C</v>
      </c>
      <c r="W6" s="75">
        <v>16.0</v>
      </c>
      <c r="X6" s="66">
        <v>31.0</v>
      </c>
      <c r="Y6" s="56">
        <f t="shared" si="11"/>
        <v>47</v>
      </c>
      <c r="Z6" s="56" t="str">
        <f t="shared" si="12"/>
        <v>E</v>
      </c>
      <c r="AA6" s="67">
        <v>19.0</v>
      </c>
      <c r="AB6" s="68">
        <v>40.0</v>
      </c>
      <c r="AC6" s="59">
        <f t="shared" si="13"/>
        <v>59</v>
      </c>
      <c r="AD6" s="56" t="str">
        <f t="shared" si="14"/>
        <v>D</v>
      </c>
      <c r="AE6" s="75">
        <v>24.0</v>
      </c>
      <c r="AF6" s="76">
        <v>43.0</v>
      </c>
      <c r="AG6" s="59">
        <f t="shared" ref="AG6:AG28" si="22">AE6+AF6</f>
        <v>67</v>
      </c>
      <c r="AH6" s="56" t="str">
        <f t="shared" si="15"/>
        <v>C</v>
      </c>
      <c r="AI6" s="78">
        <v>37.0</v>
      </c>
      <c r="AJ6" s="68">
        <v>45.0</v>
      </c>
      <c r="AK6" s="59">
        <f t="shared" si="16"/>
        <v>82</v>
      </c>
      <c r="AL6" s="56" t="str">
        <f t="shared" si="17"/>
        <v>A</v>
      </c>
      <c r="AM6" s="79">
        <v>18.9</v>
      </c>
      <c r="AN6" s="68">
        <v>40.0</v>
      </c>
      <c r="AO6" s="71">
        <f t="shared" si="18"/>
        <v>58.9</v>
      </c>
      <c r="AP6" s="56" t="str">
        <f t="shared" si="19"/>
        <v>D</v>
      </c>
      <c r="AQ6" s="59"/>
      <c r="AR6" s="57">
        <f t="shared" si="20"/>
        <v>54.89</v>
      </c>
      <c r="AS6" s="72">
        <f t="shared" si="21"/>
        <v>20</v>
      </c>
      <c r="AT6" s="73" t="s">
        <v>90</v>
      </c>
      <c r="AU6" s="73" t="s">
        <v>85</v>
      </c>
      <c r="AV6" s="73" t="s">
        <v>90</v>
      </c>
      <c r="AW6" s="73" t="s">
        <v>87</v>
      </c>
      <c r="AX6" s="73" t="s">
        <v>85</v>
      </c>
      <c r="AY6" s="80" t="s">
        <v>91</v>
      </c>
    </row>
    <row r="7" ht="15.75" customHeight="1">
      <c r="A7" s="42">
        <v>3.0</v>
      </c>
      <c r="B7" s="62" t="s">
        <v>92</v>
      </c>
      <c r="C7" s="63">
        <v>19.0</v>
      </c>
      <c r="D7" s="63">
        <v>18.0</v>
      </c>
      <c r="E7" s="56">
        <f t="shared" si="1"/>
        <v>37</v>
      </c>
      <c r="F7" s="77" t="str">
        <f t="shared" si="2"/>
        <v>F</v>
      </c>
      <c r="G7" s="75">
        <v>9.0</v>
      </c>
      <c r="H7" s="76">
        <v>14.0</v>
      </c>
      <c r="I7" s="56">
        <f t="shared" si="3"/>
        <v>23</v>
      </c>
      <c r="J7" s="56" t="str">
        <f t="shared" si="4"/>
        <v>G</v>
      </c>
      <c r="K7" s="66">
        <v>15.0</v>
      </c>
      <c r="L7" s="66">
        <v>17.0</v>
      </c>
      <c r="M7" s="56">
        <f t="shared" si="5"/>
        <v>32</v>
      </c>
      <c r="N7" s="77" t="str">
        <f t="shared" si="6"/>
        <v>F</v>
      </c>
      <c r="O7" s="66">
        <v>23.0</v>
      </c>
      <c r="P7" s="66">
        <v>21.0</v>
      </c>
      <c r="Q7" s="56">
        <f t="shared" si="7"/>
        <v>44</v>
      </c>
      <c r="R7" s="56" t="str">
        <f t="shared" si="8"/>
        <v>E</v>
      </c>
      <c r="S7" s="66">
        <v>10.0</v>
      </c>
      <c r="T7" s="66">
        <v>33.0</v>
      </c>
      <c r="U7" s="56">
        <f t="shared" si="9"/>
        <v>43</v>
      </c>
      <c r="V7" s="56" t="str">
        <f t="shared" si="10"/>
        <v>E</v>
      </c>
      <c r="W7" s="75">
        <v>9.0</v>
      </c>
      <c r="X7" s="66">
        <v>10.0</v>
      </c>
      <c r="Y7" s="56">
        <f t="shared" si="11"/>
        <v>19</v>
      </c>
      <c r="Z7" s="56" t="str">
        <f t="shared" si="12"/>
        <v>U</v>
      </c>
      <c r="AA7" s="67">
        <v>16.0</v>
      </c>
      <c r="AB7" s="68">
        <v>23.0</v>
      </c>
      <c r="AC7" s="59">
        <f t="shared" si="13"/>
        <v>39</v>
      </c>
      <c r="AD7" s="56" t="str">
        <f t="shared" si="14"/>
        <v>F</v>
      </c>
      <c r="AE7" s="75">
        <v>23.0</v>
      </c>
      <c r="AF7" s="76">
        <v>38.0</v>
      </c>
      <c r="AG7" s="59">
        <f t="shared" si="22"/>
        <v>61</v>
      </c>
      <c r="AH7" s="56" t="str">
        <f t="shared" si="15"/>
        <v>C</v>
      </c>
      <c r="AI7" s="78">
        <v>24.0</v>
      </c>
      <c r="AJ7" s="68">
        <v>42.0</v>
      </c>
      <c r="AK7" s="59">
        <f t="shared" si="16"/>
        <v>66</v>
      </c>
      <c r="AL7" s="56" t="str">
        <f t="shared" si="17"/>
        <v>C</v>
      </c>
      <c r="AM7" s="79">
        <v>20.0</v>
      </c>
      <c r="AN7" s="68">
        <v>44.0</v>
      </c>
      <c r="AO7" s="71">
        <f t="shared" si="18"/>
        <v>64</v>
      </c>
      <c r="AP7" s="56" t="str">
        <f t="shared" si="19"/>
        <v>C</v>
      </c>
      <c r="AQ7" s="59"/>
      <c r="AR7" s="57">
        <f t="shared" si="20"/>
        <v>42.8</v>
      </c>
      <c r="AS7" s="72">
        <f t="shared" si="21"/>
        <v>24</v>
      </c>
      <c r="AT7" s="73" t="s">
        <v>90</v>
      </c>
      <c r="AU7" s="73" t="s">
        <v>93</v>
      </c>
      <c r="AV7" s="73" t="s">
        <v>93</v>
      </c>
      <c r="AW7" s="73" t="s">
        <v>90</v>
      </c>
      <c r="AX7" s="73" t="s">
        <v>93</v>
      </c>
      <c r="AY7" s="80" t="s">
        <v>94</v>
      </c>
    </row>
    <row r="8" ht="15.75" customHeight="1">
      <c r="A8" s="42">
        <v>4.0</v>
      </c>
      <c r="B8" s="62" t="s">
        <v>95</v>
      </c>
      <c r="C8" s="63">
        <v>26.0</v>
      </c>
      <c r="D8" s="63">
        <v>54.0</v>
      </c>
      <c r="E8" s="56">
        <f t="shared" si="1"/>
        <v>80</v>
      </c>
      <c r="F8" s="56" t="str">
        <f t="shared" si="2"/>
        <v>A</v>
      </c>
      <c r="G8" s="75">
        <v>7.0</v>
      </c>
      <c r="H8" s="76">
        <v>10.0</v>
      </c>
      <c r="I8" s="56">
        <f t="shared" si="3"/>
        <v>17</v>
      </c>
      <c r="J8" s="56" t="str">
        <f t="shared" si="4"/>
        <v>U</v>
      </c>
      <c r="K8" s="66">
        <v>14.0</v>
      </c>
      <c r="L8" s="66">
        <v>29.0</v>
      </c>
      <c r="M8" s="56">
        <f t="shared" si="5"/>
        <v>43</v>
      </c>
      <c r="N8" s="77" t="str">
        <f t="shared" si="6"/>
        <v>E</v>
      </c>
      <c r="O8" s="66">
        <v>31.0</v>
      </c>
      <c r="P8" s="66">
        <v>24.0</v>
      </c>
      <c r="Q8" s="56">
        <f t="shared" si="7"/>
        <v>55</v>
      </c>
      <c r="R8" s="56" t="str">
        <f t="shared" si="8"/>
        <v>D</v>
      </c>
      <c r="S8" s="66">
        <v>20.0</v>
      </c>
      <c r="T8" s="66">
        <v>36.0</v>
      </c>
      <c r="U8" s="56">
        <f t="shared" si="9"/>
        <v>56</v>
      </c>
      <c r="V8" s="56" t="str">
        <f t="shared" si="10"/>
        <v>D</v>
      </c>
      <c r="W8" s="75">
        <v>32.0</v>
      </c>
      <c r="X8" s="66">
        <v>24.0</v>
      </c>
      <c r="Y8" s="56">
        <f t="shared" si="11"/>
        <v>56</v>
      </c>
      <c r="Z8" s="56" t="str">
        <f t="shared" si="12"/>
        <v>D</v>
      </c>
      <c r="AA8" s="67">
        <v>14.0</v>
      </c>
      <c r="AB8" s="68">
        <v>34.0</v>
      </c>
      <c r="AC8" s="59">
        <f t="shared" si="13"/>
        <v>48</v>
      </c>
      <c r="AD8" s="56" t="str">
        <f t="shared" si="14"/>
        <v>E</v>
      </c>
      <c r="AE8" s="75">
        <v>32.0</v>
      </c>
      <c r="AF8" s="76">
        <v>48.0</v>
      </c>
      <c r="AG8" s="59">
        <f t="shared" si="22"/>
        <v>80</v>
      </c>
      <c r="AH8" s="56" t="str">
        <f t="shared" si="15"/>
        <v>A</v>
      </c>
      <c r="AI8" s="78">
        <v>32.0</v>
      </c>
      <c r="AJ8" s="68">
        <v>42.0</v>
      </c>
      <c r="AK8" s="59">
        <f t="shared" si="16"/>
        <v>74</v>
      </c>
      <c r="AL8" s="56" t="str">
        <f t="shared" si="17"/>
        <v>B</v>
      </c>
      <c r="AM8" s="79">
        <v>22.5</v>
      </c>
      <c r="AN8" s="68">
        <v>49.0</v>
      </c>
      <c r="AO8" s="71">
        <f t="shared" si="18"/>
        <v>71.5</v>
      </c>
      <c r="AP8" s="56" t="str">
        <f t="shared" si="19"/>
        <v>B</v>
      </c>
      <c r="AQ8" s="59"/>
      <c r="AR8" s="57">
        <f t="shared" si="20"/>
        <v>58.05</v>
      </c>
      <c r="AS8" s="72">
        <f t="shared" si="21"/>
        <v>17</v>
      </c>
      <c r="AT8" s="73" t="s">
        <v>87</v>
      </c>
      <c r="AU8" s="73" t="s">
        <v>87</v>
      </c>
      <c r="AV8" s="73" t="s">
        <v>87</v>
      </c>
      <c r="AW8" s="73" t="s">
        <v>90</v>
      </c>
      <c r="AX8" s="73" t="s">
        <v>87</v>
      </c>
      <c r="AY8" s="80" t="s">
        <v>96</v>
      </c>
    </row>
    <row r="9" ht="15.75" customHeight="1">
      <c r="A9" s="42">
        <v>5.0</v>
      </c>
      <c r="B9" s="62" t="s">
        <v>97</v>
      </c>
      <c r="C9" s="63">
        <v>25.0</v>
      </c>
      <c r="D9" s="63">
        <v>20.0</v>
      </c>
      <c r="E9" s="56">
        <f t="shared" si="1"/>
        <v>45</v>
      </c>
      <c r="F9" s="77" t="str">
        <f t="shared" si="2"/>
        <v>E</v>
      </c>
      <c r="G9" s="75">
        <v>5.0</v>
      </c>
      <c r="H9" s="76">
        <v>13.0</v>
      </c>
      <c r="I9" s="56">
        <f t="shared" si="3"/>
        <v>18</v>
      </c>
      <c r="J9" s="56" t="str">
        <f t="shared" si="4"/>
        <v>U</v>
      </c>
      <c r="K9" s="66">
        <v>11.0</v>
      </c>
      <c r="L9" s="66">
        <v>17.0</v>
      </c>
      <c r="M9" s="56">
        <f t="shared" si="5"/>
        <v>28</v>
      </c>
      <c r="N9" s="77" t="str">
        <f t="shared" si="6"/>
        <v>G</v>
      </c>
      <c r="O9" s="66">
        <v>26.0</v>
      </c>
      <c r="P9" s="66">
        <v>31.0</v>
      </c>
      <c r="Q9" s="56">
        <f t="shared" si="7"/>
        <v>57</v>
      </c>
      <c r="R9" s="56" t="str">
        <f t="shared" si="8"/>
        <v>D</v>
      </c>
      <c r="S9" s="66">
        <v>19.0</v>
      </c>
      <c r="T9" s="66">
        <v>36.0</v>
      </c>
      <c r="U9" s="56">
        <f t="shared" si="9"/>
        <v>55</v>
      </c>
      <c r="V9" s="56" t="str">
        <f t="shared" si="10"/>
        <v>D</v>
      </c>
      <c r="W9" s="81">
        <v>30.0</v>
      </c>
      <c r="X9" s="66">
        <v>37.0</v>
      </c>
      <c r="Y9" s="56">
        <f t="shared" si="11"/>
        <v>67</v>
      </c>
      <c r="Z9" s="56" t="str">
        <f t="shared" si="12"/>
        <v>C</v>
      </c>
      <c r="AA9" s="67">
        <v>17.0</v>
      </c>
      <c r="AB9" s="68">
        <v>29.0</v>
      </c>
      <c r="AC9" s="59">
        <f t="shared" si="13"/>
        <v>46</v>
      </c>
      <c r="AD9" s="56" t="str">
        <f t="shared" si="14"/>
        <v>E</v>
      </c>
      <c r="AE9" s="75">
        <v>24.0</v>
      </c>
      <c r="AF9" s="76">
        <v>39.0</v>
      </c>
      <c r="AG9" s="59">
        <f t="shared" si="22"/>
        <v>63</v>
      </c>
      <c r="AH9" s="56" t="str">
        <f t="shared" si="15"/>
        <v>C</v>
      </c>
      <c r="AI9" s="78">
        <v>29.0</v>
      </c>
      <c r="AJ9" s="68">
        <v>42.0</v>
      </c>
      <c r="AK9" s="59">
        <f t="shared" si="16"/>
        <v>71</v>
      </c>
      <c r="AL9" s="56" t="str">
        <f t="shared" si="17"/>
        <v>B</v>
      </c>
      <c r="AM9" s="79">
        <v>16.7</v>
      </c>
      <c r="AN9" s="68">
        <v>25.0</v>
      </c>
      <c r="AO9" s="71">
        <f t="shared" si="18"/>
        <v>41.7</v>
      </c>
      <c r="AP9" s="56" t="str">
        <f t="shared" si="19"/>
        <v>E</v>
      </c>
      <c r="AQ9" s="59"/>
      <c r="AR9" s="57">
        <f t="shared" si="20"/>
        <v>49.17</v>
      </c>
      <c r="AS9" s="72">
        <f t="shared" si="21"/>
        <v>22</v>
      </c>
      <c r="AT9" s="73" t="s">
        <v>85</v>
      </c>
      <c r="AU9" s="73" t="s">
        <v>85</v>
      </c>
      <c r="AV9" s="73" t="s">
        <v>90</v>
      </c>
      <c r="AW9" s="73" t="s">
        <v>90</v>
      </c>
      <c r="AX9" s="73" t="s">
        <v>87</v>
      </c>
      <c r="AY9" s="80" t="s">
        <v>98</v>
      </c>
    </row>
    <row r="10" ht="15.75" customHeight="1">
      <c r="A10" s="42">
        <v>6.0</v>
      </c>
      <c r="B10" s="62" t="s">
        <v>99</v>
      </c>
      <c r="C10" s="63">
        <v>28.0</v>
      </c>
      <c r="D10" s="63">
        <v>42.0</v>
      </c>
      <c r="E10" s="56">
        <f t="shared" si="1"/>
        <v>70</v>
      </c>
      <c r="F10" s="56" t="str">
        <f t="shared" si="2"/>
        <v>B</v>
      </c>
      <c r="G10" s="75">
        <v>8.0</v>
      </c>
      <c r="H10" s="76">
        <v>30.0</v>
      </c>
      <c r="I10" s="56">
        <f t="shared" si="3"/>
        <v>38</v>
      </c>
      <c r="J10" s="56" t="str">
        <f t="shared" si="4"/>
        <v>F</v>
      </c>
      <c r="K10" s="66">
        <v>10.0</v>
      </c>
      <c r="L10" s="66">
        <v>35.0</v>
      </c>
      <c r="M10" s="56">
        <f t="shared" si="5"/>
        <v>45</v>
      </c>
      <c r="N10" s="77" t="str">
        <f t="shared" si="6"/>
        <v>E</v>
      </c>
      <c r="O10" s="66">
        <v>31.0</v>
      </c>
      <c r="P10" s="66">
        <v>47.0</v>
      </c>
      <c r="Q10" s="56">
        <f t="shared" si="7"/>
        <v>78</v>
      </c>
      <c r="R10" s="56" t="str">
        <f t="shared" si="8"/>
        <v>B</v>
      </c>
      <c r="S10" s="66">
        <v>22.0</v>
      </c>
      <c r="T10" s="66">
        <v>36.0</v>
      </c>
      <c r="U10" s="56">
        <f t="shared" si="9"/>
        <v>58</v>
      </c>
      <c r="V10" s="56" t="str">
        <f t="shared" si="10"/>
        <v>D</v>
      </c>
      <c r="W10" s="75">
        <v>23.0</v>
      </c>
      <c r="X10" s="66">
        <v>31.0</v>
      </c>
      <c r="Y10" s="56">
        <f t="shared" si="11"/>
        <v>54</v>
      </c>
      <c r="Z10" s="56" t="str">
        <f t="shared" si="12"/>
        <v>D</v>
      </c>
      <c r="AA10" s="67">
        <v>13.0</v>
      </c>
      <c r="AB10" s="68">
        <v>35.0</v>
      </c>
      <c r="AC10" s="59">
        <f t="shared" si="13"/>
        <v>48</v>
      </c>
      <c r="AD10" s="56" t="str">
        <f t="shared" si="14"/>
        <v>E</v>
      </c>
      <c r="AE10" s="75">
        <v>25.0</v>
      </c>
      <c r="AF10" s="76">
        <v>47.0</v>
      </c>
      <c r="AG10" s="59">
        <f t="shared" si="22"/>
        <v>72</v>
      </c>
      <c r="AH10" s="56" t="str">
        <f t="shared" si="15"/>
        <v>B</v>
      </c>
      <c r="AI10" s="78">
        <v>30.0</v>
      </c>
      <c r="AJ10" s="68">
        <v>51.0</v>
      </c>
      <c r="AK10" s="59">
        <f t="shared" si="16"/>
        <v>81</v>
      </c>
      <c r="AL10" s="56" t="str">
        <f t="shared" si="17"/>
        <v>A</v>
      </c>
      <c r="AM10" s="79">
        <v>21.0</v>
      </c>
      <c r="AN10" s="68">
        <v>39.0</v>
      </c>
      <c r="AO10" s="71">
        <f t="shared" si="18"/>
        <v>60</v>
      </c>
      <c r="AP10" s="56" t="str">
        <f t="shared" si="19"/>
        <v>C</v>
      </c>
      <c r="AQ10" s="59"/>
      <c r="AR10" s="57">
        <f t="shared" si="20"/>
        <v>60.4</v>
      </c>
      <c r="AS10" s="72">
        <f t="shared" si="21"/>
        <v>14</v>
      </c>
      <c r="AT10" s="73" t="s">
        <v>86</v>
      </c>
      <c r="AU10" s="73" t="s">
        <v>90</v>
      </c>
      <c r="AV10" s="73" t="s">
        <v>90</v>
      </c>
      <c r="AW10" s="73" t="s">
        <v>90</v>
      </c>
      <c r="AX10" s="73" t="s">
        <v>90</v>
      </c>
      <c r="AY10" s="82" t="s">
        <v>100</v>
      </c>
    </row>
    <row r="11" ht="15.75" customHeight="1">
      <c r="A11" s="42">
        <v>7.0</v>
      </c>
      <c r="B11" s="62" t="s">
        <v>101</v>
      </c>
      <c r="C11" s="63">
        <v>27.0</v>
      </c>
      <c r="D11" s="63">
        <v>37.0</v>
      </c>
      <c r="E11" s="56">
        <f t="shared" si="1"/>
        <v>64</v>
      </c>
      <c r="F11" s="56" t="str">
        <f t="shared" si="2"/>
        <v>C</v>
      </c>
      <c r="G11" s="75">
        <v>15.0</v>
      </c>
      <c r="H11" s="76">
        <v>36.0</v>
      </c>
      <c r="I11" s="56">
        <f t="shared" si="3"/>
        <v>51</v>
      </c>
      <c r="J11" s="56" t="str">
        <f t="shared" si="4"/>
        <v>D</v>
      </c>
      <c r="K11" s="66">
        <v>12.0</v>
      </c>
      <c r="L11" s="66">
        <v>30.0</v>
      </c>
      <c r="M11" s="56">
        <f t="shared" si="5"/>
        <v>42</v>
      </c>
      <c r="N11" s="77" t="str">
        <f t="shared" si="6"/>
        <v>E</v>
      </c>
      <c r="O11" s="66">
        <v>28.0</v>
      </c>
      <c r="P11" s="66">
        <v>47.0</v>
      </c>
      <c r="Q11" s="56">
        <f t="shared" si="7"/>
        <v>75</v>
      </c>
      <c r="R11" s="56" t="str">
        <f t="shared" si="8"/>
        <v>B</v>
      </c>
      <c r="S11" s="66">
        <v>18.0</v>
      </c>
      <c r="T11" s="66">
        <v>43.0</v>
      </c>
      <c r="U11" s="56">
        <f t="shared" si="9"/>
        <v>61</v>
      </c>
      <c r="V11" s="56" t="str">
        <f t="shared" si="10"/>
        <v>C</v>
      </c>
      <c r="W11" s="75">
        <v>23.0</v>
      </c>
      <c r="X11" s="66">
        <v>31.0</v>
      </c>
      <c r="Y11" s="56">
        <f t="shared" si="11"/>
        <v>54</v>
      </c>
      <c r="Z11" s="56" t="str">
        <f t="shared" si="12"/>
        <v>D</v>
      </c>
      <c r="AA11" s="67">
        <v>18.0</v>
      </c>
      <c r="AB11" s="68">
        <v>41.0</v>
      </c>
      <c r="AC11" s="59">
        <f t="shared" si="13"/>
        <v>59</v>
      </c>
      <c r="AD11" s="56" t="str">
        <f t="shared" si="14"/>
        <v>D</v>
      </c>
      <c r="AE11" s="75">
        <v>30.0</v>
      </c>
      <c r="AF11" s="76">
        <v>46.0</v>
      </c>
      <c r="AG11" s="59">
        <f t="shared" si="22"/>
        <v>76</v>
      </c>
      <c r="AH11" s="56" t="str">
        <f t="shared" si="15"/>
        <v>B</v>
      </c>
      <c r="AI11" s="78">
        <v>31.0</v>
      </c>
      <c r="AJ11" s="68">
        <v>48.0</v>
      </c>
      <c r="AK11" s="59">
        <f t="shared" si="16"/>
        <v>79</v>
      </c>
      <c r="AL11" s="56" t="str">
        <f t="shared" si="17"/>
        <v>B</v>
      </c>
      <c r="AM11" s="79">
        <v>33.5</v>
      </c>
      <c r="AN11" s="68">
        <v>50.0</v>
      </c>
      <c r="AO11" s="71">
        <f t="shared" si="18"/>
        <v>83.5</v>
      </c>
      <c r="AP11" s="56" t="str">
        <f t="shared" si="19"/>
        <v>A</v>
      </c>
      <c r="AQ11" s="59"/>
      <c r="AR11" s="57">
        <f t="shared" si="20"/>
        <v>64.45</v>
      </c>
      <c r="AS11" s="72">
        <f t="shared" si="21"/>
        <v>12</v>
      </c>
      <c r="AT11" s="73" t="s">
        <v>90</v>
      </c>
      <c r="AU11" s="73" t="s">
        <v>85</v>
      </c>
      <c r="AV11" s="73" t="s">
        <v>90</v>
      </c>
      <c r="AW11" s="73" t="s">
        <v>85</v>
      </c>
      <c r="AX11" s="73" t="s">
        <v>85</v>
      </c>
      <c r="AY11" s="80" t="s">
        <v>102</v>
      </c>
    </row>
    <row r="12" ht="15.75" customHeight="1">
      <c r="A12" s="42">
        <v>8.0</v>
      </c>
      <c r="B12" s="62" t="s">
        <v>103</v>
      </c>
      <c r="C12" s="63">
        <v>29.0</v>
      </c>
      <c r="D12" s="63">
        <v>41.0</v>
      </c>
      <c r="E12" s="56">
        <f t="shared" si="1"/>
        <v>70</v>
      </c>
      <c r="F12" s="56" t="str">
        <f t="shared" si="2"/>
        <v>B</v>
      </c>
      <c r="G12" s="75">
        <v>15.0</v>
      </c>
      <c r="H12" s="76">
        <v>22.0</v>
      </c>
      <c r="I12" s="56">
        <f t="shared" si="3"/>
        <v>37</v>
      </c>
      <c r="J12" s="56" t="str">
        <f t="shared" si="4"/>
        <v>F</v>
      </c>
      <c r="K12" s="66">
        <v>23.0</v>
      </c>
      <c r="L12" s="66">
        <v>31.0</v>
      </c>
      <c r="M12" s="56">
        <f t="shared" si="5"/>
        <v>54</v>
      </c>
      <c r="N12" s="56" t="str">
        <f t="shared" si="6"/>
        <v>D</v>
      </c>
      <c r="O12" s="66">
        <v>29.0</v>
      </c>
      <c r="P12" s="66">
        <v>37.0</v>
      </c>
      <c r="Q12" s="56">
        <f t="shared" si="7"/>
        <v>66</v>
      </c>
      <c r="R12" s="56" t="str">
        <f t="shared" si="8"/>
        <v>C</v>
      </c>
      <c r="S12" s="66">
        <v>23.0</v>
      </c>
      <c r="T12" s="66">
        <v>38.0</v>
      </c>
      <c r="U12" s="56">
        <f t="shared" si="9"/>
        <v>61</v>
      </c>
      <c r="V12" s="56" t="str">
        <f t="shared" si="10"/>
        <v>C</v>
      </c>
      <c r="W12" s="75">
        <v>33.0</v>
      </c>
      <c r="X12" s="66">
        <v>35.0</v>
      </c>
      <c r="Y12" s="56">
        <f t="shared" si="11"/>
        <v>68</v>
      </c>
      <c r="Z12" s="56" t="str">
        <f t="shared" si="12"/>
        <v>C</v>
      </c>
      <c r="AA12" s="67">
        <v>30.0</v>
      </c>
      <c r="AB12" s="68">
        <v>44.0</v>
      </c>
      <c r="AC12" s="59">
        <f t="shared" si="13"/>
        <v>74</v>
      </c>
      <c r="AD12" s="56" t="str">
        <f t="shared" si="14"/>
        <v>B</v>
      </c>
      <c r="AE12" s="75">
        <v>36.0</v>
      </c>
      <c r="AF12" s="76">
        <v>53.0</v>
      </c>
      <c r="AG12" s="59">
        <f t="shared" si="22"/>
        <v>89</v>
      </c>
      <c r="AH12" s="56" t="str">
        <f t="shared" si="15"/>
        <v>A</v>
      </c>
      <c r="AI12" s="78">
        <v>33.0</v>
      </c>
      <c r="AJ12" s="68">
        <v>41.0</v>
      </c>
      <c r="AK12" s="59">
        <f t="shared" si="16"/>
        <v>74</v>
      </c>
      <c r="AL12" s="56" t="str">
        <f t="shared" si="17"/>
        <v>B</v>
      </c>
      <c r="AM12" s="79">
        <v>25.6</v>
      </c>
      <c r="AN12" s="68">
        <v>49.0</v>
      </c>
      <c r="AO12" s="71">
        <f t="shared" si="18"/>
        <v>74.6</v>
      </c>
      <c r="AP12" s="56" t="str">
        <f t="shared" si="19"/>
        <v>B</v>
      </c>
      <c r="AQ12" s="59"/>
      <c r="AR12" s="57">
        <f t="shared" si="20"/>
        <v>66.76</v>
      </c>
      <c r="AS12" s="72">
        <f t="shared" si="21"/>
        <v>10</v>
      </c>
      <c r="AT12" s="73" t="s">
        <v>90</v>
      </c>
      <c r="AU12" s="73" t="s">
        <v>90</v>
      </c>
      <c r="AV12" s="73" t="s">
        <v>90</v>
      </c>
      <c r="AW12" s="73" t="s">
        <v>90</v>
      </c>
      <c r="AX12" s="73" t="s">
        <v>93</v>
      </c>
      <c r="AY12" s="80" t="s">
        <v>104</v>
      </c>
    </row>
    <row r="13" ht="15.75" customHeight="1">
      <c r="A13" s="42">
        <v>9.0</v>
      </c>
      <c r="B13" s="62" t="s">
        <v>105</v>
      </c>
      <c r="C13" s="63">
        <v>23.0</v>
      </c>
      <c r="D13" s="63">
        <v>30.0</v>
      </c>
      <c r="E13" s="56">
        <f t="shared" si="1"/>
        <v>53</v>
      </c>
      <c r="F13" s="56" t="str">
        <f t="shared" si="2"/>
        <v>D</v>
      </c>
      <c r="G13" s="75">
        <v>26.0</v>
      </c>
      <c r="H13" s="76">
        <v>43.0</v>
      </c>
      <c r="I13" s="56">
        <f t="shared" si="3"/>
        <v>69</v>
      </c>
      <c r="J13" s="56" t="str">
        <f t="shared" si="4"/>
        <v>C</v>
      </c>
      <c r="K13" s="66">
        <v>34.0</v>
      </c>
      <c r="L13" s="66">
        <v>40.0</v>
      </c>
      <c r="M13" s="56">
        <f t="shared" si="5"/>
        <v>74</v>
      </c>
      <c r="N13" s="56" t="str">
        <f t="shared" si="6"/>
        <v>B</v>
      </c>
      <c r="O13" s="66">
        <v>26.0</v>
      </c>
      <c r="P13" s="66">
        <v>42.0</v>
      </c>
      <c r="Q13" s="56">
        <f t="shared" si="7"/>
        <v>68</v>
      </c>
      <c r="R13" s="56" t="str">
        <f t="shared" si="8"/>
        <v>C</v>
      </c>
      <c r="S13" s="66">
        <v>30.0</v>
      </c>
      <c r="T13" s="66">
        <v>50.0</v>
      </c>
      <c r="U13" s="56">
        <f t="shared" si="9"/>
        <v>80</v>
      </c>
      <c r="V13" s="56" t="str">
        <f t="shared" si="10"/>
        <v>A</v>
      </c>
      <c r="W13" s="75">
        <v>37.0</v>
      </c>
      <c r="X13" s="66">
        <v>46.0</v>
      </c>
      <c r="Y13" s="56">
        <f t="shared" si="11"/>
        <v>83</v>
      </c>
      <c r="Z13" s="56" t="str">
        <f t="shared" si="12"/>
        <v>A</v>
      </c>
      <c r="AA13" s="67">
        <v>31.0</v>
      </c>
      <c r="AB13" s="68">
        <v>52.0</v>
      </c>
      <c r="AC13" s="59">
        <f t="shared" si="13"/>
        <v>83</v>
      </c>
      <c r="AD13" s="56" t="str">
        <f t="shared" si="14"/>
        <v>A</v>
      </c>
      <c r="AE13" s="75">
        <v>28.0</v>
      </c>
      <c r="AF13" s="76">
        <v>54.0</v>
      </c>
      <c r="AG13" s="59">
        <f t="shared" si="22"/>
        <v>82</v>
      </c>
      <c r="AH13" s="56" t="str">
        <f t="shared" si="15"/>
        <v>A</v>
      </c>
      <c r="AI13" s="78">
        <v>30.0</v>
      </c>
      <c r="AJ13" s="68">
        <v>51.0</v>
      </c>
      <c r="AK13" s="59">
        <f t="shared" si="16"/>
        <v>81</v>
      </c>
      <c r="AL13" s="56" t="str">
        <f t="shared" si="17"/>
        <v>A</v>
      </c>
      <c r="AM13" s="79">
        <v>24.9</v>
      </c>
      <c r="AN13" s="68">
        <v>38.0</v>
      </c>
      <c r="AO13" s="71">
        <f t="shared" si="18"/>
        <v>62.9</v>
      </c>
      <c r="AP13" s="56" t="str">
        <f t="shared" si="19"/>
        <v>C</v>
      </c>
      <c r="AQ13" s="59"/>
      <c r="AR13" s="57">
        <f t="shared" si="20"/>
        <v>73.59</v>
      </c>
      <c r="AS13" s="72">
        <f t="shared" si="21"/>
        <v>6</v>
      </c>
      <c r="AT13" s="73" t="s">
        <v>85</v>
      </c>
      <c r="AU13" s="73" t="s">
        <v>86</v>
      </c>
      <c r="AV13" s="73" t="s">
        <v>90</v>
      </c>
      <c r="AW13" s="73" t="s">
        <v>90</v>
      </c>
      <c r="AX13" s="73" t="s">
        <v>87</v>
      </c>
      <c r="AY13" s="80" t="s">
        <v>106</v>
      </c>
    </row>
    <row r="14" ht="15.75" customHeight="1">
      <c r="A14" s="42">
        <v>10.0</v>
      </c>
      <c r="B14" s="62" t="s">
        <v>107</v>
      </c>
      <c r="C14" s="63">
        <v>26.0</v>
      </c>
      <c r="D14" s="63">
        <v>33.0</v>
      </c>
      <c r="E14" s="56">
        <f t="shared" si="1"/>
        <v>59</v>
      </c>
      <c r="F14" s="56" t="str">
        <f t="shared" si="2"/>
        <v>D</v>
      </c>
      <c r="G14" s="75">
        <v>8.0</v>
      </c>
      <c r="H14" s="76">
        <v>16.0</v>
      </c>
      <c r="I14" s="56">
        <f t="shared" si="3"/>
        <v>24</v>
      </c>
      <c r="J14" s="56" t="str">
        <f t="shared" si="4"/>
        <v>G</v>
      </c>
      <c r="K14" s="66">
        <v>18.0</v>
      </c>
      <c r="L14" s="66">
        <v>28.0</v>
      </c>
      <c r="M14" s="56">
        <f t="shared" si="5"/>
        <v>46</v>
      </c>
      <c r="N14" s="77" t="str">
        <f t="shared" si="6"/>
        <v>E</v>
      </c>
      <c r="O14" s="66">
        <v>25.0</v>
      </c>
      <c r="P14" s="66">
        <v>27.0</v>
      </c>
      <c r="Q14" s="56">
        <f t="shared" si="7"/>
        <v>52</v>
      </c>
      <c r="R14" s="56" t="str">
        <f t="shared" si="8"/>
        <v>D</v>
      </c>
      <c r="S14" s="66">
        <v>17.0</v>
      </c>
      <c r="T14" s="66">
        <v>37.0</v>
      </c>
      <c r="U14" s="56">
        <f t="shared" si="9"/>
        <v>54</v>
      </c>
      <c r="V14" s="56" t="str">
        <f t="shared" si="10"/>
        <v>D</v>
      </c>
      <c r="W14" s="75">
        <v>21.0</v>
      </c>
      <c r="X14" s="66">
        <v>33.0</v>
      </c>
      <c r="Y14" s="56">
        <f t="shared" si="11"/>
        <v>54</v>
      </c>
      <c r="Z14" s="56" t="str">
        <f t="shared" si="12"/>
        <v>D</v>
      </c>
      <c r="AA14" s="67">
        <v>11.0</v>
      </c>
      <c r="AB14" s="68">
        <v>42.0</v>
      </c>
      <c r="AC14" s="59">
        <f t="shared" si="13"/>
        <v>53</v>
      </c>
      <c r="AD14" s="56" t="str">
        <f t="shared" si="14"/>
        <v>D</v>
      </c>
      <c r="AE14" s="75">
        <v>26.0</v>
      </c>
      <c r="AF14" s="76">
        <v>40.0</v>
      </c>
      <c r="AG14" s="59">
        <f t="shared" si="22"/>
        <v>66</v>
      </c>
      <c r="AH14" s="56" t="str">
        <f t="shared" si="15"/>
        <v>C</v>
      </c>
      <c r="AI14" s="78">
        <v>30.0</v>
      </c>
      <c r="AJ14" s="68">
        <v>43.0</v>
      </c>
      <c r="AK14" s="59">
        <f t="shared" si="16"/>
        <v>73</v>
      </c>
      <c r="AL14" s="56" t="str">
        <f t="shared" si="17"/>
        <v>B</v>
      </c>
      <c r="AM14" s="79">
        <v>19.5</v>
      </c>
      <c r="AN14" s="68">
        <v>35.0</v>
      </c>
      <c r="AO14" s="71">
        <f t="shared" si="18"/>
        <v>54.5</v>
      </c>
      <c r="AP14" s="56" t="str">
        <f t="shared" si="19"/>
        <v>D</v>
      </c>
      <c r="AQ14" s="59"/>
      <c r="AR14" s="57">
        <f t="shared" si="20"/>
        <v>53.55</v>
      </c>
      <c r="AS14" s="72">
        <f t="shared" si="21"/>
        <v>21</v>
      </c>
      <c r="AT14" s="73" t="s">
        <v>90</v>
      </c>
      <c r="AU14" s="73" t="s">
        <v>90</v>
      </c>
      <c r="AV14" s="73" t="s">
        <v>90</v>
      </c>
      <c r="AW14" s="73" t="s">
        <v>90</v>
      </c>
      <c r="AX14" s="73" t="s">
        <v>90</v>
      </c>
      <c r="AY14" s="80" t="s">
        <v>108</v>
      </c>
    </row>
    <row r="15" ht="15.75" customHeight="1">
      <c r="A15" s="42">
        <v>11.0</v>
      </c>
      <c r="B15" s="62" t="s">
        <v>109</v>
      </c>
      <c r="C15" s="63">
        <v>16.0</v>
      </c>
      <c r="D15" s="63">
        <v>14.0</v>
      </c>
      <c r="E15" s="56">
        <f t="shared" si="1"/>
        <v>30</v>
      </c>
      <c r="F15" s="77" t="str">
        <f t="shared" si="2"/>
        <v>F</v>
      </c>
      <c r="G15" s="64">
        <v>15.0</v>
      </c>
      <c r="H15" s="64">
        <v>17.0</v>
      </c>
      <c r="I15" s="56">
        <f t="shared" si="3"/>
        <v>32</v>
      </c>
      <c r="J15" s="56" t="str">
        <f t="shared" si="4"/>
        <v>F</v>
      </c>
      <c r="K15" s="66">
        <v>19.0</v>
      </c>
      <c r="L15" s="66">
        <v>23.0</v>
      </c>
      <c r="M15" s="56">
        <f t="shared" si="5"/>
        <v>42</v>
      </c>
      <c r="N15" s="77" t="str">
        <f t="shared" si="6"/>
        <v>E</v>
      </c>
      <c r="O15" s="66">
        <v>19.0</v>
      </c>
      <c r="P15" s="66">
        <v>16.0</v>
      </c>
      <c r="Q15" s="56">
        <f t="shared" si="7"/>
        <v>35</v>
      </c>
      <c r="R15" s="56" t="str">
        <f t="shared" si="8"/>
        <v>F</v>
      </c>
      <c r="S15" s="66">
        <v>17.0</v>
      </c>
      <c r="T15" s="66">
        <v>26.0</v>
      </c>
      <c r="U15" s="56">
        <f t="shared" si="9"/>
        <v>43</v>
      </c>
      <c r="V15" s="56" t="str">
        <f t="shared" si="10"/>
        <v>E</v>
      </c>
      <c r="W15" s="75">
        <v>22.0</v>
      </c>
      <c r="X15" s="66">
        <v>30.0</v>
      </c>
      <c r="Y15" s="56">
        <f t="shared" si="11"/>
        <v>52</v>
      </c>
      <c r="Z15" s="56" t="str">
        <f t="shared" si="12"/>
        <v>D</v>
      </c>
      <c r="AA15" s="67">
        <v>12.0</v>
      </c>
      <c r="AB15" s="68">
        <v>19.0</v>
      </c>
      <c r="AC15" s="59">
        <f t="shared" si="13"/>
        <v>31</v>
      </c>
      <c r="AD15" s="56" t="str">
        <f t="shared" si="14"/>
        <v>F</v>
      </c>
      <c r="AE15" s="75">
        <v>27.0</v>
      </c>
      <c r="AF15" s="76">
        <v>54.0</v>
      </c>
      <c r="AG15" s="59">
        <f t="shared" si="22"/>
        <v>81</v>
      </c>
      <c r="AH15" s="56" t="str">
        <f t="shared" si="15"/>
        <v>A</v>
      </c>
      <c r="AI15" s="78">
        <v>25.0</v>
      </c>
      <c r="AJ15" s="68">
        <v>40.0</v>
      </c>
      <c r="AK15" s="59">
        <f t="shared" si="16"/>
        <v>65</v>
      </c>
      <c r="AL15" s="56" t="str">
        <f t="shared" si="17"/>
        <v>C</v>
      </c>
      <c r="AM15" s="79">
        <v>24.9</v>
      </c>
      <c r="AN15" s="68">
        <v>46.0</v>
      </c>
      <c r="AO15" s="71">
        <f t="shared" si="18"/>
        <v>70.9</v>
      </c>
      <c r="AP15" s="56" t="str">
        <f t="shared" si="19"/>
        <v>B</v>
      </c>
      <c r="AQ15" s="59"/>
      <c r="AR15" s="57">
        <f t="shared" si="20"/>
        <v>48.19</v>
      </c>
      <c r="AS15" s="72">
        <f t="shared" si="21"/>
        <v>23</v>
      </c>
      <c r="AT15" s="73" t="s">
        <v>90</v>
      </c>
      <c r="AU15" s="73" t="s">
        <v>90</v>
      </c>
      <c r="AV15" s="73" t="s">
        <v>90</v>
      </c>
      <c r="AW15" s="73" t="s">
        <v>90</v>
      </c>
      <c r="AX15" s="73" t="s">
        <v>90</v>
      </c>
      <c r="AY15" s="80" t="s">
        <v>110</v>
      </c>
    </row>
    <row r="16" ht="15.75" customHeight="1">
      <c r="A16" s="42">
        <v>12.0</v>
      </c>
      <c r="B16" s="62" t="s">
        <v>111</v>
      </c>
      <c r="C16" s="63">
        <v>21.0</v>
      </c>
      <c r="D16" s="63">
        <v>34.0</v>
      </c>
      <c r="E16" s="56">
        <f t="shared" si="1"/>
        <v>55</v>
      </c>
      <c r="F16" s="56" t="str">
        <f t="shared" si="2"/>
        <v>D</v>
      </c>
      <c r="G16" s="83">
        <v>7.0</v>
      </c>
      <c r="H16" s="83">
        <v>19.0</v>
      </c>
      <c r="I16" s="56">
        <f t="shared" si="3"/>
        <v>26</v>
      </c>
      <c r="J16" s="56" t="str">
        <f t="shared" si="4"/>
        <v>G</v>
      </c>
      <c r="K16" s="66">
        <v>14.0</v>
      </c>
      <c r="L16" s="66">
        <v>24.0</v>
      </c>
      <c r="M16" s="56">
        <f t="shared" si="5"/>
        <v>38</v>
      </c>
      <c r="N16" s="77" t="str">
        <f t="shared" si="6"/>
        <v>F</v>
      </c>
      <c r="O16" s="66">
        <v>32.0</v>
      </c>
      <c r="P16" s="66">
        <v>41.0</v>
      </c>
      <c r="Q16" s="56">
        <f t="shared" si="7"/>
        <v>73</v>
      </c>
      <c r="R16" s="56" t="str">
        <f t="shared" si="8"/>
        <v>B</v>
      </c>
      <c r="S16" s="66">
        <v>28.0</v>
      </c>
      <c r="T16" s="66">
        <v>40.0</v>
      </c>
      <c r="U16" s="56">
        <f t="shared" si="9"/>
        <v>68</v>
      </c>
      <c r="V16" s="56" t="str">
        <f t="shared" si="10"/>
        <v>C</v>
      </c>
      <c r="W16" s="75">
        <v>24.0</v>
      </c>
      <c r="X16" s="75">
        <v>36.0</v>
      </c>
      <c r="Y16" s="56">
        <f t="shared" si="11"/>
        <v>60</v>
      </c>
      <c r="Z16" s="56" t="str">
        <f t="shared" si="12"/>
        <v>C</v>
      </c>
      <c r="AA16" s="67">
        <v>20.0</v>
      </c>
      <c r="AB16" s="68">
        <v>28.0</v>
      </c>
      <c r="AC16" s="59">
        <f t="shared" si="13"/>
        <v>48</v>
      </c>
      <c r="AD16" s="56" t="str">
        <f t="shared" si="14"/>
        <v>E</v>
      </c>
      <c r="AE16" s="75">
        <v>29.0</v>
      </c>
      <c r="AF16" s="76">
        <v>45.0</v>
      </c>
      <c r="AG16" s="59">
        <f t="shared" si="22"/>
        <v>74</v>
      </c>
      <c r="AH16" s="56" t="str">
        <f t="shared" si="15"/>
        <v>B</v>
      </c>
      <c r="AI16" s="78">
        <v>31.0</v>
      </c>
      <c r="AJ16" s="68">
        <v>35.0</v>
      </c>
      <c r="AK16" s="59">
        <f t="shared" si="16"/>
        <v>66</v>
      </c>
      <c r="AL16" s="56" t="str">
        <f t="shared" si="17"/>
        <v>C</v>
      </c>
      <c r="AM16" s="79">
        <v>24.7</v>
      </c>
      <c r="AN16" s="68">
        <v>48.0</v>
      </c>
      <c r="AO16" s="71">
        <f t="shared" si="18"/>
        <v>72.7</v>
      </c>
      <c r="AP16" s="56" t="str">
        <f t="shared" si="19"/>
        <v>B</v>
      </c>
      <c r="AQ16" s="59"/>
      <c r="AR16" s="57">
        <f t="shared" si="20"/>
        <v>58.07</v>
      </c>
      <c r="AS16" s="72">
        <f t="shared" si="21"/>
        <v>16</v>
      </c>
      <c r="AT16" s="73" t="s">
        <v>90</v>
      </c>
      <c r="AU16" s="73" t="s">
        <v>87</v>
      </c>
      <c r="AV16" s="73" t="s">
        <v>90</v>
      </c>
      <c r="AW16" s="73" t="s">
        <v>90</v>
      </c>
      <c r="AX16" s="73" t="s">
        <v>90</v>
      </c>
      <c r="AY16" s="80" t="s">
        <v>112</v>
      </c>
    </row>
    <row r="17" ht="15.75" customHeight="1">
      <c r="A17" s="42">
        <v>13.0</v>
      </c>
      <c r="B17" s="62" t="s">
        <v>113</v>
      </c>
      <c r="C17" s="63">
        <v>22.0</v>
      </c>
      <c r="D17" s="63">
        <v>31.0</v>
      </c>
      <c r="E17" s="56">
        <f t="shared" si="1"/>
        <v>53</v>
      </c>
      <c r="F17" s="56" t="str">
        <f t="shared" si="2"/>
        <v>D</v>
      </c>
      <c r="G17" s="64">
        <v>19.0</v>
      </c>
      <c r="H17" s="64">
        <v>33.0</v>
      </c>
      <c r="I17" s="56">
        <f t="shared" si="3"/>
        <v>52</v>
      </c>
      <c r="J17" s="56" t="str">
        <f t="shared" si="4"/>
        <v>D</v>
      </c>
      <c r="K17" s="66">
        <v>28.0</v>
      </c>
      <c r="L17" s="66">
        <v>38.0</v>
      </c>
      <c r="M17" s="56">
        <f t="shared" si="5"/>
        <v>66</v>
      </c>
      <c r="N17" s="56" t="str">
        <f t="shared" si="6"/>
        <v>C</v>
      </c>
      <c r="O17" s="66">
        <v>26.0</v>
      </c>
      <c r="P17" s="66">
        <v>29.0</v>
      </c>
      <c r="Q17" s="56">
        <f t="shared" si="7"/>
        <v>55</v>
      </c>
      <c r="R17" s="56" t="str">
        <f t="shared" si="8"/>
        <v>D</v>
      </c>
      <c r="S17" s="66">
        <v>17.0</v>
      </c>
      <c r="T17" s="66">
        <v>33.0</v>
      </c>
      <c r="U17" s="56">
        <f t="shared" si="9"/>
        <v>50</v>
      </c>
      <c r="V17" s="56" t="str">
        <f t="shared" si="10"/>
        <v>D</v>
      </c>
      <c r="W17" s="75">
        <v>27.0</v>
      </c>
      <c r="X17" s="66">
        <v>32.0</v>
      </c>
      <c r="Y17" s="66">
        <v>59.0</v>
      </c>
      <c r="Z17" s="56" t="str">
        <f t="shared" si="12"/>
        <v>D</v>
      </c>
      <c r="AA17" s="67">
        <v>18.0</v>
      </c>
      <c r="AB17" s="68">
        <v>31.0</v>
      </c>
      <c r="AC17" s="59">
        <f t="shared" si="13"/>
        <v>49</v>
      </c>
      <c r="AD17" s="56" t="str">
        <f t="shared" si="14"/>
        <v>E</v>
      </c>
      <c r="AE17" s="75">
        <v>22.0</v>
      </c>
      <c r="AF17" s="76">
        <v>32.0</v>
      </c>
      <c r="AG17" s="59">
        <f t="shared" si="22"/>
        <v>54</v>
      </c>
      <c r="AH17" s="56" t="str">
        <f t="shared" si="15"/>
        <v>D</v>
      </c>
      <c r="AI17" s="78">
        <v>27.0</v>
      </c>
      <c r="AJ17" s="68">
        <v>43.0</v>
      </c>
      <c r="AK17" s="59">
        <f t="shared" si="16"/>
        <v>70</v>
      </c>
      <c r="AL17" s="56" t="str">
        <f t="shared" si="17"/>
        <v>B</v>
      </c>
      <c r="AM17" s="79">
        <v>24.7</v>
      </c>
      <c r="AN17" s="68">
        <v>46.0</v>
      </c>
      <c r="AO17" s="71">
        <f t="shared" si="18"/>
        <v>70.7</v>
      </c>
      <c r="AP17" s="56" t="str">
        <f t="shared" si="19"/>
        <v>B</v>
      </c>
      <c r="AQ17" s="59"/>
      <c r="AR17" s="57">
        <f t="shared" si="20"/>
        <v>57.87</v>
      </c>
      <c r="AS17" s="72">
        <f t="shared" si="21"/>
        <v>18</v>
      </c>
      <c r="AT17" s="73" t="s">
        <v>90</v>
      </c>
      <c r="AU17" s="73" t="s">
        <v>90</v>
      </c>
      <c r="AV17" s="73" t="s">
        <v>90</v>
      </c>
      <c r="AW17" s="73" t="s">
        <v>90</v>
      </c>
      <c r="AX17" s="73" t="s">
        <v>85</v>
      </c>
      <c r="AY17" s="80" t="s">
        <v>114</v>
      </c>
    </row>
    <row r="18" ht="15.75" customHeight="1">
      <c r="A18" s="42">
        <v>14.0</v>
      </c>
      <c r="B18" s="62" t="s">
        <v>115</v>
      </c>
      <c r="C18" s="63">
        <v>32.0</v>
      </c>
      <c r="D18" s="63">
        <v>40.0</v>
      </c>
      <c r="E18" s="56">
        <f t="shared" si="1"/>
        <v>72</v>
      </c>
      <c r="F18" s="56" t="str">
        <f t="shared" si="2"/>
        <v>B</v>
      </c>
      <c r="G18" s="64">
        <v>18.0</v>
      </c>
      <c r="H18" s="76">
        <v>27.0</v>
      </c>
      <c r="I18" s="56">
        <f t="shared" si="3"/>
        <v>45</v>
      </c>
      <c r="J18" s="56" t="str">
        <f t="shared" si="4"/>
        <v>E</v>
      </c>
      <c r="K18" s="66">
        <v>19.0</v>
      </c>
      <c r="L18" s="66">
        <v>36.0</v>
      </c>
      <c r="M18" s="56">
        <f t="shared" si="5"/>
        <v>55</v>
      </c>
      <c r="N18" s="56" t="str">
        <f t="shared" si="6"/>
        <v>D</v>
      </c>
      <c r="O18" s="66">
        <v>32.0</v>
      </c>
      <c r="P18" s="66">
        <v>50.0</v>
      </c>
      <c r="Q18" s="56">
        <f t="shared" si="7"/>
        <v>82</v>
      </c>
      <c r="R18" s="56" t="str">
        <f t="shared" si="8"/>
        <v>A</v>
      </c>
      <c r="S18" s="66">
        <v>29.0</v>
      </c>
      <c r="T18" s="66">
        <v>43.0</v>
      </c>
      <c r="U18" s="56">
        <f t="shared" si="9"/>
        <v>72</v>
      </c>
      <c r="V18" s="56" t="str">
        <f t="shared" si="10"/>
        <v>B</v>
      </c>
      <c r="W18" s="75">
        <v>30.0</v>
      </c>
      <c r="X18" s="66">
        <v>37.0</v>
      </c>
      <c r="Y18" s="56">
        <f t="shared" ref="Y18:Y28" si="23">W18+X18</f>
        <v>67</v>
      </c>
      <c r="Z18" s="56" t="str">
        <f t="shared" si="12"/>
        <v>C</v>
      </c>
      <c r="AA18" s="67">
        <v>17.0</v>
      </c>
      <c r="AB18" s="68">
        <v>20.0</v>
      </c>
      <c r="AC18" s="59">
        <f t="shared" si="13"/>
        <v>37</v>
      </c>
      <c r="AD18" s="56" t="str">
        <f t="shared" si="14"/>
        <v>F</v>
      </c>
      <c r="AE18" s="75">
        <v>29.0</v>
      </c>
      <c r="AF18" s="76">
        <v>44.0</v>
      </c>
      <c r="AG18" s="59">
        <f t="shared" si="22"/>
        <v>73</v>
      </c>
      <c r="AH18" s="56" t="str">
        <f t="shared" si="15"/>
        <v>B</v>
      </c>
      <c r="AI18" s="78">
        <v>31.0</v>
      </c>
      <c r="AJ18" s="68">
        <v>40.0</v>
      </c>
      <c r="AK18" s="59">
        <f t="shared" si="16"/>
        <v>71</v>
      </c>
      <c r="AL18" s="56" t="str">
        <f t="shared" si="17"/>
        <v>B</v>
      </c>
      <c r="AM18" s="84">
        <v>26.0</v>
      </c>
      <c r="AN18" s="68">
        <v>47.0</v>
      </c>
      <c r="AO18" s="71">
        <f t="shared" si="18"/>
        <v>73</v>
      </c>
      <c r="AP18" s="56" t="str">
        <f t="shared" si="19"/>
        <v>B</v>
      </c>
      <c r="AQ18" s="59"/>
      <c r="AR18" s="57">
        <f t="shared" si="20"/>
        <v>64.7</v>
      </c>
      <c r="AS18" s="72">
        <f t="shared" si="21"/>
        <v>11</v>
      </c>
      <c r="AT18" s="73" t="s">
        <v>90</v>
      </c>
      <c r="AU18" s="73" t="s">
        <v>87</v>
      </c>
      <c r="AV18" s="73" t="s">
        <v>90</v>
      </c>
      <c r="AW18" s="73" t="s">
        <v>90</v>
      </c>
      <c r="AX18" s="73" t="s">
        <v>87</v>
      </c>
      <c r="AY18" s="80" t="s">
        <v>116</v>
      </c>
    </row>
    <row r="19" ht="15.75" customHeight="1">
      <c r="A19" s="42">
        <v>15.0</v>
      </c>
      <c r="B19" s="62" t="s">
        <v>117</v>
      </c>
      <c r="C19" s="63">
        <v>37.0</v>
      </c>
      <c r="D19" s="63">
        <v>48.0</v>
      </c>
      <c r="E19" s="56">
        <f t="shared" si="1"/>
        <v>85</v>
      </c>
      <c r="F19" s="56" t="str">
        <f t="shared" si="2"/>
        <v>A</v>
      </c>
      <c r="G19" s="64">
        <v>24.0</v>
      </c>
      <c r="H19" s="76">
        <v>45.0</v>
      </c>
      <c r="I19" s="56">
        <f t="shared" si="3"/>
        <v>69</v>
      </c>
      <c r="J19" s="56" t="str">
        <f t="shared" si="4"/>
        <v>C</v>
      </c>
      <c r="K19" s="66">
        <v>32.0</v>
      </c>
      <c r="L19" s="66">
        <v>50.0</v>
      </c>
      <c r="M19" s="56">
        <f t="shared" si="5"/>
        <v>82</v>
      </c>
      <c r="N19" s="56" t="str">
        <f t="shared" si="6"/>
        <v>A</v>
      </c>
      <c r="O19" s="66">
        <v>33.0</v>
      </c>
      <c r="P19" s="66">
        <v>53.0</v>
      </c>
      <c r="Q19" s="56">
        <f t="shared" si="7"/>
        <v>86</v>
      </c>
      <c r="R19" s="56" t="str">
        <f t="shared" si="8"/>
        <v>A</v>
      </c>
      <c r="S19" s="66">
        <v>26.0</v>
      </c>
      <c r="T19" s="66">
        <v>45.0</v>
      </c>
      <c r="U19" s="56">
        <f t="shared" si="9"/>
        <v>71</v>
      </c>
      <c r="V19" s="56" t="str">
        <f t="shared" si="10"/>
        <v>B</v>
      </c>
      <c r="W19" s="75">
        <v>40.0</v>
      </c>
      <c r="X19" s="66">
        <v>35.0</v>
      </c>
      <c r="Y19" s="56">
        <f t="shared" si="23"/>
        <v>75</v>
      </c>
      <c r="Z19" s="56" t="str">
        <f t="shared" si="12"/>
        <v>B</v>
      </c>
      <c r="AA19" s="67">
        <v>35.0</v>
      </c>
      <c r="AB19" s="68">
        <v>49.0</v>
      </c>
      <c r="AC19" s="59">
        <f t="shared" si="13"/>
        <v>84</v>
      </c>
      <c r="AD19" s="56" t="str">
        <f t="shared" si="14"/>
        <v>A</v>
      </c>
      <c r="AE19" s="75">
        <v>32.0</v>
      </c>
      <c r="AF19" s="85">
        <v>52.0</v>
      </c>
      <c r="AG19" s="59">
        <f t="shared" si="22"/>
        <v>84</v>
      </c>
      <c r="AH19" s="56" t="str">
        <f t="shared" si="15"/>
        <v>A</v>
      </c>
      <c r="AI19" s="78">
        <v>33.0</v>
      </c>
      <c r="AJ19" s="68">
        <v>54.0</v>
      </c>
      <c r="AK19" s="59">
        <f t="shared" si="16"/>
        <v>87</v>
      </c>
      <c r="AL19" s="56" t="str">
        <f t="shared" si="17"/>
        <v>A</v>
      </c>
      <c r="AM19" s="79">
        <v>23.7</v>
      </c>
      <c r="AN19" s="68">
        <v>49.0</v>
      </c>
      <c r="AO19" s="71">
        <f t="shared" si="18"/>
        <v>72.7</v>
      </c>
      <c r="AP19" s="56" t="str">
        <f t="shared" si="19"/>
        <v>B</v>
      </c>
      <c r="AQ19" s="59"/>
      <c r="AR19" s="57">
        <f t="shared" si="20"/>
        <v>79.57</v>
      </c>
      <c r="AS19" s="72">
        <f t="shared" si="21"/>
        <v>2</v>
      </c>
      <c r="AT19" s="73" t="s">
        <v>90</v>
      </c>
      <c r="AU19" s="73" t="s">
        <v>87</v>
      </c>
      <c r="AV19" s="73" t="s">
        <v>90</v>
      </c>
      <c r="AW19" s="73" t="s">
        <v>90</v>
      </c>
      <c r="AX19" s="73" t="s">
        <v>87</v>
      </c>
      <c r="AY19" s="80" t="s">
        <v>118</v>
      </c>
    </row>
    <row r="20" ht="15.75" customHeight="1">
      <c r="A20" s="42">
        <v>16.0</v>
      </c>
      <c r="B20" s="62" t="s">
        <v>119</v>
      </c>
      <c r="C20" s="63">
        <v>30.0</v>
      </c>
      <c r="D20" s="63">
        <v>42.0</v>
      </c>
      <c r="E20" s="56">
        <f t="shared" si="1"/>
        <v>72</v>
      </c>
      <c r="F20" s="56" t="str">
        <f t="shared" si="2"/>
        <v>B</v>
      </c>
      <c r="G20" s="75">
        <v>19.0</v>
      </c>
      <c r="H20" s="76">
        <v>38.0</v>
      </c>
      <c r="I20" s="56">
        <f t="shared" si="3"/>
        <v>57</v>
      </c>
      <c r="J20" s="56" t="str">
        <f t="shared" si="4"/>
        <v>D</v>
      </c>
      <c r="K20" s="66">
        <v>26.0</v>
      </c>
      <c r="L20" s="66">
        <v>43.0</v>
      </c>
      <c r="M20" s="56">
        <f t="shared" si="5"/>
        <v>69</v>
      </c>
      <c r="N20" s="56" t="str">
        <f t="shared" si="6"/>
        <v>C</v>
      </c>
      <c r="O20" s="66">
        <v>34.0</v>
      </c>
      <c r="P20" s="66">
        <v>49.0</v>
      </c>
      <c r="Q20" s="56">
        <f t="shared" si="7"/>
        <v>83</v>
      </c>
      <c r="R20" s="56" t="str">
        <f t="shared" si="8"/>
        <v>A</v>
      </c>
      <c r="S20" s="66">
        <v>32.0</v>
      </c>
      <c r="T20" s="66">
        <v>51.0</v>
      </c>
      <c r="U20" s="56">
        <f t="shared" si="9"/>
        <v>83</v>
      </c>
      <c r="V20" s="56" t="str">
        <f t="shared" si="10"/>
        <v>A</v>
      </c>
      <c r="W20" s="86">
        <v>40.0</v>
      </c>
      <c r="X20" s="66">
        <v>52.0</v>
      </c>
      <c r="Y20" s="56">
        <f t="shared" si="23"/>
        <v>92</v>
      </c>
      <c r="Z20" s="56" t="str">
        <f t="shared" si="12"/>
        <v>A*</v>
      </c>
      <c r="AA20" s="67">
        <v>30.0</v>
      </c>
      <c r="AB20" s="68">
        <v>49.0</v>
      </c>
      <c r="AC20" s="59">
        <f t="shared" si="13"/>
        <v>79</v>
      </c>
      <c r="AD20" s="56" t="str">
        <f t="shared" si="14"/>
        <v>B</v>
      </c>
      <c r="AE20" s="75">
        <v>28.0</v>
      </c>
      <c r="AF20" s="76">
        <v>46.0</v>
      </c>
      <c r="AG20" s="59">
        <f t="shared" si="22"/>
        <v>74</v>
      </c>
      <c r="AH20" s="56" t="str">
        <f t="shared" si="15"/>
        <v>B</v>
      </c>
      <c r="AI20" s="78">
        <v>31.0</v>
      </c>
      <c r="AJ20" s="68">
        <v>54.0</v>
      </c>
      <c r="AK20" s="59">
        <f t="shared" si="16"/>
        <v>85</v>
      </c>
      <c r="AL20" s="56" t="str">
        <f t="shared" si="17"/>
        <v>A</v>
      </c>
      <c r="AM20" s="79">
        <v>22.5</v>
      </c>
      <c r="AN20" s="68">
        <v>48.0</v>
      </c>
      <c r="AO20" s="71">
        <f t="shared" si="18"/>
        <v>70.5</v>
      </c>
      <c r="AP20" s="56" t="str">
        <f t="shared" si="19"/>
        <v>B</v>
      </c>
      <c r="AQ20" s="59"/>
      <c r="AR20" s="57">
        <f t="shared" si="20"/>
        <v>76.45</v>
      </c>
      <c r="AS20" s="72">
        <f t="shared" si="21"/>
        <v>4</v>
      </c>
      <c r="AT20" s="73" t="s">
        <v>90</v>
      </c>
      <c r="AU20" s="73" t="s">
        <v>87</v>
      </c>
      <c r="AV20" s="73" t="s">
        <v>90</v>
      </c>
      <c r="AW20" s="73" t="s">
        <v>90</v>
      </c>
      <c r="AX20" s="73" t="s">
        <v>85</v>
      </c>
      <c r="AY20" s="82" t="s">
        <v>120</v>
      </c>
    </row>
    <row r="21" ht="15.75" customHeight="1">
      <c r="A21" s="42">
        <v>17.0</v>
      </c>
      <c r="B21" s="62" t="s">
        <v>121</v>
      </c>
      <c r="C21" s="63">
        <v>31.0</v>
      </c>
      <c r="D21" s="63">
        <v>31.0</v>
      </c>
      <c r="E21" s="56">
        <f t="shared" si="1"/>
        <v>62</v>
      </c>
      <c r="F21" s="56" t="str">
        <f t="shared" si="2"/>
        <v>C</v>
      </c>
      <c r="G21" s="75">
        <v>16.0</v>
      </c>
      <c r="H21" s="76">
        <v>42.0</v>
      </c>
      <c r="I21" s="56">
        <f t="shared" si="3"/>
        <v>58</v>
      </c>
      <c r="J21" s="56" t="str">
        <f t="shared" si="4"/>
        <v>D</v>
      </c>
      <c r="K21" s="66">
        <v>9.0</v>
      </c>
      <c r="L21" s="66">
        <v>25.0</v>
      </c>
      <c r="M21" s="56">
        <f t="shared" si="5"/>
        <v>34</v>
      </c>
      <c r="N21" s="77" t="str">
        <f t="shared" si="6"/>
        <v>F</v>
      </c>
      <c r="O21" s="66">
        <v>28.0</v>
      </c>
      <c r="P21" s="66">
        <v>36.0</v>
      </c>
      <c r="Q21" s="56">
        <f t="shared" si="7"/>
        <v>64</v>
      </c>
      <c r="R21" s="56" t="str">
        <f t="shared" si="8"/>
        <v>C</v>
      </c>
      <c r="S21" s="66">
        <v>25.0</v>
      </c>
      <c r="T21" s="66">
        <v>34.0</v>
      </c>
      <c r="U21" s="56">
        <f t="shared" si="9"/>
        <v>59</v>
      </c>
      <c r="V21" s="56" t="str">
        <f t="shared" si="10"/>
        <v>D</v>
      </c>
      <c r="W21" s="75">
        <v>16.0</v>
      </c>
      <c r="X21" s="66">
        <v>23.0</v>
      </c>
      <c r="Y21" s="56">
        <f t="shared" si="23"/>
        <v>39</v>
      </c>
      <c r="Z21" s="56" t="str">
        <f t="shared" si="12"/>
        <v>F</v>
      </c>
      <c r="AA21" s="67">
        <v>14.0</v>
      </c>
      <c r="AB21" s="68">
        <v>32.0</v>
      </c>
      <c r="AC21" s="59">
        <f t="shared" si="13"/>
        <v>46</v>
      </c>
      <c r="AD21" s="56" t="str">
        <f t="shared" si="14"/>
        <v>E</v>
      </c>
      <c r="AE21" s="75">
        <v>27.0</v>
      </c>
      <c r="AF21" s="76">
        <v>47.0</v>
      </c>
      <c r="AG21" s="59">
        <f t="shared" si="22"/>
        <v>74</v>
      </c>
      <c r="AH21" s="56" t="str">
        <f t="shared" si="15"/>
        <v>B</v>
      </c>
      <c r="AI21" s="78">
        <v>27.0</v>
      </c>
      <c r="AJ21" s="68">
        <v>41.0</v>
      </c>
      <c r="AK21" s="59">
        <f t="shared" si="16"/>
        <v>68</v>
      </c>
      <c r="AL21" s="56" t="str">
        <f t="shared" si="17"/>
        <v>C</v>
      </c>
      <c r="AM21" s="79">
        <v>27.0</v>
      </c>
      <c r="AN21" s="68">
        <v>54.0</v>
      </c>
      <c r="AO21" s="71">
        <f t="shared" si="18"/>
        <v>81</v>
      </c>
      <c r="AP21" s="56" t="str">
        <f t="shared" si="19"/>
        <v>A</v>
      </c>
      <c r="AQ21" s="59"/>
      <c r="AR21" s="57">
        <f t="shared" si="20"/>
        <v>58.5</v>
      </c>
      <c r="AS21" s="72">
        <f t="shared" si="21"/>
        <v>15</v>
      </c>
      <c r="AT21" s="73" t="s">
        <v>90</v>
      </c>
      <c r="AU21" s="73" t="s">
        <v>90</v>
      </c>
      <c r="AV21" s="73" t="s">
        <v>90</v>
      </c>
      <c r="AW21" s="73" t="s">
        <v>90</v>
      </c>
      <c r="AX21" s="73" t="s">
        <v>90</v>
      </c>
      <c r="AY21" s="80" t="s">
        <v>122</v>
      </c>
    </row>
    <row r="22" ht="15.75" customHeight="1">
      <c r="A22" s="42">
        <v>18.0</v>
      </c>
      <c r="B22" s="62" t="s">
        <v>123</v>
      </c>
      <c r="C22" s="63">
        <v>33.0</v>
      </c>
      <c r="D22" s="63">
        <v>40.0</v>
      </c>
      <c r="E22" s="56">
        <f t="shared" si="1"/>
        <v>73</v>
      </c>
      <c r="F22" s="56" t="str">
        <f t="shared" si="2"/>
        <v>B</v>
      </c>
      <c r="G22" s="75">
        <v>5.0</v>
      </c>
      <c r="H22" s="85">
        <v>20.0</v>
      </c>
      <c r="I22" s="56">
        <f t="shared" si="3"/>
        <v>25</v>
      </c>
      <c r="J22" s="56" t="str">
        <f t="shared" si="4"/>
        <v>G</v>
      </c>
      <c r="K22" s="66">
        <v>12.0</v>
      </c>
      <c r="L22" s="66">
        <v>23.0</v>
      </c>
      <c r="M22" s="56">
        <f t="shared" si="5"/>
        <v>35</v>
      </c>
      <c r="N22" s="77" t="str">
        <f t="shared" si="6"/>
        <v>F</v>
      </c>
      <c r="O22" s="66">
        <v>26.0</v>
      </c>
      <c r="P22" s="66">
        <v>49.0</v>
      </c>
      <c r="Q22" s="56">
        <f t="shared" si="7"/>
        <v>75</v>
      </c>
      <c r="R22" s="56" t="str">
        <f t="shared" si="8"/>
        <v>B</v>
      </c>
      <c r="S22" s="66">
        <v>27.0</v>
      </c>
      <c r="T22" s="66">
        <v>37.0</v>
      </c>
      <c r="U22" s="56">
        <f t="shared" si="9"/>
        <v>64</v>
      </c>
      <c r="V22" s="56" t="str">
        <f t="shared" si="10"/>
        <v>C</v>
      </c>
      <c r="W22" s="75">
        <v>28.0</v>
      </c>
      <c r="X22" s="66">
        <v>26.0</v>
      </c>
      <c r="Y22" s="56">
        <f t="shared" si="23"/>
        <v>54</v>
      </c>
      <c r="Z22" s="56" t="str">
        <f t="shared" si="12"/>
        <v>D</v>
      </c>
      <c r="AA22" s="67">
        <v>20.0</v>
      </c>
      <c r="AB22" s="68">
        <v>41.0</v>
      </c>
      <c r="AC22" s="59">
        <f t="shared" si="13"/>
        <v>61</v>
      </c>
      <c r="AD22" s="56" t="str">
        <f t="shared" si="14"/>
        <v>C</v>
      </c>
      <c r="AE22" s="75">
        <v>25.0</v>
      </c>
      <c r="AF22" s="76">
        <v>38.0</v>
      </c>
      <c r="AG22" s="59">
        <f t="shared" si="22"/>
        <v>63</v>
      </c>
      <c r="AH22" s="56" t="str">
        <f t="shared" si="15"/>
        <v>C</v>
      </c>
      <c r="AI22" s="78">
        <v>32.0</v>
      </c>
      <c r="AJ22" s="68">
        <v>41.0</v>
      </c>
      <c r="AK22" s="59">
        <f t="shared" si="16"/>
        <v>73</v>
      </c>
      <c r="AL22" s="56" t="str">
        <f t="shared" si="17"/>
        <v>B</v>
      </c>
      <c r="AM22" s="79">
        <v>20.8</v>
      </c>
      <c r="AN22" s="68">
        <v>24.0</v>
      </c>
      <c r="AO22" s="71">
        <f t="shared" si="18"/>
        <v>44.8</v>
      </c>
      <c r="AP22" s="56" t="str">
        <f t="shared" si="19"/>
        <v>E</v>
      </c>
      <c r="AQ22" s="59"/>
      <c r="AR22" s="57">
        <f t="shared" si="20"/>
        <v>56.78</v>
      </c>
      <c r="AS22" s="72">
        <f t="shared" si="21"/>
        <v>19</v>
      </c>
      <c r="AT22" s="73" t="s">
        <v>90</v>
      </c>
      <c r="AU22" s="73" t="s">
        <v>87</v>
      </c>
      <c r="AV22" s="73" t="s">
        <v>90</v>
      </c>
      <c r="AW22" s="73" t="s">
        <v>90</v>
      </c>
      <c r="AX22" s="73" t="s">
        <v>87</v>
      </c>
      <c r="AY22" s="80" t="s">
        <v>124</v>
      </c>
    </row>
    <row r="23" ht="15.75" customHeight="1">
      <c r="A23" s="42">
        <v>19.0</v>
      </c>
      <c r="B23" s="62" t="s">
        <v>125</v>
      </c>
      <c r="C23" s="63">
        <v>28.0</v>
      </c>
      <c r="D23" s="63">
        <v>41.0</v>
      </c>
      <c r="E23" s="56">
        <f t="shared" si="1"/>
        <v>69</v>
      </c>
      <c r="F23" s="56" t="str">
        <f t="shared" si="2"/>
        <v>C</v>
      </c>
      <c r="G23" s="75">
        <v>24.0</v>
      </c>
      <c r="H23" s="76">
        <v>38.0</v>
      </c>
      <c r="I23" s="56">
        <f t="shared" si="3"/>
        <v>62</v>
      </c>
      <c r="J23" s="56" t="str">
        <f t="shared" si="4"/>
        <v>C</v>
      </c>
      <c r="K23" s="66">
        <v>30.0</v>
      </c>
      <c r="L23" s="66">
        <v>26.0</v>
      </c>
      <c r="M23" s="56">
        <f t="shared" si="5"/>
        <v>56</v>
      </c>
      <c r="N23" s="56" t="str">
        <f t="shared" si="6"/>
        <v>D</v>
      </c>
      <c r="O23" s="66">
        <v>34.0</v>
      </c>
      <c r="P23" s="66">
        <v>46.0</v>
      </c>
      <c r="Q23" s="56">
        <f t="shared" si="7"/>
        <v>80</v>
      </c>
      <c r="R23" s="56" t="str">
        <f t="shared" si="8"/>
        <v>A</v>
      </c>
      <c r="S23" s="66">
        <v>27.0</v>
      </c>
      <c r="T23" s="66">
        <v>42.0</v>
      </c>
      <c r="U23" s="56">
        <f t="shared" si="9"/>
        <v>69</v>
      </c>
      <c r="V23" s="56" t="str">
        <f t="shared" si="10"/>
        <v>C</v>
      </c>
      <c r="W23" s="75">
        <v>40.0</v>
      </c>
      <c r="X23" s="66">
        <v>36.0</v>
      </c>
      <c r="Y23" s="56">
        <f t="shared" si="23"/>
        <v>76</v>
      </c>
      <c r="Z23" s="56" t="str">
        <f t="shared" si="12"/>
        <v>B</v>
      </c>
      <c r="AA23" s="67">
        <v>23.0</v>
      </c>
      <c r="AB23" s="68">
        <v>44.0</v>
      </c>
      <c r="AC23" s="59">
        <f t="shared" si="13"/>
        <v>67</v>
      </c>
      <c r="AD23" s="56" t="str">
        <f t="shared" si="14"/>
        <v>C</v>
      </c>
      <c r="AE23" s="75">
        <v>26.0</v>
      </c>
      <c r="AF23" s="76">
        <v>50.0</v>
      </c>
      <c r="AG23" s="59">
        <f t="shared" si="22"/>
        <v>76</v>
      </c>
      <c r="AH23" s="56" t="str">
        <f t="shared" si="15"/>
        <v>B</v>
      </c>
      <c r="AI23" s="78">
        <v>33.0</v>
      </c>
      <c r="AJ23" s="68">
        <v>50.0</v>
      </c>
      <c r="AK23" s="59">
        <f t="shared" si="16"/>
        <v>83</v>
      </c>
      <c r="AL23" s="56" t="str">
        <f t="shared" si="17"/>
        <v>A</v>
      </c>
      <c r="AM23" s="79">
        <v>28.0</v>
      </c>
      <c r="AN23" s="68">
        <v>47.0</v>
      </c>
      <c r="AO23" s="71">
        <f t="shared" si="18"/>
        <v>75</v>
      </c>
      <c r="AP23" s="56" t="str">
        <f t="shared" si="19"/>
        <v>B</v>
      </c>
      <c r="AQ23" s="59"/>
      <c r="AR23" s="57">
        <f t="shared" si="20"/>
        <v>71.3</v>
      </c>
      <c r="AS23" s="72">
        <f t="shared" si="21"/>
        <v>7</v>
      </c>
      <c r="AT23" s="73" t="s">
        <v>87</v>
      </c>
      <c r="AU23" s="73" t="s">
        <v>87</v>
      </c>
      <c r="AV23" s="73" t="s">
        <v>90</v>
      </c>
      <c r="AW23" s="73" t="s">
        <v>90</v>
      </c>
      <c r="AX23" s="73" t="s">
        <v>85</v>
      </c>
      <c r="AY23" s="80" t="s">
        <v>126</v>
      </c>
    </row>
    <row r="24" ht="15.75" customHeight="1">
      <c r="A24" s="42">
        <v>20.0</v>
      </c>
      <c r="B24" s="62" t="s">
        <v>127</v>
      </c>
      <c r="C24" s="63">
        <v>27.0</v>
      </c>
      <c r="D24" s="63">
        <v>39.0</v>
      </c>
      <c r="E24" s="56">
        <f t="shared" si="1"/>
        <v>66</v>
      </c>
      <c r="F24" s="56" t="str">
        <f t="shared" si="2"/>
        <v>C</v>
      </c>
      <c r="G24" s="75">
        <v>32.0</v>
      </c>
      <c r="H24" s="76">
        <v>48.0</v>
      </c>
      <c r="I24" s="56">
        <f t="shared" si="3"/>
        <v>80</v>
      </c>
      <c r="J24" s="56" t="str">
        <f t="shared" si="4"/>
        <v>A</v>
      </c>
      <c r="K24" s="66">
        <v>26.0</v>
      </c>
      <c r="L24" s="66">
        <v>43.0</v>
      </c>
      <c r="M24" s="56">
        <f t="shared" si="5"/>
        <v>69</v>
      </c>
      <c r="N24" s="56" t="str">
        <f t="shared" si="6"/>
        <v>C</v>
      </c>
      <c r="O24" s="66">
        <v>30.0</v>
      </c>
      <c r="P24" s="66">
        <v>43.0</v>
      </c>
      <c r="Q24" s="56">
        <f t="shared" si="7"/>
        <v>73</v>
      </c>
      <c r="R24" s="56" t="str">
        <f t="shared" si="8"/>
        <v>B</v>
      </c>
      <c r="S24" s="66">
        <v>37.0</v>
      </c>
      <c r="T24" s="66">
        <v>49.0</v>
      </c>
      <c r="U24" s="56">
        <f t="shared" si="9"/>
        <v>86</v>
      </c>
      <c r="V24" s="56" t="str">
        <f t="shared" si="10"/>
        <v>A</v>
      </c>
      <c r="W24" s="75">
        <v>40.0</v>
      </c>
      <c r="X24" s="66">
        <v>54.0</v>
      </c>
      <c r="Y24" s="56">
        <f t="shared" si="23"/>
        <v>94</v>
      </c>
      <c r="Z24" s="56" t="str">
        <f t="shared" si="12"/>
        <v>A*</v>
      </c>
      <c r="AA24" s="67">
        <v>34.0</v>
      </c>
      <c r="AB24" s="68">
        <v>52.0</v>
      </c>
      <c r="AC24" s="59">
        <f t="shared" si="13"/>
        <v>86</v>
      </c>
      <c r="AD24" s="56" t="str">
        <f t="shared" si="14"/>
        <v>A</v>
      </c>
      <c r="AE24" s="75">
        <v>26.0</v>
      </c>
      <c r="AF24" s="76">
        <v>46.0</v>
      </c>
      <c r="AG24" s="59">
        <f t="shared" si="22"/>
        <v>72</v>
      </c>
      <c r="AH24" s="56" t="str">
        <f t="shared" si="15"/>
        <v>B</v>
      </c>
      <c r="AI24" s="78">
        <v>32.0</v>
      </c>
      <c r="AJ24" s="68">
        <v>54.0</v>
      </c>
      <c r="AK24" s="59">
        <f t="shared" si="16"/>
        <v>86</v>
      </c>
      <c r="AL24" s="56" t="str">
        <f t="shared" si="17"/>
        <v>A</v>
      </c>
      <c r="AM24" s="79">
        <v>25.0</v>
      </c>
      <c r="AN24" s="68">
        <v>38.0</v>
      </c>
      <c r="AO24" s="71">
        <f t="shared" si="18"/>
        <v>63</v>
      </c>
      <c r="AP24" s="56" t="str">
        <f t="shared" si="19"/>
        <v>C</v>
      </c>
      <c r="AQ24" s="59"/>
      <c r="AR24" s="57">
        <f t="shared" si="20"/>
        <v>77.5</v>
      </c>
      <c r="AS24" s="72">
        <f t="shared" si="21"/>
        <v>3</v>
      </c>
      <c r="AT24" s="73" t="s">
        <v>85</v>
      </c>
      <c r="AU24" s="73" t="s">
        <v>86</v>
      </c>
      <c r="AV24" s="73" t="s">
        <v>87</v>
      </c>
      <c r="AW24" s="73" t="s">
        <v>90</v>
      </c>
      <c r="AX24" s="73" t="s">
        <v>85</v>
      </c>
      <c r="AY24" s="80" t="s">
        <v>128</v>
      </c>
    </row>
    <row r="25" ht="15.75" customHeight="1">
      <c r="A25" s="42">
        <v>21.0</v>
      </c>
      <c r="B25" s="62" t="s">
        <v>129</v>
      </c>
      <c r="C25" s="63">
        <v>27.0</v>
      </c>
      <c r="D25" s="63">
        <v>30.0</v>
      </c>
      <c r="E25" s="56">
        <f t="shared" si="1"/>
        <v>57</v>
      </c>
      <c r="F25" s="56" t="str">
        <f t="shared" si="2"/>
        <v>D</v>
      </c>
      <c r="G25" s="75">
        <v>7.0</v>
      </c>
      <c r="H25" s="76">
        <v>25.0</v>
      </c>
      <c r="I25" s="56">
        <f t="shared" si="3"/>
        <v>32</v>
      </c>
      <c r="J25" s="56" t="str">
        <f t="shared" si="4"/>
        <v>F</v>
      </c>
      <c r="K25" s="66">
        <v>18.0</v>
      </c>
      <c r="L25" s="66">
        <v>31.0</v>
      </c>
      <c r="M25" s="56">
        <f t="shared" si="5"/>
        <v>49</v>
      </c>
      <c r="N25" s="77" t="str">
        <f t="shared" si="6"/>
        <v>E</v>
      </c>
      <c r="O25" s="66">
        <v>26.0</v>
      </c>
      <c r="P25" s="66">
        <v>56.0</v>
      </c>
      <c r="Q25" s="56">
        <f t="shared" si="7"/>
        <v>82</v>
      </c>
      <c r="R25" s="56" t="str">
        <f t="shared" si="8"/>
        <v>A</v>
      </c>
      <c r="S25" s="66">
        <v>31.0</v>
      </c>
      <c r="T25" s="66">
        <v>36.0</v>
      </c>
      <c r="U25" s="56">
        <f t="shared" si="9"/>
        <v>67</v>
      </c>
      <c r="V25" s="56" t="str">
        <f t="shared" si="10"/>
        <v>C</v>
      </c>
      <c r="W25" s="75">
        <v>24.0</v>
      </c>
      <c r="X25" s="66">
        <v>33.0</v>
      </c>
      <c r="Y25" s="56">
        <f t="shared" si="23"/>
        <v>57</v>
      </c>
      <c r="Z25" s="56" t="str">
        <f t="shared" si="12"/>
        <v>D</v>
      </c>
      <c r="AA25" s="67">
        <v>22.0</v>
      </c>
      <c r="AB25" s="68">
        <v>36.0</v>
      </c>
      <c r="AC25" s="59">
        <f t="shared" si="13"/>
        <v>58</v>
      </c>
      <c r="AD25" s="56" t="str">
        <f t="shared" si="14"/>
        <v>D</v>
      </c>
      <c r="AE25" s="75">
        <v>26.0</v>
      </c>
      <c r="AF25" s="76">
        <v>50.0</v>
      </c>
      <c r="AG25" s="59">
        <f t="shared" si="22"/>
        <v>76</v>
      </c>
      <c r="AH25" s="56" t="str">
        <f t="shared" si="15"/>
        <v>B</v>
      </c>
      <c r="AI25" s="78">
        <v>28.0</v>
      </c>
      <c r="AJ25" s="68">
        <v>39.0</v>
      </c>
      <c r="AK25" s="59">
        <f t="shared" si="16"/>
        <v>67</v>
      </c>
      <c r="AL25" s="56" t="str">
        <f t="shared" si="17"/>
        <v>C</v>
      </c>
      <c r="AM25" s="79">
        <v>29.7</v>
      </c>
      <c r="AN25" s="68">
        <v>51.0</v>
      </c>
      <c r="AO25" s="71">
        <f t="shared" si="18"/>
        <v>80.7</v>
      </c>
      <c r="AP25" s="56" t="str">
        <f t="shared" si="19"/>
        <v>A</v>
      </c>
      <c r="AQ25" s="59"/>
      <c r="AR25" s="57">
        <f t="shared" si="20"/>
        <v>62.57</v>
      </c>
      <c r="AS25" s="72">
        <f t="shared" si="21"/>
        <v>13</v>
      </c>
      <c r="AT25" s="73" t="s">
        <v>90</v>
      </c>
      <c r="AU25" s="73" t="s">
        <v>93</v>
      </c>
      <c r="AV25" s="73" t="s">
        <v>90</v>
      </c>
      <c r="AW25" s="73" t="s">
        <v>90</v>
      </c>
      <c r="AX25" s="73" t="s">
        <v>93</v>
      </c>
      <c r="AY25" s="80" t="s">
        <v>130</v>
      </c>
    </row>
    <row r="26" ht="15.75" customHeight="1">
      <c r="A26" s="42">
        <v>22.0</v>
      </c>
      <c r="B26" s="62" t="s">
        <v>131</v>
      </c>
      <c r="C26" s="63">
        <v>31.0</v>
      </c>
      <c r="D26" s="63">
        <v>35.0</v>
      </c>
      <c r="E26" s="56">
        <f t="shared" si="1"/>
        <v>66</v>
      </c>
      <c r="F26" s="56" t="str">
        <f t="shared" si="2"/>
        <v>C</v>
      </c>
      <c r="G26" s="75">
        <v>13.0</v>
      </c>
      <c r="H26" s="76">
        <v>53.0</v>
      </c>
      <c r="I26" s="56">
        <f t="shared" si="3"/>
        <v>66</v>
      </c>
      <c r="J26" s="56" t="str">
        <f t="shared" si="4"/>
        <v>C</v>
      </c>
      <c r="K26" s="66">
        <v>29.0</v>
      </c>
      <c r="L26" s="66">
        <v>38.0</v>
      </c>
      <c r="M26" s="56">
        <f t="shared" si="5"/>
        <v>67</v>
      </c>
      <c r="N26" s="56" t="str">
        <f t="shared" si="6"/>
        <v>C</v>
      </c>
      <c r="O26" s="66">
        <v>32.0</v>
      </c>
      <c r="P26" s="66">
        <v>32.0</v>
      </c>
      <c r="Q26" s="56">
        <f t="shared" si="7"/>
        <v>64</v>
      </c>
      <c r="R26" s="56" t="str">
        <f t="shared" si="8"/>
        <v>C</v>
      </c>
      <c r="S26" s="66">
        <v>28.0</v>
      </c>
      <c r="T26" s="66">
        <v>40.0</v>
      </c>
      <c r="U26" s="56">
        <f t="shared" si="9"/>
        <v>68</v>
      </c>
      <c r="V26" s="56" t="str">
        <f t="shared" si="10"/>
        <v>C</v>
      </c>
      <c r="W26" s="75">
        <v>32.0</v>
      </c>
      <c r="X26" s="66">
        <v>39.0</v>
      </c>
      <c r="Y26" s="56">
        <f t="shared" si="23"/>
        <v>71</v>
      </c>
      <c r="Z26" s="56" t="str">
        <f t="shared" si="12"/>
        <v>B</v>
      </c>
      <c r="AA26" s="67">
        <v>33.0</v>
      </c>
      <c r="AB26" s="68">
        <v>40.0</v>
      </c>
      <c r="AC26" s="59">
        <f t="shared" si="13"/>
        <v>73</v>
      </c>
      <c r="AD26" s="56" t="str">
        <f t="shared" si="14"/>
        <v>B</v>
      </c>
      <c r="AE26" s="75">
        <v>24.0</v>
      </c>
      <c r="AF26" s="76">
        <v>44.0</v>
      </c>
      <c r="AG26" s="59">
        <f t="shared" si="22"/>
        <v>68</v>
      </c>
      <c r="AH26" s="56" t="str">
        <f t="shared" si="15"/>
        <v>C</v>
      </c>
      <c r="AI26" s="78">
        <v>32.0</v>
      </c>
      <c r="AJ26" s="68">
        <v>42.0</v>
      </c>
      <c r="AK26" s="59">
        <f t="shared" si="16"/>
        <v>74</v>
      </c>
      <c r="AL26" s="56" t="str">
        <f t="shared" si="17"/>
        <v>B</v>
      </c>
      <c r="AM26" s="79">
        <v>25.0</v>
      </c>
      <c r="AN26" s="68">
        <v>40.0</v>
      </c>
      <c r="AO26" s="71">
        <f t="shared" si="18"/>
        <v>65</v>
      </c>
      <c r="AP26" s="56" t="str">
        <f t="shared" si="19"/>
        <v>C</v>
      </c>
      <c r="AQ26" s="59"/>
      <c r="AR26" s="57">
        <f t="shared" si="20"/>
        <v>68.2</v>
      </c>
      <c r="AS26" s="72">
        <f t="shared" si="21"/>
        <v>9</v>
      </c>
      <c r="AT26" s="73" t="s">
        <v>90</v>
      </c>
      <c r="AU26" s="73" t="s">
        <v>93</v>
      </c>
      <c r="AV26" s="73" t="s">
        <v>90</v>
      </c>
      <c r="AW26" s="73" t="s">
        <v>90</v>
      </c>
      <c r="AX26" s="73" t="s">
        <v>93</v>
      </c>
      <c r="AY26" s="80" t="s">
        <v>116</v>
      </c>
    </row>
    <row r="27" ht="15.75" customHeight="1">
      <c r="A27" s="42">
        <v>23.0</v>
      </c>
      <c r="B27" s="62" t="s">
        <v>132</v>
      </c>
      <c r="C27" s="63">
        <v>30.0</v>
      </c>
      <c r="D27" s="63">
        <v>46.0</v>
      </c>
      <c r="E27" s="56">
        <f t="shared" si="1"/>
        <v>76</v>
      </c>
      <c r="F27" s="66" t="s">
        <v>87</v>
      </c>
      <c r="G27" s="75">
        <v>25.0</v>
      </c>
      <c r="H27" s="76">
        <v>41.0</v>
      </c>
      <c r="I27" s="56">
        <f t="shared" si="3"/>
        <v>66</v>
      </c>
      <c r="J27" s="56" t="str">
        <f t="shared" si="4"/>
        <v>C</v>
      </c>
      <c r="K27" s="66">
        <v>29.0</v>
      </c>
      <c r="L27" s="66">
        <v>49.0</v>
      </c>
      <c r="M27" s="56">
        <f t="shared" si="5"/>
        <v>78</v>
      </c>
      <c r="N27" s="56" t="str">
        <f t="shared" si="6"/>
        <v>B</v>
      </c>
      <c r="O27" s="66">
        <v>35.0</v>
      </c>
      <c r="P27" s="66">
        <v>38.0</v>
      </c>
      <c r="Q27" s="56">
        <f t="shared" si="7"/>
        <v>73</v>
      </c>
      <c r="R27" s="56" t="str">
        <f t="shared" si="8"/>
        <v>B</v>
      </c>
      <c r="S27" s="66">
        <v>35.0</v>
      </c>
      <c r="T27" s="66">
        <v>51.0</v>
      </c>
      <c r="U27" s="56">
        <f t="shared" si="9"/>
        <v>86</v>
      </c>
      <c r="V27" s="56" t="str">
        <f t="shared" si="10"/>
        <v>A</v>
      </c>
      <c r="W27" s="75">
        <v>34.0</v>
      </c>
      <c r="X27" s="66">
        <v>46.0</v>
      </c>
      <c r="Y27" s="56">
        <f t="shared" si="23"/>
        <v>80</v>
      </c>
      <c r="Z27" s="56" t="str">
        <f t="shared" si="12"/>
        <v>A</v>
      </c>
      <c r="AA27" s="67">
        <v>39.0</v>
      </c>
      <c r="AB27" s="68">
        <v>59.0</v>
      </c>
      <c r="AC27" s="59">
        <f t="shared" si="13"/>
        <v>98</v>
      </c>
      <c r="AD27" s="56" t="str">
        <f t="shared" si="14"/>
        <v>A*</v>
      </c>
      <c r="AE27" s="75">
        <v>35.0</v>
      </c>
      <c r="AF27" s="76">
        <v>52.0</v>
      </c>
      <c r="AG27" s="59">
        <f t="shared" si="22"/>
        <v>87</v>
      </c>
      <c r="AH27" s="56" t="str">
        <f t="shared" si="15"/>
        <v>A</v>
      </c>
      <c r="AI27" s="78">
        <v>37.0</v>
      </c>
      <c r="AJ27" s="68">
        <v>56.0</v>
      </c>
      <c r="AK27" s="59">
        <f t="shared" si="16"/>
        <v>93</v>
      </c>
      <c r="AL27" s="56" t="str">
        <f t="shared" si="17"/>
        <v>A*</v>
      </c>
      <c r="AM27" s="79">
        <v>23.0</v>
      </c>
      <c r="AN27" s="68">
        <v>49.0</v>
      </c>
      <c r="AO27" s="71">
        <f t="shared" si="18"/>
        <v>72</v>
      </c>
      <c r="AP27" s="56" t="str">
        <f t="shared" si="19"/>
        <v>B</v>
      </c>
      <c r="AQ27" s="59"/>
      <c r="AR27" s="57">
        <f t="shared" si="20"/>
        <v>80.9</v>
      </c>
      <c r="AS27" s="72">
        <f t="shared" si="21"/>
        <v>1</v>
      </c>
      <c r="AT27" s="73" t="s">
        <v>90</v>
      </c>
      <c r="AU27" s="73" t="s">
        <v>86</v>
      </c>
      <c r="AV27" s="73" t="s">
        <v>90</v>
      </c>
      <c r="AW27" s="73" t="s">
        <v>90</v>
      </c>
      <c r="AX27" s="73" t="s">
        <v>85</v>
      </c>
      <c r="AY27" s="80" t="s">
        <v>133</v>
      </c>
    </row>
    <row r="28" ht="15.75" customHeight="1">
      <c r="A28" s="42">
        <v>24.0</v>
      </c>
      <c r="B28" s="62" t="s">
        <v>134</v>
      </c>
      <c r="C28" s="63">
        <v>35.0</v>
      </c>
      <c r="D28" s="63">
        <v>44.0</v>
      </c>
      <c r="E28" s="56">
        <f t="shared" si="1"/>
        <v>79</v>
      </c>
      <c r="F28" s="56" t="str">
        <f>VLOOKUP(E28,$B$44:$C$52,2)</f>
        <v>B</v>
      </c>
      <c r="G28" s="75">
        <v>25.0</v>
      </c>
      <c r="H28" s="76">
        <v>44.0</v>
      </c>
      <c r="I28" s="56">
        <f t="shared" si="3"/>
        <v>69</v>
      </c>
      <c r="J28" s="56" t="str">
        <f t="shared" si="4"/>
        <v>C</v>
      </c>
      <c r="K28" s="56"/>
      <c r="L28" s="66">
        <v>48.0</v>
      </c>
      <c r="M28" s="56">
        <f t="shared" si="5"/>
        <v>48</v>
      </c>
      <c r="N28" s="77" t="str">
        <f t="shared" si="6"/>
        <v>E</v>
      </c>
      <c r="O28" s="66">
        <v>31.0</v>
      </c>
      <c r="P28" s="66">
        <v>43.0</v>
      </c>
      <c r="Q28" s="56">
        <f t="shared" si="7"/>
        <v>74</v>
      </c>
      <c r="R28" s="56" t="str">
        <f t="shared" si="8"/>
        <v>B</v>
      </c>
      <c r="S28" s="66">
        <v>31.0</v>
      </c>
      <c r="T28" s="66">
        <v>42.0</v>
      </c>
      <c r="U28" s="56">
        <f t="shared" si="9"/>
        <v>73</v>
      </c>
      <c r="V28" s="56" t="str">
        <f t="shared" si="10"/>
        <v>B</v>
      </c>
      <c r="W28" s="75">
        <v>32.0</v>
      </c>
      <c r="X28" s="66">
        <v>40.0</v>
      </c>
      <c r="Y28" s="56">
        <f t="shared" si="23"/>
        <v>72</v>
      </c>
      <c r="Z28" s="56" t="str">
        <f t="shared" si="12"/>
        <v>B</v>
      </c>
      <c r="AA28" s="67">
        <v>28.0</v>
      </c>
      <c r="AB28" s="68">
        <v>50.0</v>
      </c>
      <c r="AC28" s="59">
        <f t="shared" si="13"/>
        <v>78</v>
      </c>
      <c r="AD28" s="56" t="str">
        <f t="shared" si="14"/>
        <v>B</v>
      </c>
      <c r="AE28" s="75">
        <v>27.0</v>
      </c>
      <c r="AF28" s="76">
        <v>51.0</v>
      </c>
      <c r="AG28" s="59">
        <f t="shared" si="22"/>
        <v>78</v>
      </c>
      <c r="AH28" s="56" t="str">
        <f t="shared" si="15"/>
        <v>B</v>
      </c>
      <c r="AI28" s="78">
        <v>38.0</v>
      </c>
      <c r="AJ28" s="68">
        <v>43.0</v>
      </c>
      <c r="AK28" s="59">
        <f t="shared" si="16"/>
        <v>81</v>
      </c>
      <c r="AL28" s="56" t="str">
        <f t="shared" si="17"/>
        <v>A</v>
      </c>
      <c r="AM28" s="79">
        <v>20.0</v>
      </c>
      <c r="AN28" s="68">
        <v>39.0</v>
      </c>
      <c r="AO28" s="71">
        <f t="shared" si="18"/>
        <v>59</v>
      </c>
      <c r="AP28" s="56" t="str">
        <f t="shared" si="19"/>
        <v>D</v>
      </c>
      <c r="AQ28" s="59"/>
      <c r="AR28" s="57">
        <f t="shared" si="20"/>
        <v>71.1</v>
      </c>
      <c r="AS28" s="72">
        <f t="shared" si="21"/>
        <v>8</v>
      </c>
      <c r="AT28" s="73" t="s">
        <v>90</v>
      </c>
      <c r="AU28" s="73" t="s">
        <v>85</v>
      </c>
      <c r="AV28" s="73" t="s">
        <v>90</v>
      </c>
      <c r="AW28" s="73" t="s">
        <v>90</v>
      </c>
      <c r="AX28" s="73" t="s">
        <v>85</v>
      </c>
      <c r="AY28" s="80" t="s">
        <v>135</v>
      </c>
    </row>
    <row r="29" ht="15.75" customHeight="1">
      <c r="A29" s="42">
        <v>25.0</v>
      </c>
      <c r="B29" s="87" t="s">
        <v>136</v>
      </c>
      <c r="C29" s="88"/>
      <c r="D29" s="88"/>
      <c r="E29" s="56"/>
      <c r="F29" s="56"/>
      <c r="G29" s="89"/>
      <c r="H29" s="90"/>
      <c r="I29" s="56"/>
      <c r="J29" s="56"/>
      <c r="K29" s="56"/>
      <c r="L29" s="56"/>
      <c r="M29" s="56"/>
      <c r="N29" s="56"/>
      <c r="O29" s="56"/>
      <c r="P29" s="56"/>
      <c r="Q29" s="56"/>
      <c r="R29" s="56"/>
      <c r="S29" s="56"/>
      <c r="T29" s="56"/>
      <c r="U29" s="56"/>
      <c r="V29" s="56"/>
      <c r="W29" s="89"/>
      <c r="X29" s="56"/>
      <c r="Y29" s="56"/>
      <c r="Z29" s="56"/>
      <c r="AA29" s="58"/>
      <c r="AB29" s="59"/>
      <c r="AC29" s="59"/>
      <c r="AD29" s="56"/>
      <c r="AE29" s="89"/>
      <c r="AF29" s="90"/>
      <c r="AG29" s="59"/>
      <c r="AH29" s="56"/>
      <c r="AI29" s="91"/>
      <c r="AJ29" s="59"/>
      <c r="AK29" s="59"/>
      <c r="AL29" s="56"/>
      <c r="AM29" s="89"/>
      <c r="AN29" s="59"/>
      <c r="AO29" s="59"/>
      <c r="AP29" s="56"/>
      <c r="AQ29" s="59"/>
      <c r="AR29" s="57"/>
      <c r="AS29" s="72"/>
      <c r="AT29" s="42"/>
      <c r="AU29" s="92"/>
      <c r="AV29" s="42"/>
      <c r="AW29" s="42"/>
      <c r="AX29" s="42"/>
      <c r="AY29" s="93"/>
    </row>
    <row r="30" ht="15.75" customHeight="1">
      <c r="A30" s="42">
        <v>26.0</v>
      </c>
      <c r="B30" s="87" t="s">
        <v>137</v>
      </c>
      <c r="C30" s="88"/>
      <c r="D30" s="88"/>
      <c r="E30" s="56"/>
      <c r="F30" s="56"/>
      <c r="G30" s="89"/>
      <c r="H30" s="90"/>
      <c r="I30" s="56"/>
      <c r="J30" s="56"/>
      <c r="K30" s="56"/>
      <c r="L30" s="56"/>
      <c r="M30" s="56"/>
      <c r="N30" s="56"/>
      <c r="O30" s="56"/>
      <c r="P30" s="56"/>
      <c r="Q30" s="56"/>
      <c r="R30" s="56"/>
      <c r="S30" s="56"/>
      <c r="T30" s="56"/>
      <c r="U30" s="56"/>
      <c r="V30" s="56"/>
      <c r="W30" s="89"/>
      <c r="X30" s="56"/>
      <c r="Y30" s="56"/>
      <c r="Z30" s="56"/>
      <c r="AA30" s="58"/>
      <c r="AB30" s="59"/>
      <c r="AC30" s="59"/>
      <c r="AD30" s="56"/>
      <c r="AE30" s="89"/>
      <c r="AF30" s="90"/>
      <c r="AG30" s="59"/>
      <c r="AH30" s="56"/>
      <c r="AI30" s="91"/>
      <c r="AJ30" s="59"/>
      <c r="AK30" s="59"/>
      <c r="AL30" s="56"/>
      <c r="AM30" s="89"/>
      <c r="AN30" s="59"/>
      <c r="AO30" s="59"/>
      <c r="AP30" s="56"/>
      <c r="AQ30" s="59"/>
      <c r="AR30" s="57"/>
      <c r="AS30" s="72"/>
      <c r="AT30" s="42"/>
      <c r="AU30" s="92"/>
      <c r="AV30" s="42"/>
      <c r="AW30" s="42"/>
      <c r="AX30" s="42"/>
      <c r="AY30" s="93"/>
    </row>
    <row r="31" ht="15.75" customHeight="1">
      <c r="A31" s="42">
        <v>27.0</v>
      </c>
      <c r="B31" s="94" t="s">
        <v>138</v>
      </c>
      <c r="C31" s="88"/>
      <c r="D31" s="88"/>
      <c r="E31" s="56"/>
      <c r="F31" s="56"/>
      <c r="G31" s="89"/>
      <c r="H31" s="90"/>
      <c r="I31" s="56"/>
      <c r="J31" s="56"/>
      <c r="K31" s="56"/>
      <c r="L31" s="56"/>
      <c r="M31" s="56"/>
      <c r="N31" s="56"/>
      <c r="O31" s="56"/>
      <c r="P31" s="56"/>
      <c r="Q31" s="56"/>
      <c r="R31" s="56"/>
      <c r="S31" s="56"/>
      <c r="T31" s="56"/>
      <c r="U31" s="56"/>
      <c r="V31" s="56"/>
      <c r="W31" s="89"/>
      <c r="X31" s="56"/>
      <c r="Y31" s="56"/>
      <c r="Z31" s="56"/>
      <c r="AA31" s="58"/>
      <c r="AB31" s="59"/>
      <c r="AC31" s="59"/>
      <c r="AD31" s="56"/>
      <c r="AE31" s="89"/>
      <c r="AF31" s="90"/>
      <c r="AG31" s="59"/>
      <c r="AH31" s="56"/>
      <c r="AI31" s="91"/>
      <c r="AJ31" s="59"/>
      <c r="AK31" s="59"/>
      <c r="AL31" s="56"/>
      <c r="AM31" s="89"/>
      <c r="AN31" s="59"/>
      <c r="AO31" s="59"/>
      <c r="AP31" s="56"/>
      <c r="AQ31" s="59"/>
      <c r="AR31" s="57"/>
      <c r="AS31" s="72"/>
      <c r="AT31" s="42"/>
      <c r="AU31" s="42"/>
      <c r="AV31" s="42"/>
      <c r="AW31" s="42"/>
      <c r="AX31" s="42"/>
      <c r="AY31" s="93"/>
    </row>
    <row r="32" ht="15.75" customHeight="1">
      <c r="A32" s="42">
        <v>28.0</v>
      </c>
      <c r="B32" s="95"/>
      <c r="C32" s="88"/>
      <c r="D32" s="88"/>
      <c r="E32" s="56"/>
      <c r="F32" s="56"/>
      <c r="G32" s="89"/>
      <c r="H32" s="90"/>
      <c r="I32" s="56"/>
      <c r="J32" s="56"/>
      <c r="K32" s="56"/>
      <c r="L32" s="56"/>
      <c r="M32" s="56"/>
      <c r="N32" s="56"/>
      <c r="O32" s="56"/>
      <c r="P32" s="56"/>
      <c r="Q32" s="56"/>
      <c r="R32" s="56"/>
      <c r="S32" s="56"/>
      <c r="T32" s="56"/>
      <c r="U32" s="56"/>
      <c r="V32" s="56"/>
      <c r="W32" s="89"/>
      <c r="X32" s="56"/>
      <c r="Y32" s="56"/>
      <c r="Z32" s="56"/>
      <c r="AA32" s="58"/>
      <c r="AB32" s="59"/>
      <c r="AC32" s="59"/>
      <c r="AD32" s="56"/>
      <c r="AE32" s="89"/>
      <c r="AF32" s="90"/>
      <c r="AG32" s="59"/>
      <c r="AH32" s="56"/>
      <c r="AI32" s="91"/>
      <c r="AJ32" s="59"/>
      <c r="AK32" s="59"/>
      <c r="AL32" s="56"/>
      <c r="AM32" s="89"/>
      <c r="AN32" s="59"/>
      <c r="AO32" s="59"/>
      <c r="AP32" s="56"/>
      <c r="AQ32" s="59"/>
      <c r="AR32" s="57"/>
      <c r="AS32" s="72"/>
      <c r="AT32" s="42"/>
      <c r="AU32" s="42"/>
      <c r="AV32" s="42"/>
      <c r="AW32" s="42"/>
      <c r="AX32" s="42"/>
      <c r="AY32" s="93"/>
    </row>
    <row r="33" ht="15.75" customHeight="1">
      <c r="A33" s="42"/>
      <c r="B33" s="96"/>
      <c r="C33" s="56"/>
      <c r="D33" s="56"/>
      <c r="E33" s="56"/>
      <c r="F33" s="56"/>
      <c r="G33" s="56"/>
      <c r="H33" s="56"/>
      <c r="I33" s="56"/>
      <c r="J33" s="56"/>
      <c r="K33" s="56"/>
      <c r="L33" s="56"/>
      <c r="M33" s="56"/>
      <c r="N33" s="56"/>
      <c r="O33" s="56"/>
      <c r="P33" s="56"/>
      <c r="Q33" s="56"/>
      <c r="R33" s="56"/>
      <c r="S33" s="56"/>
      <c r="T33" s="56"/>
      <c r="U33" s="56"/>
      <c r="V33" s="56"/>
      <c r="W33" s="56"/>
      <c r="X33" s="56"/>
      <c r="Y33" s="56"/>
      <c r="Z33" s="56"/>
      <c r="AA33" s="58"/>
      <c r="AB33" s="59"/>
      <c r="AC33" s="59"/>
      <c r="AD33" s="59"/>
      <c r="AE33" s="58"/>
      <c r="AF33" s="59"/>
      <c r="AG33" s="59"/>
      <c r="AH33" s="56" t="str">
        <f>VLOOKUP(AG33,$B$44:$C$52,2)</f>
        <v>U</v>
      </c>
      <c r="AI33" s="58"/>
      <c r="AJ33" s="59"/>
      <c r="AK33" s="59"/>
      <c r="AL33" s="59"/>
      <c r="AM33" s="58"/>
      <c r="AN33" s="59"/>
      <c r="AO33" s="59"/>
      <c r="AP33" s="59"/>
      <c r="AQ33" s="59"/>
      <c r="AR33" s="57"/>
      <c r="AS33" s="72"/>
      <c r="AT33" s="42"/>
      <c r="AU33" s="42"/>
      <c r="AV33" s="42"/>
      <c r="AW33" s="42"/>
      <c r="AX33" s="42"/>
      <c r="AY33" s="93"/>
    </row>
    <row r="34" ht="15.75" customHeight="1">
      <c r="A34" s="40"/>
      <c r="B34" s="97"/>
      <c r="C34" s="98"/>
      <c r="D34" s="38"/>
      <c r="E34" s="38"/>
      <c r="F34" s="98"/>
      <c r="G34" s="39"/>
      <c r="H34" s="39"/>
      <c r="I34" s="39"/>
      <c r="J34" s="39"/>
      <c r="K34" s="39"/>
      <c r="L34" s="39"/>
      <c r="M34" s="39"/>
      <c r="N34" s="39"/>
      <c r="O34" s="39"/>
      <c r="P34" s="39"/>
      <c r="Q34" s="39"/>
      <c r="R34" s="39"/>
      <c r="S34" s="39"/>
      <c r="T34" s="39"/>
      <c r="U34" s="37"/>
      <c r="V34" s="37"/>
      <c r="W34" s="40"/>
      <c r="X34" s="40"/>
      <c r="Y34" s="40"/>
      <c r="Z34" s="99"/>
      <c r="AQ34" s="100"/>
      <c r="AR34" s="99"/>
      <c r="AS34" s="39"/>
      <c r="AT34" s="40"/>
      <c r="AU34" s="40"/>
      <c r="AV34" s="40"/>
      <c r="AW34" s="40"/>
      <c r="AX34" s="40"/>
      <c r="AY34" s="40"/>
    </row>
    <row r="35" ht="15.75" customHeight="1">
      <c r="C35" s="98"/>
      <c r="D35" s="38"/>
      <c r="E35" s="38"/>
      <c r="F35" s="98"/>
      <c r="G35" s="39"/>
      <c r="H35" s="39"/>
      <c r="I35" s="39"/>
      <c r="J35" s="39"/>
      <c r="K35" s="39"/>
      <c r="L35" s="39"/>
      <c r="M35" s="39"/>
      <c r="N35" s="39"/>
      <c r="O35" s="39"/>
      <c r="P35" s="39"/>
      <c r="Q35" s="39"/>
      <c r="R35" s="39"/>
      <c r="S35" s="39"/>
      <c r="T35" s="39"/>
      <c r="AR35" s="61"/>
    </row>
    <row r="36" ht="15.75" customHeight="1">
      <c r="B36" s="101" t="s">
        <v>33</v>
      </c>
      <c r="C36" s="102"/>
      <c r="D36" s="103"/>
      <c r="E36" s="33">
        <f>AVERAGE(E5:E28)</f>
        <v>63.375</v>
      </c>
      <c r="F36" s="104"/>
      <c r="G36" s="33"/>
      <c r="H36" s="105"/>
      <c r="I36" s="33">
        <f>AVERAGE(I5:I28)</f>
        <v>46.45833333</v>
      </c>
      <c r="J36" s="105"/>
      <c r="K36" s="33"/>
      <c r="L36" s="105"/>
      <c r="M36" s="33">
        <f>AVERAGE(M5:M28)</f>
        <v>53.20833333</v>
      </c>
      <c r="N36" s="105"/>
      <c r="P36" s="105"/>
      <c r="Q36" s="33">
        <f>AVERAGE(Q5:Q28)</f>
        <v>67.66666667</v>
      </c>
      <c r="R36" s="105"/>
      <c r="S36" s="33"/>
      <c r="T36" s="105"/>
      <c r="U36" s="33">
        <f>AVERAGE(U5:U28)</f>
        <v>65.29166667</v>
      </c>
      <c r="V36" s="101"/>
      <c r="W36" s="33"/>
      <c r="X36" s="101"/>
      <c r="Y36" s="33">
        <f>AVERAGE(Y5:Y28)</f>
        <v>63.375</v>
      </c>
      <c r="Z36" s="101"/>
      <c r="AA36" s="101"/>
      <c r="AB36" s="101"/>
      <c r="AC36" s="33">
        <f>AVERAGE(AC5:AC28)</f>
        <v>61.33333333</v>
      </c>
      <c r="AD36" s="101"/>
      <c r="AE36" s="101"/>
      <c r="AF36" s="101"/>
      <c r="AG36" s="33">
        <f>AVERAGE(AG5:AG28)</f>
        <v>73.625</v>
      </c>
      <c r="AH36" s="101"/>
      <c r="AI36" s="101"/>
      <c r="AJ36" s="101"/>
      <c r="AK36" s="33">
        <f>AVERAGE(AK5:AK28)</f>
        <v>76.33333333</v>
      </c>
      <c r="AL36" s="101"/>
      <c r="AM36" s="101"/>
      <c r="AN36" s="101"/>
      <c r="AO36" s="33">
        <f>AVERAGE(AO5:AO28)</f>
        <v>66.94166667</v>
      </c>
      <c r="AP36" s="101"/>
      <c r="AQ36" s="101"/>
      <c r="AR36" s="106"/>
      <c r="AS36" s="101"/>
      <c r="AT36" s="101"/>
      <c r="AU36" s="101"/>
    </row>
    <row r="37" ht="15.75" customHeight="1">
      <c r="B37" s="101" t="s">
        <v>34</v>
      </c>
      <c r="C37" s="104"/>
      <c r="D37" s="103"/>
      <c r="E37" s="105">
        <f>COUNT(E5:E28)</f>
        <v>24</v>
      </c>
      <c r="F37" s="104"/>
      <c r="G37" s="105"/>
      <c r="H37" s="105"/>
      <c r="I37" s="105">
        <f>COUNT(I5:I28)</f>
        <v>24</v>
      </c>
      <c r="J37" s="105"/>
      <c r="K37" s="105"/>
      <c r="L37" s="105"/>
      <c r="M37" s="105">
        <f>COUNT(M5:M28)</f>
        <v>24</v>
      </c>
      <c r="N37" s="105"/>
      <c r="O37" s="105"/>
      <c r="P37" s="105"/>
      <c r="Q37" s="105">
        <f>COUNT(Q5:Q28)</f>
        <v>24</v>
      </c>
      <c r="R37" s="105"/>
      <c r="S37" s="105"/>
      <c r="T37" s="105"/>
      <c r="U37" s="105">
        <f>COUNT(U5:U28)</f>
        <v>24</v>
      </c>
      <c r="V37" s="101"/>
      <c r="W37" s="105"/>
      <c r="X37" s="101"/>
      <c r="Y37" s="105">
        <f>COUNT(Y5:Y28)</f>
        <v>24</v>
      </c>
      <c r="Z37" s="101"/>
      <c r="AA37" s="101"/>
      <c r="AB37" s="101"/>
      <c r="AC37" s="105">
        <f>COUNT(AC5:AC28)</f>
        <v>24</v>
      </c>
      <c r="AD37" s="101"/>
      <c r="AE37" s="101"/>
      <c r="AF37" s="101"/>
      <c r="AG37" s="105">
        <f>COUNT(AG5:AG28)</f>
        <v>24</v>
      </c>
      <c r="AH37" s="101"/>
      <c r="AI37" s="101"/>
      <c r="AJ37" s="101"/>
      <c r="AK37" s="105">
        <f>COUNT(AK5:AK28)</f>
        <v>24</v>
      </c>
      <c r="AL37" s="101"/>
      <c r="AM37" s="101"/>
      <c r="AN37" s="101"/>
      <c r="AO37" s="105">
        <f>COUNT(AO5:AO28)</f>
        <v>24</v>
      </c>
      <c r="AP37" s="101"/>
      <c r="AQ37" s="101"/>
      <c r="AR37" s="106"/>
      <c r="AS37" s="101"/>
      <c r="AT37" s="101"/>
      <c r="AU37" s="101"/>
    </row>
    <row r="38" ht="15.75" customHeight="1">
      <c r="B38" s="101" t="s">
        <v>35</v>
      </c>
      <c r="C38" s="104"/>
      <c r="D38" s="103"/>
      <c r="E38" s="105">
        <f>COUNTIF($E$5:$E$28,"&gt;49")</f>
        <v>21</v>
      </c>
      <c r="F38" s="104"/>
      <c r="G38" s="105"/>
      <c r="H38" s="105"/>
      <c r="I38" s="105">
        <f>COUNTIF($I$5:$I$28,"&gt;49")</f>
        <v>12</v>
      </c>
      <c r="J38" s="105"/>
      <c r="K38" s="105"/>
      <c r="L38" s="105"/>
      <c r="M38" s="105">
        <f>COUNTIF($M$5:$M$28,"&gt;49")</f>
        <v>11</v>
      </c>
      <c r="N38" s="105"/>
      <c r="O38" s="105"/>
      <c r="P38" s="105"/>
      <c r="Q38" s="105">
        <f>COUNTIF($Q$5:$Q$28,"&gt;49")</f>
        <v>21</v>
      </c>
      <c r="R38" s="105"/>
      <c r="S38" s="105"/>
      <c r="T38" s="105"/>
      <c r="U38" s="105">
        <f>COUNTIF($U$5:$U$28,"&gt;49")</f>
        <v>22</v>
      </c>
      <c r="V38" s="101"/>
      <c r="W38" s="105"/>
      <c r="X38" s="101"/>
      <c r="Y38" s="105">
        <f>COUNTIF($Y$5:$Y$28,"&gt;49")</f>
        <v>21</v>
      </c>
      <c r="Z38" s="101"/>
      <c r="AA38" s="101"/>
      <c r="AB38" s="101"/>
      <c r="AC38" s="105">
        <f>COUNTIF($AC$5:$AC$28,"&gt;49")</f>
        <v>15</v>
      </c>
      <c r="AD38" s="101"/>
      <c r="AE38" s="101"/>
      <c r="AF38" s="101"/>
      <c r="AG38" s="105">
        <f>COUNTIF($AG$5:$AG$28,"&gt;49")</f>
        <v>24</v>
      </c>
      <c r="AH38" s="101"/>
      <c r="AI38" s="101"/>
      <c r="AJ38" s="101"/>
      <c r="AK38" s="105">
        <f>COUNTIF($AK$5:$AK$28,"&gt;49")</f>
        <v>24</v>
      </c>
      <c r="AL38" s="101"/>
      <c r="AM38" s="101"/>
      <c r="AN38" s="101"/>
      <c r="AO38" s="105">
        <f>COUNTIF($AO$5:$AO$28,"&gt;49")</f>
        <v>22</v>
      </c>
      <c r="AP38" s="101"/>
      <c r="AQ38" s="101"/>
      <c r="AR38" s="106"/>
      <c r="AS38" s="101"/>
      <c r="AT38" s="101"/>
      <c r="AU38" s="101"/>
    </row>
    <row r="39" ht="15.75" customHeight="1">
      <c r="B39" s="101" t="s">
        <v>36</v>
      </c>
      <c r="C39" s="104"/>
      <c r="D39" s="103"/>
      <c r="E39" s="105">
        <f>COUNTIF(E5:E28,"&lt;50")</f>
        <v>3</v>
      </c>
      <c r="F39" s="104"/>
      <c r="G39" s="105"/>
      <c r="H39" s="105"/>
      <c r="I39" s="105">
        <f>COUNTIF(I5:I28,"&lt;50")</f>
        <v>12</v>
      </c>
      <c r="J39" s="105"/>
      <c r="K39" s="105"/>
      <c r="L39" s="105"/>
      <c r="M39" s="105">
        <f>COUNTIF(M5:M28,"&lt;50")</f>
        <v>13</v>
      </c>
      <c r="N39" s="105"/>
      <c r="O39" s="33"/>
      <c r="P39" s="105"/>
      <c r="Q39" s="105">
        <f>COUNTIF(Q5:Q28,"&lt;50")</f>
        <v>3</v>
      </c>
      <c r="R39" s="105"/>
      <c r="S39" s="105"/>
      <c r="T39" s="105"/>
      <c r="U39" s="105">
        <f>COUNTIF(U5:U28,"&lt;50")</f>
        <v>2</v>
      </c>
      <c r="V39" s="101"/>
      <c r="W39" s="105"/>
      <c r="X39" s="101"/>
      <c r="Y39" s="105">
        <f>COUNTIF(Y5:Y28,"&lt;50")</f>
        <v>3</v>
      </c>
      <c r="Z39" s="101"/>
      <c r="AA39" s="101"/>
      <c r="AB39" s="101"/>
      <c r="AC39" s="105">
        <f>COUNTIF(AC5:AC28,"&lt;50")</f>
        <v>9</v>
      </c>
      <c r="AD39" s="101"/>
      <c r="AE39" s="101"/>
      <c r="AF39" s="101"/>
      <c r="AG39" s="105">
        <f>COUNTIF(AG5:AG28,"&lt;50")</f>
        <v>0</v>
      </c>
      <c r="AH39" s="101"/>
      <c r="AI39" s="101"/>
      <c r="AJ39" s="101"/>
      <c r="AK39" s="105">
        <f>COUNTIF(AK5:AK28,"&lt;50")</f>
        <v>0</v>
      </c>
      <c r="AL39" s="101"/>
      <c r="AM39" s="101"/>
      <c r="AN39" s="101"/>
      <c r="AO39" s="105">
        <f>COUNTIF(AO5:AO28,"&lt;50")</f>
        <v>2</v>
      </c>
      <c r="AP39" s="101"/>
      <c r="AQ39" s="101"/>
      <c r="AR39" s="106"/>
      <c r="AS39" s="101"/>
      <c r="AT39" s="101"/>
      <c r="AU39" s="101"/>
    </row>
    <row r="40" ht="15.75" customHeight="1">
      <c r="B40" s="31" t="s">
        <v>37</v>
      </c>
      <c r="C40" s="107"/>
      <c r="D40" s="108"/>
      <c r="E40" s="32">
        <f>E38*100/E37</f>
        <v>87.5</v>
      </c>
      <c r="F40" s="109"/>
      <c r="G40" s="32"/>
      <c r="H40" s="110"/>
      <c r="I40" s="32">
        <f>I38*100/I37</f>
        <v>50</v>
      </c>
      <c r="J40" s="110"/>
      <c r="K40" s="32"/>
      <c r="L40" s="110"/>
      <c r="M40" s="32">
        <f>M38*100/M37</f>
        <v>45.83333333</v>
      </c>
      <c r="N40" s="110"/>
      <c r="O40" s="32"/>
      <c r="P40" s="110"/>
      <c r="Q40" s="32">
        <f>Q38*100/Q37</f>
        <v>87.5</v>
      </c>
      <c r="R40" s="110"/>
      <c r="S40" s="32"/>
      <c r="T40" s="110"/>
      <c r="U40" s="32">
        <f>U38*100/U37</f>
        <v>91.66666667</v>
      </c>
      <c r="V40" s="31"/>
      <c r="W40" s="32"/>
      <c r="X40" s="31"/>
      <c r="Y40" s="32">
        <f>Y38*100/Y37</f>
        <v>87.5</v>
      </c>
      <c r="Z40" s="31"/>
      <c r="AA40" s="31"/>
      <c r="AB40" s="31"/>
      <c r="AC40" s="32">
        <f>AC38*100/AC37</f>
        <v>62.5</v>
      </c>
      <c r="AD40" s="31"/>
      <c r="AE40" s="31"/>
      <c r="AF40" s="31"/>
      <c r="AG40" s="32">
        <f>AG38*100/AG37</f>
        <v>100</v>
      </c>
      <c r="AH40" s="31"/>
      <c r="AI40" s="31"/>
      <c r="AJ40" s="31"/>
      <c r="AK40" s="32">
        <f>AK38*100/AK37</f>
        <v>100</v>
      </c>
      <c r="AL40" s="31"/>
      <c r="AM40" s="31"/>
      <c r="AN40" s="31"/>
      <c r="AO40" s="32">
        <f>AO38*100/AO37</f>
        <v>91.66666667</v>
      </c>
      <c r="AP40" s="31"/>
      <c r="AQ40" s="31"/>
      <c r="AR40" s="111"/>
      <c r="AS40" s="31"/>
      <c r="AT40" s="31"/>
      <c r="AU40" s="31"/>
    </row>
    <row r="41" ht="15.75" customHeight="1">
      <c r="C41" s="98"/>
      <c r="D41" s="38"/>
      <c r="E41" s="38"/>
      <c r="F41" s="98"/>
      <c r="G41" s="39"/>
      <c r="H41" s="39"/>
      <c r="I41" s="39"/>
      <c r="J41" s="39"/>
      <c r="K41" s="39"/>
      <c r="L41" s="39"/>
      <c r="M41" s="39"/>
      <c r="N41" s="39"/>
      <c r="O41" s="39"/>
      <c r="P41" s="39"/>
      <c r="Q41" s="39"/>
      <c r="R41" s="39"/>
      <c r="S41" s="39"/>
      <c r="T41" s="39"/>
      <c r="AR41" s="61"/>
    </row>
    <row r="42" ht="15.75" customHeight="1">
      <c r="C42" s="98"/>
      <c r="D42" s="38"/>
      <c r="E42" s="38"/>
      <c r="F42" s="98"/>
      <c r="G42" s="39"/>
      <c r="H42" s="39"/>
      <c r="I42" s="39"/>
      <c r="J42" s="39"/>
      <c r="K42" s="39"/>
      <c r="L42" s="39"/>
      <c r="M42" s="39"/>
      <c r="N42" s="39"/>
      <c r="O42" s="39"/>
      <c r="P42" s="39"/>
      <c r="Q42" s="39"/>
      <c r="R42" s="39"/>
      <c r="S42" s="39"/>
      <c r="T42" s="39"/>
      <c r="AR42" s="61"/>
    </row>
    <row r="43" ht="15.75" customHeight="1">
      <c r="C43" s="98"/>
      <c r="D43" s="112"/>
      <c r="E43" s="38"/>
      <c r="F43" s="98"/>
      <c r="G43" s="39"/>
      <c r="H43" s="39"/>
      <c r="I43" s="39"/>
      <c r="J43" s="39"/>
      <c r="K43" s="39"/>
      <c r="L43" s="39"/>
      <c r="M43" s="39"/>
      <c r="N43" s="39"/>
      <c r="O43" s="39"/>
      <c r="P43" s="39"/>
      <c r="Q43" s="39"/>
      <c r="R43" s="39"/>
      <c r="S43" s="39"/>
      <c r="T43" s="39"/>
      <c r="AR43" s="61"/>
    </row>
    <row r="44" ht="15.75" customHeight="1">
      <c r="A44" s="26" t="s">
        <v>139</v>
      </c>
      <c r="B44" s="26">
        <v>0.0</v>
      </c>
      <c r="C44" s="113" t="s">
        <v>140</v>
      </c>
      <c r="D44" s="112"/>
      <c r="E44" s="38"/>
      <c r="F44" s="98"/>
      <c r="G44" s="39"/>
      <c r="H44" s="39"/>
      <c r="I44" s="39"/>
      <c r="J44" s="39"/>
      <c r="K44" s="39"/>
      <c r="L44" s="39"/>
      <c r="M44" s="39"/>
      <c r="N44" s="39"/>
      <c r="O44" s="39"/>
      <c r="P44" s="39"/>
      <c r="Q44" s="39"/>
      <c r="R44" s="39"/>
      <c r="S44" s="39"/>
      <c r="T44" s="39"/>
      <c r="AR44" s="61"/>
    </row>
    <row r="45" ht="15.75" customHeight="1">
      <c r="A45" s="26" t="s">
        <v>141</v>
      </c>
      <c r="B45" s="26">
        <v>20.0</v>
      </c>
      <c r="C45" s="113" t="s">
        <v>142</v>
      </c>
      <c r="D45" s="38"/>
      <c r="E45" s="38"/>
      <c r="F45" s="98"/>
      <c r="G45" s="39"/>
      <c r="H45" s="39"/>
      <c r="I45" s="39"/>
      <c r="J45" s="39"/>
      <c r="K45" s="39"/>
      <c r="L45" s="39"/>
      <c r="M45" s="39"/>
      <c r="N45" s="39"/>
      <c r="O45" s="39"/>
      <c r="P45" s="39"/>
      <c r="Q45" s="39"/>
      <c r="R45" s="39"/>
      <c r="S45" s="39"/>
      <c r="T45" s="39"/>
      <c r="AR45" s="61"/>
    </row>
    <row r="46" ht="15.75" customHeight="1">
      <c r="A46" s="114" t="s">
        <v>143</v>
      </c>
      <c r="B46" s="115">
        <v>30.0</v>
      </c>
      <c r="C46" s="114" t="s">
        <v>144</v>
      </c>
      <c r="D46" s="38"/>
      <c r="E46" s="38"/>
      <c r="F46" s="98"/>
      <c r="G46" s="39"/>
      <c r="H46" s="39"/>
      <c r="I46" s="39"/>
      <c r="J46" s="39"/>
      <c r="K46" s="39"/>
      <c r="L46" s="39"/>
      <c r="M46" s="39"/>
      <c r="N46" s="39"/>
      <c r="O46" s="39"/>
      <c r="P46" s="39"/>
      <c r="Q46" s="39"/>
      <c r="R46" s="39"/>
      <c r="S46" s="39"/>
      <c r="T46" s="39"/>
      <c r="AR46" s="61"/>
    </row>
    <row r="47" ht="15.75" customHeight="1">
      <c r="A47" s="114" t="s">
        <v>145</v>
      </c>
      <c r="B47" s="115">
        <v>40.0</v>
      </c>
      <c r="C47" s="114" t="s">
        <v>146</v>
      </c>
      <c r="D47" s="38"/>
      <c r="E47" s="38"/>
      <c r="F47" s="98"/>
      <c r="G47" s="39"/>
      <c r="H47" s="39"/>
      <c r="I47" s="39"/>
      <c r="J47" s="39"/>
      <c r="K47" s="39"/>
      <c r="L47" s="39"/>
      <c r="M47" s="39"/>
      <c r="N47" s="39"/>
      <c r="O47" s="39"/>
      <c r="P47" s="39"/>
      <c r="Q47" s="39"/>
      <c r="R47" s="39"/>
      <c r="S47" s="39"/>
      <c r="T47" s="39"/>
      <c r="AR47" s="61"/>
    </row>
    <row r="48" ht="15.75" customHeight="1">
      <c r="A48" s="114" t="s">
        <v>147</v>
      </c>
      <c r="B48" s="115">
        <v>50.0</v>
      </c>
      <c r="C48" s="114" t="s">
        <v>93</v>
      </c>
      <c r="D48" s="38"/>
      <c r="E48" s="38"/>
      <c r="F48" s="98"/>
      <c r="G48" s="39"/>
      <c r="H48" s="39"/>
      <c r="I48" s="39"/>
      <c r="J48" s="39"/>
      <c r="K48" s="39"/>
      <c r="L48" s="39"/>
      <c r="M48" s="39"/>
      <c r="N48" s="39"/>
      <c r="O48" s="39"/>
      <c r="P48" s="39"/>
      <c r="Q48" s="39"/>
      <c r="R48" s="39"/>
      <c r="S48" s="39"/>
      <c r="T48" s="39"/>
      <c r="AR48" s="61"/>
    </row>
    <row r="49" ht="15.75" customHeight="1">
      <c r="A49" s="114" t="s">
        <v>148</v>
      </c>
      <c r="B49" s="115">
        <v>60.0</v>
      </c>
      <c r="C49" s="114" t="s">
        <v>90</v>
      </c>
      <c r="D49" s="38"/>
      <c r="E49" s="38"/>
      <c r="F49" s="98"/>
      <c r="G49" s="39"/>
      <c r="H49" s="39"/>
      <c r="I49" s="39"/>
      <c r="J49" s="39"/>
      <c r="K49" s="39"/>
      <c r="L49" s="39"/>
      <c r="M49" s="39"/>
      <c r="N49" s="39"/>
      <c r="O49" s="39"/>
      <c r="P49" s="39"/>
      <c r="Q49" s="39"/>
      <c r="R49" s="39"/>
      <c r="S49" s="39"/>
      <c r="T49" s="39"/>
      <c r="AR49" s="61"/>
    </row>
    <row r="50" ht="15.75" customHeight="1">
      <c r="A50" s="114" t="s">
        <v>149</v>
      </c>
      <c r="B50" s="115">
        <v>70.0</v>
      </c>
      <c r="C50" s="114" t="s">
        <v>87</v>
      </c>
      <c r="D50" s="38"/>
      <c r="E50" s="38"/>
      <c r="F50" s="98"/>
      <c r="G50" s="39"/>
      <c r="H50" s="39"/>
      <c r="I50" s="39"/>
      <c r="J50" s="39"/>
      <c r="K50" s="39"/>
      <c r="L50" s="39"/>
      <c r="M50" s="39"/>
      <c r="N50" s="39"/>
      <c r="O50" s="39"/>
      <c r="P50" s="39"/>
      <c r="Q50" s="39"/>
      <c r="R50" s="39"/>
      <c r="S50" s="39"/>
      <c r="T50" s="39"/>
      <c r="AR50" s="61"/>
    </row>
    <row r="51" ht="15.75" customHeight="1">
      <c r="A51" s="116" t="s">
        <v>150</v>
      </c>
      <c r="B51" s="117">
        <v>80.0</v>
      </c>
      <c r="C51" s="116" t="s">
        <v>85</v>
      </c>
      <c r="D51" s="38"/>
      <c r="E51" s="38"/>
      <c r="F51" s="98"/>
      <c r="G51" s="39"/>
      <c r="H51" s="39"/>
      <c r="I51" s="39"/>
      <c r="J51" s="39"/>
      <c r="K51" s="39"/>
      <c r="L51" s="39"/>
      <c r="M51" s="39"/>
      <c r="N51" s="39"/>
      <c r="O51" s="39"/>
      <c r="P51" s="39"/>
      <c r="Q51" s="39"/>
      <c r="R51" s="39"/>
      <c r="S51" s="39"/>
      <c r="T51" s="39"/>
      <c r="AR51" s="61"/>
    </row>
    <row r="52" ht="15.75" customHeight="1">
      <c r="A52" s="116" t="s">
        <v>151</v>
      </c>
      <c r="B52" s="117">
        <v>90.0</v>
      </c>
      <c r="C52" s="116" t="s">
        <v>152</v>
      </c>
      <c r="D52" s="38"/>
      <c r="E52" s="38"/>
      <c r="F52" s="98"/>
      <c r="G52" s="39"/>
      <c r="H52" s="39"/>
      <c r="I52" s="39"/>
      <c r="J52" s="39"/>
      <c r="K52" s="39"/>
      <c r="L52" s="39"/>
      <c r="M52" s="39"/>
      <c r="N52" s="39"/>
      <c r="O52" s="39"/>
      <c r="P52" s="39"/>
      <c r="Q52" s="39"/>
      <c r="R52" s="39"/>
      <c r="S52" s="39"/>
      <c r="T52" s="39"/>
      <c r="AR52" s="61"/>
    </row>
    <row r="53" ht="15.75" customHeight="1">
      <c r="C53" s="98"/>
      <c r="D53" s="38"/>
      <c r="E53" s="38"/>
      <c r="F53" s="98"/>
      <c r="G53" s="39"/>
      <c r="H53" s="39"/>
      <c r="I53" s="39"/>
      <c r="J53" s="39"/>
      <c r="K53" s="39"/>
      <c r="L53" s="39"/>
      <c r="M53" s="39"/>
      <c r="N53" s="39"/>
      <c r="O53" s="39"/>
      <c r="P53" s="39"/>
      <c r="Q53" s="39"/>
      <c r="R53" s="39"/>
      <c r="S53" s="39"/>
      <c r="T53" s="39"/>
      <c r="AR53" s="61"/>
    </row>
    <row r="54" ht="15.75" customHeight="1">
      <c r="C54" s="98"/>
      <c r="D54" s="38"/>
      <c r="E54" s="38"/>
      <c r="F54" s="98"/>
      <c r="G54" s="39"/>
      <c r="H54" s="39"/>
      <c r="I54" s="39"/>
      <c r="J54" s="39"/>
      <c r="K54" s="39"/>
      <c r="L54" s="39"/>
      <c r="M54" s="39"/>
      <c r="N54" s="39"/>
      <c r="O54" s="39"/>
      <c r="P54" s="39"/>
      <c r="Q54" s="39"/>
      <c r="R54" s="39"/>
      <c r="S54" s="39"/>
      <c r="T54" s="39"/>
      <c r="AR54" s="61"/>
    </row>
    <row r="55" ht="15.75" customHeight="1">
      <c r="C55" s="98"/>
      <c r="D55" s="38"/>
      <c r="E55" s="38"/>
      <c r="F55" s="98"/>
      <c r="G55" s="39"/>
      <c r="H55" s="39"/>
      <c r="I55" s="39"/>
      <c r="J55" s="39"/>
      <c r="K55" s="39"/>
      <c r="L55" s="39"/>
      <c r="M55" s="39"/>
      <c r="N55" s="39"/>
      <c r="O55" s="39"/>
      <c r="P55" s="39"/>
      <c r="Q55" s="39"/>
      <c r="R55" s="39"/>
      <c r="S55" s="39"/>
      <c r="T55" s="39"/>
      <c r="AR55" s="61"/>
    </row>
    <row r="56" ht="15.75" customHeight="1">
      <c r="C56" s="98"/>
      <c r="D56" s="38"/>
      <c r="E56" s="38"/>
      <c r="F56" s="98"/>
      <c r="G56" s="39"/>
      <c r="H56" s="39"/>
      <c r="I56" s="39"/>
      <c r="J56" s="39"/>
      <c r="K56" s="39"/>
      <c r="L56" s="39"/>
      <c r="M56" s="39"/>
      <c r="N56" s="39"/>
      <c r="O56" s="39"/>
      <c r="P56" s="39"/>
      <c r="Q56" s="39"/>
      <c r="R56" s="39"/>
      <c r="S56" s="39"/>
      <c r="T56" s="39"/>
      <c r="AR56" s="61"/>
    </row>
    <row r="57" ht="15.75" customHeight="1">
      <c r="C57" s="98"/>
      <c r="D57" s="38"/>
      <c r="E57" s="38"/>
      <c r="F57" s="98"/>
      <c r="G57" s="39"/>
      <c r="H57" s="39"/>
      <c r="I57" s="39"/>
      <c r="J57" s="39"/>
      <c r="K57" s="39"/>
      <c r="L57" s="39"/>
      <c r="M57" s="39"/>
      <c r="N57" s="39"/>
      <c r="O57" s="39"/>
      <c r="P57" s="39"/>
      <c r="Q57" s="39"/>
      <c r="R57" s="39"/>
      <c r="S57" s="39"/>
      <c r="T57" s="39"/>
      <c r="AR57" s="61"/>
    </row>
    <row r="58" ht="15.75" customHeight="1">
      <c r="C58" s="98"/>
      <c r="D58" s="38"/>
      <c r="E58" s="38"/>
      <c r="F58" s="98"/>
      <c r="G58" s="39"/>
      <c r="H58" s="39"/>
      <c r="I58" s="39"/>
      <c r="J58" s="39"/>
      <c r="K58" s="39"/>
      <c r="L58" s="39"/>
      <c r="M58" s="39"/>
      <c r="N58" s="39"/>
      <c r="O58" s="39"/>
      <c r="P58" s="39"/>
      <c r="Q58" s="39"/>
      <c r="R58" s="39"/>
      <c r="S58" s="39"/>
      <c r="T58" s="39"/>
      <c r="AR58" s="61"/>
    </row>
    <row r="59" ht="15.75" customHeight="1">
      <c r="C59" s="98"/>
      <c r="D59" s="38"/>
      <c r="E59" s="38"/>
      <c r="F59" s="98"/>
      <c r="G59" s="39"/>
      <c r="H59" s="39"/>
      <c r="I59" s="39"/>
      <c r="J59" s="39"/>
      <c r="K59" s="39"/>
      <c r="L59" s="39"/>
      <c r="M59" s="39"/>
      <c r="N59" s="39"/>
      <c r="O59" s="39"/>
      <c r="P59" s="39"/>
      <c r="Q59" s="39"/>
      <c r="R59" s="39"/>
      <c r="S59" s="39"/>
      <c r="T59" s="39"/>
      <c r="AR59" s="61"/>
    </row>
    <row r="60" ht="15.75" customHeight="1">
      <c r="C60" s="98"/>
      <c r="D60" s="38"/>
      <c r="E60" s="38"/>
      <c r="F60" s="98"/>
      <c r="G60" s="39"/>
      <c r="H60" s="39"/>
      <c r="I60" s="39"/>
      <c r="J60" s="39"/>
      <c r="K60" s="39"/>
      <c r="L60" s="39"/>
      <c r="M60" s="39"/>
      <c r="N60" s="39"/>
      <c r="O60" s="39"/>
      <c r="P60" s="39"/>
      <c r="Q60" s="39"/>
      <c r="R60" s="39"/>
      <c r="S60" s="39"/>
      <c r="T60" s="39"/>
      <c r="AR60" s="61"/>
    </row>
    <row r="61" ht="15.75" customHeight="1">
      <c r="C61" s="98"/>
      <c r="D61" s="38"/>
      <c r="E61" s="38"/>
      <c r="F61" s="98"/>
      <c r="G61" s="39"/>
      <c r="H61" s="39"/>
      <c r="I61" s="39"/>
      <c r="J61" s="39"/>
      <c r="K61" s="39"/>
      <c r="L61" s="39"/>
      <c r="M61" s="39"/>
      <c r="N61" s="39"/>
      <c r="O61" s="39"/>
      <c r="P61" s="39"/>
      <c r="Q61" s="39"/>
      <c r="R61" s="39"/>
      <c r="S61" s="39"/>
      <c r="T61" s="39"/>
      <c r="AR61" s="61"/>
    </row>
    <row r="62" ht="15.75" customHeight="1">
      <c r="C62" s="98"/>
      <c r="D62" s="38"/>
      <c r="E62" s="38"/>
      <c r="F62" s="98"/>
      <c r="G62" s="39"/>
      <c r="H62" s="39"/>
      <c r="I62" s="39"/>
      <c r="J62" s="39"/>
      <c r="K62" s="39"/>
      <c r="L62" s="39"/>
      <c r="M62" s="39"/>
      <c r="N62" s="39"/>
      <c r="O62" s="39"/>
      <c r="P62" s="39"/>
      <c r="Q62" s="39"/>
      <c r="R62" s="39"/>
      <c r="S62" s="39"/>
      <c r="T62" s="39"/>
      <c r="AR62" s="61"/>
    </row>
    <row r="63" ht="15.75" customHeight="1">
      <c r="C63" s="98"/>
      <c r="D63" s="38"/>
      <c r="E63" s="38"/>
      <c r="F63" s="98"/>
      <c r="G63" s="39"/>
      <c r="H63" s="39"/>
      <c r="I63" s="39"/>
      <c r="J63" s="39"/>
      <c r="K63" s="39"/>
      <c r="L63" s="39"/>
      <c r="M63" s="39"/>
      <c r="N63" s="39"/>
      <c r="O63" s="39"/>
      <c r="P63" s="39"/>
      <c r="Q63" s="39"/>
      <c r="R63" s="39"/>
      <c r="S63" s="39"/>
      <c r="T63" s="39"/>
      <c r="AR63" s="61"/>
    </row>
    <row r="64" ht="15.75" customHeight="1">
      <c r="C64" s="98"/>
      <c r="D64" s="38"/>
      <c r="E64" s="38"/>
      <c r="F64" s="98"/>
      <c r="G64" s="39"/>
      <c r="H64" s="39"/>
      <c r="I64" s="39"/>
      <c r="J64" s="39"/>
      <c r="K64" s="39"/>
      <c r="L64" s="39"/>
      <c r="M64" s="39"/>
      <c r="N64" s="39"/>
      <c r="O64" s="39"/>
      <c r="P64" s="39"/>
      <c r="Q64" s="39"/>
      <c r="R64" s="39"/>
      <c r="S64" s="39"/>
      <c r="T64" s="39"/>
      <c r="AR64" s="61"/>
    </row>
    <row r="65" ht="15.75" customHeight="1">
      <c r="C65" s="98"/>
      <c r="D65" s="38"/>
      <c r="E65" s="38"/>
      <c r="F65" s="98"/>
      <c r="G65" s="39"/>
      <c r="H65" s="39"/>
      <c r="I65" s="39"/>
      <c r="J65" s="39"/>
      <c r="K65" s="39"/>
      <c r="L65" s="39"/>
      <c r="M65" s="39"/>
      <c r="N65" s="39"/>
      <c r="O65" s="39"/>
      <c r="P65" s="39"/>
      <c r="Q65" s="39"/>
      <c r="R65" s="39"/>
      <c r="S65" s="39"/>
      <c r="T65" s="39"/>
      <c r="AR65" s="61"/>
    </row>
    <row r="66" ht="15.75" customHeight="1">
      <c r="C66" s="98"/>
      <c r="D66" s="38"/>
      <c r="E66" s="38"/>
      <c r="F66" s="98"/>
      <c r="G66" s="39"/>
      <c r="H66" s="39"/>
      <c r="I66" s="39"/>
      <c r="J66" s="39"/>
      <c r="K66" s="39"/>
      <c r="L66" s="39"/>
      <c r="M66" s="39"/>
      <c r="N66" s="39"/>
      <c r="O66" s="39"/>
      <c r="P66" s="39"/>
      <c r="Q66" s="39"/>
      <c r="R66" s="39"/>
      <c r="S66" s="39"/>
      <c r="T66" s="39"/>
      <c r="AR66" s="61"/>
    </row>
    <row r="67" ht="15.75" customHeight="1">
      <c r="C67" s="98"/>
      <c r="D67" s="38"/>
      <c r="E67" s="38"/>
      <c r="F67" s="98"/>
      <c r="G67" s="39"/>
      <c r="H67" s="39"/>
      <c r="I67" s="39"/>
      <c r="J67" s="39"/>
      <c r="K67" s="39"/>
      <c r="L67" s="39"/>
      <c r="M67" s="39"/>
      <c r="N67" s="39"/>
      <c r="O67" s="39"/>
      <c r="P67" s="39"/>
      <c r="Q67" s="39"/>
      <c r="R67" s="39"/>
      <c r="S67" s="39"/>
      <c r="T67" s="39"/>
      <c r="AR67" s="61"/>
    </row>
    <row r="68" ht="15.75" customHeight="1">
      <c r="C68" s="98"/>
      <c r="D68" s="38"/>
      <c r="E68" s="38"/>
      <c r="F68" s="98"/>
      <c r="G68" s="39"/>
      <c r="H68" s="39"/>
      <c r="I68" s="39"/>
      <c r="J68" s="39"/>
      <c r="K68" s="39"/>
      <c r="L68" s="39"/>
      <c r="M68" s="39"/>
      <c r="N68" s="39"/>
      <c r="O68" s="39"/>
      <c r="P68" s="39"/>
      <c r="Q68" s="39"/>
      <c r="R68" s="39"/>
      <c r="S68" s="39"/>
      <c r="T68" s="39"/>
      <c r="AR68" s="61"/>
    </row>
    <row r="69" ht="15.75" customHeight="1">
      <c r="C69" s="98"/>
      <c r="D69" s="38"/>
      <c r="E69" s="38"/>
      <c r="F69" s="98"/>
      <c r="G69" s="39"/>
      <c r="H69" s="39"/>
      <c r="I69" s="39"/>
      <c r="J69" s="39"/>
      <c r="K69" s="39"/>
      <c r="L69" s="39"/>
      <c r="M69" s="39"/>
      <c r="N69" s="39"/>
      <c r="O69" s="39"/>
      <c r="P69" s="39"/>
      <c r="Q69" s="39"/>
      <c r="R69" s="39"/>
      <c r="S69" s="39"/>
      <c r="T69" s="39"/>
      <c r="AR69" s="61"/>
    </row>
    <row r="70" ht="15.75" customHeight="1">
      <c r="C70" s="98"/>
      <c r="D70" s="38"/>
      <c r="E70" s="38"/>
      <c r="F70" s="98"/>
      <c r="G70" s="39"/>
      <c r="H70" s="39"/>
      <c r="I70" s="39"/>
      <c r="J70" s="39"/>
      <c r="K70" s="39"/>
      <c r="L70" s="39"/>
      <c r="M70" s="39"/>
      <c r="N70" s="39"/>
      <c r="O70" s="39"/>
      <c r="P70" s="39"/>
      <c r="Q70" s="39"/>
      <c r="R70" s="39"/>
      <c r="S70" s="39"/>
      <c r="T70" s="39"/>
      <c r="AR70" s="61"/>
    </row>
    <row r="71" ht="15.75" customHeight="1">
      <c r="C71" s="98"/>
      <c r="D71" s="38"/>
      <c r="E71" s="38"/>
      <c r="F71" s="98"/>
      <c r="G71" s="39"/>
      <c r="H71" s="39"/>
      <c r="I71" s="39"/>
      <c r="J71" s="39"/>
      <c r="K71" s="39"/>
      <c r="L71" s="39"/>
      <c r="M71" s="39"/>
      <c r="N71" s="39"/>
      <c r="O71" s="39"/>
      <c r="P71" s="39"/>
      <c r="Q71" s="39"/>
      <c r="R71" s="39"/>
      <c r="S71" s="39"/>
      <c r="T71" s="39"/>
      <c r="AR71" s="61"/>
    </row>
    <row r="72" ht="15.75" customHeight="1">
      <c r="C72" s="98"/>
      <c r="D72" s="38"/>
      <c r="E72" s="38"/>
      <c r="F72" s="98"/>
      <c r="G72" s="39"/>
      <c r="H72" s="39"/>
      <c r="I72" s="39"/>
      <c r="J72" s="39"/>
      <c r="K72" s="39"/>
      <c r="L72" s="39"/>
      <c r="M72" s="39"/>
      <c r="N72" s="39"/>
      <c r="O72" s="39"/>
      <c r="P72" s="39"/>
      <c r="Q72" s="39"/>
      <c r="R72" s="39"/>
      <c r="S72" s="39"/>
      <c r="T72" s="39"/>
      <c r="AR72" s="61"/>
    </row>
    <row r="73" ht="15.75" customHeight="1">
      <c r="C73" s="98"/>
      <c r="D73" s="38"/>
      <c r="E73" s="38"/>
      <c r="F73" s="98"/>
      <c r="G73" s="39"/>
      <c r="H73" s="39"/>
      <c r="I73" s="39"/>
      <c r="J73" s="39"/>
      <c r="K73" s="39"/>
      <c r="L73" s="39"/>
      <c r="M73" s="39"/>
      <c r="N73" s="39"/>
      <c r="O73" s="39"/>
      <c r="P73" s="39"/>
      <c r="Q73" s="39"/>
      <c r="R73" s="39"/>
      <c r="S73" s="39"/>
      <c r="T73" s="39"/>
      <c r="AR73" s="61"/>
    </row>
    <row r="74" ht="15.75" customHeight="1">
      <c r="C74" s="98"/>
      <c r="D74" s="38"/>
      <c r="E74" s="38"/>
      <c r="F74" s="98"/>
      <c r="G74" s="39"/>
      <c r="H74" s="39"/>
      <c r="I74" s="39"/>
      <c r="J74" s="39"/>
      <c r="K74" s="39"/>
      <c r="L74" s="39"/>
      <c r="M74" s="39"/>
      <c r="N74" s="39"/>
      <c r="O74" s="39"/>
      <c r="P74" s="39"/>
      <c r="Q74" s="39"/>
      <c r="R74" s="39"/>
      <c r="S74" s="39"/>
      <c r="T74" s="39"/>
      <c r="AR74" s="61"/>
    </row>
    <row r="75" ht="15.75" customHeight="1">
      <c r="C75" s="98"/>
      <c r="D75" s="38"/>
      <c r="E75" s="38"/>
      <c r="F75" s="98"/>
      <c r="G75" s="39"/>
      <c r="H75" s="39"/>
      <c r="I75" s="39"/>
      <c r="J75" s="39"/>
      <c r="K75" s="39"/>
      <c r="L75" s="39"/>
      <c r="M75" s="39"/>
      <c r="N75" s="39"/>
      <c r="O75" s="39"/>
      <c r="P75" s="39"/>
      <c r="Q75" s="39"/>
      <c r="R75" s="39"/>
      <c r="S75" s="39"/>
      <c r="T75" s="39"/>
      <c r="AR75" s="61"/>
    </row>
    <row r="76" ht="15.75" customHeight="1">
      <c r="C76" s="98"/>
      <c r="D76" s="38"/>
      <c r="E76" s="38"/>
      <c r="F76" s="98"/>
      <c r="G76" s="39"/>
      <c r="H76" s="39"/>
      <c r="I76" s="39"/>
      <c r="J76" s="39"/>
      <c r="K76" s="39"/>
      <c r="L76" s="39"/>
      <c r="M76" s="39"/>
      <c r="N76" s="39"/>
      <c r="O76" s="39"/>
      <c r="P76" s="39"/>
      <c r="Q76" s="39"/>
      <c r="R76" s="39"/>
      <c r="S76" s="39"/>
      <c r="T76" s="39"/>
      <c r="AR76" s="61"/>
    </row>
    <row r="77" ht="15.75" customHeight="1">
      <c r="C77" s="98"/>
      <c r="D77" s="38"/>
      <c r="E77" s="38"/>
      <c r="F77" s="98"/>
      <c r="G77" s="39"/>
      <c r="H77" s="39"/>
      <c r="I77" s="39"/>
      <c r="J77" s="39"/>
      <c r="K77" s="39"/>
      <c r="L77" s="39"/>
      <c r="M77" s="39"/>
      <c r="N77" s="39"/>
      <c r="O77" s="39"/>
      <c r="P77" s="39"/>
      <c r="Q77" s="39"/>
      <c r="R77" s="39"/>
      <c r="S77" s="39"/>
      <c r="T77" s="39"/>
      <c r="AR77" s="61"/>
    </row>
    <row r="78" ht="15.75" customHeight="1">
      <c r="C78" s="98"/>
      <c r="D78" s="38"/>
      <c r="E78" s="38"/>
      <c r="F78" s="98"/>
      <c r="G78" s="39"/>
      <c r="H78" s="39"/>
      <c r="I78" s="39"/>
      <c r="J78" s="39"/>
      <c r="K78" s="39"/>
      <c r="L78" s="39"/>
      <c r="M78" s="39"/>
      <c r="N78" s="39"/>
      <c r="O78" s="39"/>
      <c r="P78" s="39"/>
      <c r="Q78" s="39"/>
      <c r="R78" s="39"/>
      <c r="S78" s="39"/>
      <c r="T78" s="39"/>
      <c r="AR78" s="61"/>
    </row>
    <row r="79" ht="15.75" customHeight="1">
      <c r="C79" s="98"/>
      <c r="D79" s="38"/>
      <c r="E79" s="38"/>
      <c r="F79" s="98"/>
      <c r="G79" s="39"/>
      <c r="H79" s="39"/>
      <c r="I79" s="39"/>
      <c r="J79" s="39"/>
      <c r="K79" s="39"/>
      <c r="L79" s="39"/>
      <c r="M79" s="39"/>
      <c r="N79" s="39"/>
      <c r="O79" s="39"/>
      <c r="P79" s="39"/>
      <c r="Q79" s="39"/>
      <c r="R79" s="39"/>
      <c r="S79" s="39"/>
      <c r="T79" s="39"/>
      <c r="AR79" s="61"/>
    </row>
    <row r="80" ht="15.75" customHeight="1">
      <c r="C80" s="98"/>
      <c r="D80" s="38"/>
      <c r="E80" s="38"/>
      <c r="F80" s="98"/>
      <c r="G80" s="39"/>
      <c r="H80" s="39"/>
      <c r="I80" s="39"/>
      <c r="J80" s="39"/>
      <c r="K80" s="39"/>
      <c r="L80" s="39"/>
      <c r="M80" s="39"/>
      <c r="N80" s="39"/>
      <c r="O80" s="39"/>
      <c r="P80" s="39"/>
      <c r="Q80" s="39"/>
      <c r="R80" s="39"/>
      <c r="S80" s="39"/>
      <c r="T80" s="39"/>
      <c r="AR80" s="61"/>
    </row>
    <row r="81" ht="15.75" customHeight="1">
      <c r="C81" s="98"/>
      <c r="D81" s="38"/>
      <c r="E81" s="38"/>
      <c r="F81" s="98"/>
      <c r="G81" s="39"/>
      <c r="H81" s="39"/>
      <c r="I81" s="39"/>
      <c r="J81" s="39"/>
      <c r="K81" s="39"/>
      <c r="L81" s="39"/>
      <c r="M81" s="39"/>
      <c r="N81" s="39"/>
      <c r="O81" s="39"/>
      <c r="P81" s="39"/>
      <c r="Q81" s="39"/>
      <c r="R81" s="39"/>
      <c r="S81" s="39"/>
      <c r="T81" s="39"/>
      <c r="AR81" s="61"/>
    </row>
    <row r="82" ht="15.75" customHeight="1">
      <c r="C82" s="98"/>
      <c r="D82" s="38"/>
      <c r="E82" s="38"/>
      <c r="F82" s="98"/>
      <c r="G82" s="39"/>
      <c r="H82" s="39"/>
      <c r="I82" s="39"/>
      <c r="J82" s="39"/>
      <c r="K82" s="39"/>
      <c r="L82" s="39"/>
      <c r="M82" s="39"/>
      <c r="N82" s="39"/>
      <c r="O82" s="39"/>
      <c r="P82" s="39"/>
      <c r="Q82" s="39"/>
      <c r="R82" s="39"/>
      <c r="S82" s="39"/>
      <c r="T82" s="39"/>
      <c r="AR82" s="61"/>
    </row>
    <row r="83" ht="15.75" customHeight="1">
      <c r="C83" s="98"/>
      <c r="D83" s="38"/>
      <c r="E83" s="38"/>
      <c r="F83" s="98"/>
      <c r="G83" s="39"/>
      <c r="H83" s="39"/>
      <c r="I83" s="39"/>
      <c r="J83" s="39"/>
      <c r="K83" s="39"/>
      <c r="L83" s="39"/>
      <c r="M83" s="39"/>
      <c r="N83" s="39"/>
      <c r="O83" s="39"/>
      <c r="P83" s="39"/>
      <c r="Q83" s="39"/>
      <c r="R83" s="39"/>
      <c r="S83" s="39"/>
      <c r="T83" s="39"/>
      <c r="AR83" s="61"/>
    </row>
    <row r="84" ht="15.75" customHeight="1">
      <c r="C84" s="98"/>
      <c r="D84" s="38"/>
      <c r="E84" s="38"/>
      <c r="F84" s="98"/>
      <c r="G84" s="39"/>
      <c r="H84" s="39"/>
      <c r="I84" s="39"/>
      <c r="J84" s="39"/>
      <c r="K84" s="39"/>
      <c r="L84" s="39"/>
      <c r="M84" s="39"/>
      <c r="N84" s="39"/>
      <c r="O84" s="39"/>
      <c r="P84" s="39"/>
      <c r="Q84" s="39"/>
      <c r="R84" s="39"/>
      <c r="S84" s="39"/>
      <c r="T84" s="39"/>
      <c r="AR84" s="61"/>
    </row>
    <row r="85" ht="15.75" customHeight="1">
      <c r="C85" s="98"/>
      <c r="D85" s="38"/>
      <c r="E85" s="38"/>
      <c r="F85" s="98"/>
      <c r="G85" s="39"/>
      <c r="H85" s="39"/>
      <c r="I85" s="39"/>
      <c r="J85" s="39"/>
      <c r="K85" s="39"/>
      <c r="L85" s="39"/>
      <c r="M85" s="39"/>
      <c r="N85" s="39"/>
      <c r="O85" s="39"/>
      <c r="P85" s="39"/>
      <c r="Q85" s="39"/>
      <c r="R85" s="39"/>
      <c r="S85" s="39"/>
      <c r="T85" s="39"/>
      <c r="AR85" s="61"/>
    </row>
    <row r="86" ht="15.75" customHeight="1">
      <c r="C86" s="98"/>
      <c r="D86" s="38"/>
      <c r="E86" s="38"/>
      <c r="F86" s="98"/>
      <c r="G86" s="39"/>
      <c r="H86" s="39"/>
      <c r="I86" s="39"/>
      <c r="J86" s="39"/>
      <c r="K86" s="39"/>
      <c r="L86" s="39"/>
      <c r="M86" s="39"/>
      <c r="N86" s="39"/>
      <c r="O86" s="39"/>
      <c r="P86" s="39"/>
      <c r="Q86" s="39"/>
      <c r="R86" s="39"/>
      <c r="S86" s="39"/>
      <c r="T86" s="39"/>
      <c r="AR86" s="61"/>
    </row>
    <row r="87" ht="15.75" customHeight="1">
      <c r="C87" s="98"/>
      <c r="D87" s="38"/>
      <c r="E87" s="38"/>
      <c r="F87" s="98"/>
      <c r="G87" s="39"/>
      <c r="H87" s="39"/>
      <c r="I87" s="39"/>
      <c r="J87" s="39"/>
      <c r="K87" s="39"/>
      <c r="L87" s="39"/>
      <c r="M87" s="39"/>
      <c r="N87" s="39"/>
      <c r="O87" s="39"/>
      <c r="P87" s="39"/>
      <c r="Q87" s="39"/>
      <c r="R87" s="39"/>
      <c r="S87" s="39"/>
      <c r="T87" s="39"/>
      <c r="AR87" s="61"/>
    </row>
    <row r="88" ht="15.75" customHeight="1">
      <c r="C88" s="98"/>
      <c r="D88" s="38"/>
      <c r="E88" s="38"/>
      <c r="F88" s="98"/>
      <c r="G88" s="39"/>
      <c r="H88" s="39"/>
      <c r="I88" s="39"/>
      <c r="J88" s="39"/>
      <c r="K88" s="39"/>
      <c r="L88" s="39"/>
      <c r="M88" s="39"/>
      <c r="N88" s="39"/>
      <c r="O88" s="39"/>
      <c r="P88" s="39"/>
      <c r="Q88" s="39"/>
      <c r="R88" s="39"/>
      <c r="S88" s="39"/>
      <c r="T88" s="39"/>
      <c r="AR88" s="61"/>
    </row>
    <row r="89" ht="15.75" customHeight="1">
      <c r="C89" s="98"/>
      <c r="D89" s="38"/>
      <c r="E89" s="38"/>
      <c r="F89" s="98"/>
      <c r="G89" s="39"/>
      <c r="H89" s="39"/>
      <c r="I89" s="39"/>
      <c r="J89" s="39"/>
      <c r="K89" s="39"/>
      <c r="L89" s="39"/>
      <c r="M89" s="39"/>
      <c r="N89" s="39"/>
      <c r="O89" s="39"/>
      <c r="P89" s="39"/>
      <c r="Q89" s="39"/>
      <c r="R89" s="39"/>
      <c r="S89" s="39"/>
      <c r="T89" s="39"/>
      <c r="AR89" s="61"/>
    </row>
    <row r="90" ht="15.75" customHeight="1">
      <c r="C90" s="98"/>
      <c r="D90" s="38"/>
      <c r="E90" s="38"/>
      <c r="F90" s="98"/>
      <c r="G90" s="39"/>
      <c r="H90" s="39"/>
      <c r="I90" s="39"/>
      <c r="J90" s="39"/>
      <c r="K90" s="39"/>
      <c r="L90" s="39"/>
      <c r="M90" s="39"/>
      <c r="N90" s="39"/>
      <c r="O90" s="39"/>
      <c r="P90" s="39"/>
      <c r="Q90" s="39"/>
      <c r="R90" s="39"/>
      <c r="S90" s="39"/>
      <c r="T90" s="39"/>
      <c r="AR90" s="61"/>
    </row>
    <row r="91" ht="15.75" customHeight="1">
      <c r="C91" s="98"/>
      <c r="D91" s="38"/>
      <c r="E91" s="38"/>
      <c r="F91" s="98"/>
      <c r="G91" s="39"/>
      <c r="H91" s="39"/>
      <c r="I91" s="39"/>
      <c r="J91" s="39"/>
      <c r="K91" s="39"/>
      <c r="L91" s="39"/>
      <c r="M91" s="39"/>
      <c r="N91" s="39"/>
      <c r="O91" s="39"/>
      <c r="P91" s="39"/>
      <c r="Q91" s="39"/>
      <c r="R91" s="39"/>
      <c r="S91" s="39"/>
      <c r="T91" s="39"/>
      <c r="AR91" s="61"/>
    </row>
    <row r="92" ht="15.75" customHeight="1">
      <c r="C92" s="98"/>
      <c r="D92" s="38"/>
      <c r="E92" s="38"/>
      <c r="F92" s="98"/>
      <c r="G92" s="39"/>
      <c r="H92" s="39"/>
      <c r="I92" s="39"/>
      <c r="J92" s="39"/>
      <c r="K92" s="39"/>
      <c r="L92" s="39"/>
      <c r="M92" s="39"/>
      <c r="N92" s="39"/>
      <c r="O92" s="39"/>
      <c r="P92" s="39"/>
      <c r="Q92" s="39"/>
      <c r="R92" s="39"/>
      <c r="S92" s="39"/>
      <c r="T92" s="39"/>
      <c r="AR92" s="61"/>
    </row>
    <row r="93" ht="15.75" customHeight="1">
      <c r="C93" s="98"/>
      <c r="D93" s="38"/>
      <c r="E93" s="38"/>
      <c r="F93" s="98"/>
      <c r="G93" s="39"/>
      <c r="H93" s="39"/>
      <c r="I93" s="39"/>
      <c r="J93" s="39"/>
      <c r="K93" s="39"/>
      <c r="L93" s="39"/>
      <c r="M93" s="39"/>
      <c r="N93" s="39"/>
      <c r="O93" s="39"/>
      <c r="P93" s="39"/>
      <c r="Q93" s="39"/>
      <c r="R93" s="39"/>
      <c r="S93" s="39"/>
      <c r="T93" s="39"/>
      <c r="AR93" s="61"/>
    </row>
    <row r="94" ht="15.75" customHeight="1">
      <c r="C94" s="98"/>
      <c r="D94" s="38"/>
      <c r="E94" s="38"/>
      <c r="F94" s="98"/>
      <c r="G94" s="39"/>
      <c r="H94" s="39"/>
      <c r="I94" s="39"/>
      <c r="J94" s="39"/>
      <c r="K94" s="39"/>
      <c r="L94" s="39"/>
      <c r="M94" s="39"/>
      <c r="N94" s="39"/>
      <c r="O94" s="39"/>
      <c r="P94" s="39"/>
      <c r="Q94" s="39"/>
      <c r="R94" s="39"/>
      <c r="S94" s="39"/>
      <c r="T94" s="39"/>
      <c r="AR94" s="61"/>
    </row>
    <row r="95" ht="15.75" customHeight="1">
      <c r="C95" s="98"/>
      <c r="D95" s="38"/>
      <c r="E95" s="38"/>
      <c r="F95" s="98"/>
      <c r="G95" s="39"/>
      <c r="H95" s="39"/>
      <c r="I95" s="39"/>
      <c r="J95" s="39"/>
      <c r="K95" s="39"/>
      <c r="L95" s="39"/>
      <c r="M95" s="39"/>
      <c r="N95" s="39"/>
      <c r="O95" s="39"/>
      <c r="P95" s="39"/>
      <c r="Q95" s="39"/>
      <c r="R95" s="39"/>
      <c r="S95" s="39"/>
      <c r="T95" s="39"/>
      <c r="AR95" s="61"/>
    </row>
    <row r="96" ht="15.75" customHeight="1">
      <c r="C96" s="98"/>
      <c r="D96" s="38"/>
      <c r="E96" s="38"/>
      <c r="F96" s="98"/>
      <c r="G96" s="39"/>
      <c r="H96" s="39"/>
      <c r="I96" s="39"/>
      <c r="J96" s="39"/>
      <c r="K96" s="39"/>
      <c r="L96" s="39"/>
      <c r="M96" s="39"/>
      <c r="N96" s="39"/>
      <c r="O96" s="39"/>
      <c r="P96" s="39"/>
      <c r="Q96" s="39"/>
      <c r="R96" s="39"/>
      <c r="S96" s="39"/>
      <c r="T96" s="39"/>
      <c r="AR96" s="61"/>
    </row>
    <row r="97" ht="15.75" customHeight="1">
      <c r="C97" s="98"/>
      <c r="D97" s="38"/>
      <c r="E97" s="38"/>
      <c r="F97" s="98"/>
      <c r="G97" s="39"/>
      <c r="H97" s="39"/>
      <c r="I97" s="39"/>
      <c r="J97" s="39"/>
      <c r="K97" s="39"/>
      <c r="L97" s="39"/>
      <c r="M97" s="39"/>
      <c r="N97" s="39"/>
      <c r="O97" s="39"/>
      <c r="P97" s="39"/>
      <c r="Q97" s="39"/>
      <c r="R97" s="39"/>
      <c r="S97" s="39"/>
      <c r="T97" s="39"/>
      <c r="AR97" s="61"/>
    </row>
    <row r="98" ht="15.75" customHeight="1">
      <c r="C98" s="98"/>
      <c r="D98" s="38"/>
      <c r="E98" s="38"/>
      <c r="F98" s="98"/>
      <c r="G98" s="39"/>
      <c r="H98" s="39"/>
      <c r="I98" s="39"/>
      <c r="J98" s="39"/>
      <c r="K98" s="39"/>
      <c r="L98" s="39"/>
      <c r="M98" s="39"/>
      <c r="N98" s="39"/>
      <c r="O98" s="39"/>
      <c r="P98" s="39"/>
      <c r="Q98" s="39"/>
      <c r="R98" s="39"/>
      <c r="S98" s="39"/>
      <c r="T98" s="39"/>
      <c r="AR98" s="61"/>
    </row>
    <row r="99" ht="15.75" customHeight="1">
      <c r="C99" s="98"/>
      <c r="D99" s="38"/>
      <c r="E99" s="38"/>
      <c r="F99" s="98"/>
      <c r="G99" s="39"/>
      <c r="H99" s="39"/>
      <c r="I99" s="39"/>
      <c r="J99" s="39"/>
      <c r="K99" s="39"/>
      <c r="L99" s="39"/>
      <c r="M99" s="39"/>
      <c r="N99" s="39"/>
      <c r="O99" s="39"/>
      <c r="P99" s="39"/>
      <c r="Q99" s="39"/>
      <c r="R99" s="39"/>
      <c r="S99" s="39"/>
      <c r="T99" s="39"/>
      <c r="AR99" s="61"/>
    </row>
    <row r="100" ht="15.75" customHeight="1">
      <c r="C100" s="98"/>
      <c r="D100" s="38"/>
      <c r="E100" s="38"/>
      <c r="F100" s="98"/>
      <c r="G100" s="39"/>
      <c r="H100" s="39"/>
      <c r="I100" s="39"/>
      <c r="J100" s="39"/>
      <c r="K100" s="39"/>
      <c r="L100" s="39"/>
      <c r="M100" s="39"/>
      <c r="N100" s="39"/>
      <c r="O100" s="39"/>
      <c r="P100" s="39"/>
      <c r="Q100" s="39"/>
      <c r="R100" s="39"/>
      <c r="S100" s="39"/>
      <c r="T100" s="39"/>
      <c r="AR100" s="61"/>
    </row>
    <row r="101" ht="15.75" customHeight="1">
      <c r="C101" s="98"/>
      <c r="D101" s="38"/>
      <c r="E101" s="38"/>
      <c r="F101" s="98"/>
      <c r="G101" s="39"/>
      <c r="H101" s="39"/>
      <c r="I101" s="39"/>
      <c r="J101" s="39"/>
      <c r="K101" s="39"/>
      <c r="L101" s="39"/>
      <c r="M101" s="39"/>
      <c r="N101" s="39"/>
      <c r="O101" s="39"/>
      <c r="P101" s="39"/>
      <c r="Q101" s="39"/>
      <c r="R101" s="39"/>
      <c r="S101" s="39"/>
      <c r="T101" s="39"/>
      <c r="AR101" s="61"/>
    </row>
    <row r="102" ht="15.75" customHeight="1">
      <c r="C102" s="98"/>
      <c r="D102" s="38"/>
      <c r="E102" s="38"/>
      <c r="F102" s="98"/>
      <c r="G102" s="39"/>
      <c r="H102" s="39"/>
      <c r="I102" s="39"/>
      <c r="J102" s="39"/>
      <c r="K102" s="39"/>
      <c r="L102" s="39"/>
      <c r="M102" s="39"/>
      <c r="N102" s="39"/>
      <c r="O102" s="39"/>
      <c r="P102" s="39"/>
      <c r="Q102" s="39"/>
      <c r="R102" s="39"/>
      <c r="S102" s="39"/>
      <c r="T102" s="39"/>
      <c r="AR102" s="61"/>
    </row>
    <row r="103" ht="15.75" customHeight="1">
      <c r="C103" s="98"/>
      <c r="D103" s="38"/>
      <c r="E103" s="38"/>
      <c r="F103" s="98"/>
      <c r="G103" s="39"/>
      <c r="H103" s="39"/>
      <c r="I103" s="39"/>
      <c r="J103" s="39"/>
      <c r="K103" s="39"/>
      <c r="L103" s="39"/>
      <c r="M103" s="39"/>
      <c r="N103" s="39"/>
      <c r="O103" s="39"/>
      <c r="P103" s="39"/>
      <c r="Q103" s="39"/>
      <c r="R103" s="39"/>
      <c r="S103" s="39"/>
      <c r="T103" s="39"/>
      <c r="AR103" s="61"/>
    </row>
    <row r="104" ht="15.75" customHeight="1">
      <c r="C104" s="98"/>
      <c r="D104" s="38"/>
      <c r="E104" s="38"/>
      <c r="F104" s="98"/>
      <c r="G104" s="39"/>
      <c r="H104" s="39"/>
      <c r="I104" s="39"/>
      <c r="J104" s="39"/>
      <c r="K104" s="39"/>
      <c r="L104" s="39"/>
      <c r="M104" s="39"/>
      <c r="N104" s="39"/>
      <c r="O104" s="39"/>
      <c r="P104" s="39"/>
      <c r="Q104" s="39"/>
      <c r="R104" s="39"/>
      <c r="S104" s="39"/>
      <c r="T104" s="39"/>
      <c r="AR104" s="61"/>
    </row>
    <row r="105" ht="15.75" customHeight="1">
      <c r="C105" s="98"/>
      <c r="D105" s="38"/>
      <c r="E105" s="38"/>
      <c r="F105" s="98"/>
      <c r="G105" s="39"/>
      <c r="H105" s="39"/>
      <c r="I105" s="39"/>
      <c r="J105" s="39"/>
      <c r="K105" s="39"/>
      <c r="L105" s="39"/>
      <c r="M105" s="39"/>
      <c r="N105" s="39"/>
      <c r="O105" s="39"/>
      <c r="P105" s="39"/>
      <c r="Q105" s="39"/>
      <c r="R105" s="39"/>
      <c r="S105" s="39"/>
      <c r="T105" s="39"/>
      <c r="AR105" s="61"/>
    </row>
    <row r="106" ht="15.75" customHeight="1">
      <c r="C106" s="98"/>
      <c r="D106" s="38"/>
      <c r="E106" s="38"/>
      <c r="F106" s="98"/>
      <c r="G106" s="39"/>
      <c r="H106" s="39"/>
      <c r="I106" s="39"/>
      <c r="J106" s="39"/>
      <c r="K106" s="39"/>
      <c r="L106" s="39"/>
      <c r="M106" s="39"/>
      <c r="N106" s="39"/>
      <c r="O106" s="39"/>
      <c r="P106" s="39"/>
      <c r="Q106" s="39"/>
      <c r="R106" s="39"/>
      <c r="S106" s="39"/>
      <c r="T106" s="39"/>
      <c r="AR106" s="61"/>
    </row>
    <row r="107" ht="15.75" customHeight="1">
      <c r="C107" s="98"/>
      <c r="D107" s="38"/>
      <c r="E107" s="38"/>
      <c r="F107" s="98"/>
      <c r="G107" s="39"/>
      <c r="H107" s="39"/>
      <c r="I107" s="39"/>
      <c r="J107" s="39"/>
      <c r="K107" s="39"/>
      <c r="L107" s="39"/>
      <c r="M107" s="39"/>
      <c r="N107" s="39"/>
      <c r="O107" s="39"/>
      <c r="P107" s="39"/>
      <c r="Q107" s="39"/>
      <c r="R107" s="39"/>
      <c r="S107" s="39"/>
      <c r="T107" s="39"/>
      <c r="AR107" s="61"/>
    </row>
    <row r="108" ht="15.75" customHeight="1">
      <c r="C108" s="98"/>
      <c r="D108" s="38"/>
      <c r="E108" s="38"/>
      <c r="F108" s="98"/>
      <c r="G108" s="39"/>
      <c r="H108" s="39"/>
      <c r="I108" s="39"/>
      <c r="J108" s="39"/>
      <c r="K108" s="39"/>
      <c r="L108" s="39"/>
      <c r="M108" s="39"/>
      <c r="N108" s="39"/>
      <c r="O108" s="39"/>
      <c r="P108" s="39"/>
      <c r="Q108" s="39"/>
      <c r="R108" s="39"/>
      <c r="S108" s="39"/>
      <c r="T108" s="39"/>
      <c r="AR108" s="61"/>
    </row>
    <row r="109" ht="15.75" customHeight="1">
      <c r="C109" s="98"/>
      <c r="D109" s="38"/>
      <c r="E109" s="38"/>
      <c r="F109" s="98"/>
      <c r="G109" s="39"/>
      <c r="H109" s="39"/>
      <c r="I109" s="39"/>
      <c r="J109" s="39"/>
      <c r="K109" s="39"/>
      <c r="L109" s="39"/>
      <c r="M109" s="39"/>
      <c r="N109" s="39"/>
      <c r="O109" s="39"/>
      <c r="P109" s="39"/>
      <c r="Q109" s="39"/>
      <c r="R109" s="39"/>
      <c r="S109" s="39"/>
      <c r="T109" s="39"/>
      <c r="AR109" s="61"/>
    </row>
    <row r="110" ht="15.75" customHeight="1">
      <c r="C110" s="98"/>
      <c r="D110" s="38"/>
      <c r="E110" s="38"/>
      <c r="F110" s="98"/>
      <c r="G110" s="39"/>
      <c r="H110" s="39"/>
      <c r="I110" s="39"/>
      <c r="J110" s="39"/>
      <c r="K110" s="39"/>
      <c r="L110" s="39"/>
      <c r="M110" s="39"/>
      <c r="N110" s="39"/>
      <c r="O110" s="39"/>
      <c r="P110" s="39"/>
      <c r="Q110" s="39"/>
      <c r="R110" s="39"/>
      <c r="S110" s="39"/>
      <c r="T110" s="39"/>
      <c r="AR110" s="61"/>
    </row>
    <row r="111" ht="15.75" customHeight="1">
      <c r="C111" s="98"/>
      <c r="D111" s="38"/>
      <c r="E111" s="38"/>
      <c r="F111" s="98"/>
      <c r="G111" s="39"/>
      <c r="H111" s="39"/>
      <c r="I111" s="39"/>
      <c r="J111" s="39"/>
      <c r="K111" s="39"/>
      <c r="L111" s="39"/>
      <c r="M111" s="39"/>
      <c r="N111" s="39"/>
      <c r="O111" s="39"/>
      <c r="P111" s="39"/>
      <c r="Q111" s="39"/>
      <c r="R111" s="39"/>
      <c r="S111" s="39"/>
      <c r="T111" s="39"/>
      <c r="AR111" s="61"/>
    </row>
    <row r="112" ht="15.75" customHeight="1">
      <c r="C112" s="98"/>
      <c r="D112" s="38"/>
      <c r="E112" s="38"/>
      <c r="F112" s="98"/>
      <c r="G112" s="39"/>
      <c r="H112" s="39"/>
      <c r="I112" s="39"/>
      <c r="J112" s="39"/>
      <c r="K112" s="39"/>
      <c r="L112" s="39"/>
      <c r="M112" s="39"/>
      <c r="N112" s="39"/>
      <c r="O112" s="39"/>
      <c r="P112" s="39"/>
      <c r="Q112" s="39"/>
      <c r="R112" s="39"/>
      <c r="S112" s="39"/>
      <c r="T112" s="39"/>
      <c r="AR112" s="61"/>
    </row>
    <row r="113" ht="15.75" customHeight="1">
      <c r="C113" s="98"/>
      <c r="D113" s="38"/>
      <c r="E113" s="38"/>
      <c r="F113" s="98"/>
      <c r="G113" s="39"/>
      <c r="H113" s="39"/>
      <c r="I113" s="39"/>
      <c r="J113" s="39"/>
      <c r="K113" s="39"/>
      <c r="L113" s="39"/>
      <c r="M113" s="39"/>
      <c r="N113" s="39"/>
      <c r="O113" s="39"/>
      <c r="P113" s="39"/>
      <c r="Q113" s="39"/>
      <c r="R113" s="39"/>
      <c r="S113" s="39"/>
      <c r="T113" s="39"/>
      <c r="AR113" s="61"/>
    </row>
    <row r="114" ht="15.75" customHeight="1">
      <c r="C114" s="98"/>
      <c r="D114" s="38"/>
      <c r="E114" s="38"/>
      <c r="F114" s="98"/>
      <c r="G114" s="39"/>
      <c r="H114" s="39"/>
      <c r="I114" s="39"/>
      <c r="J114" s="39"/>
      <c r="K114" s="39"/>
      <c r="L114" s="39"/>
      <c r="M114" s="39"/>
      <c r="N114" s="39"/>
      <c r="O114" s="39"/>
      <c r="P114" s="39"/>
      <c r="Q114" s="39"/>
      <c r="R114" s="39"/>
      <c r="S114" s="39"/>
      <c r="T114" s="39"/>
      <c r="AR114" s="61"/>
    </row>
    <row r="115" ht="15.75" customHeight="1">
      <c r="C115" s="98"/>
      <c r="D115" s="38"/>
      <c r="E115" s="38"/>
      <c r="F115" s="98"/>
      <c r="G115" s="39"/>
      <c r="H115" s="39"/>
      <c r="I115" s="39"/>
      <c r="J115" s="39"/>
      <c r="K115" s="39"/>
      <c r="L115" s="39"/>
      <c r="M115" s="39"/>
      <c r="N115" s="39"/>
      <c r="O115" s="39"/>
      <c r="P115" s="39"/>
      <c r="Q115" s="39"/>
      <c r="R115" s="39"/>
      <c r="S115" s="39"/>
      <c r="T115" s="39"/>
      <c r="AR115" s="61"/>
    </row>
    <row r="116" ht="15.75" customHeight="1">
      <c r="C116" s="98"/>
      <c r="D116" s="38"/>
      <c r="E116" s="38"/>
      <c r="F116" s="98"/>
      <c r="G116" s="39"/>
      <c r="H116" s="39"/>
      <c r="I116" s="39"/>
      <c r="J116" s="39"/>
      <c r="K116" s="39"/>
      <c r="L116" s="39"/>
      <c r="M116" s="39"/>
      <c r="N116" s="39"/>
      <c r="O116" s="39"/>
      <c r="P116" s="39"/>
      <c r="Q116" s="39"/>
      <c r="R116" s="39"/>
      <c r="S116" s="39"/>
      <c r="T116" s="39"/>
      <c r="AR116" s="61"/>
    </row>
    <row r="117" ht="15.75" customHeight="1">
      <c r="C117" s="98"/>
      <c r="D117" s="38"/>
      <c r="E117" s="38"/>
      <c r="F117" s="98"/>
      <c r="G117" s="39"/>
      <c r="H117" s="39"/>
      <c r="I117" s="39"/>
      <c r="J117" s="39"/>
      <c r="K117" s="39"/>
      <c r="L117" s="39"/>
      <c r="M117" s="39"/>
      <c r="N117" s="39"/>
      <c r="O117" s="39"/>
      <c r="P117" s="39"/>
      <c r="Q117" s="39"/>
      <c r="R117" s="39"/>
      <c r="S117" s="39"/>
      <c r="T117" s="39"/>
      <c r="AR117" s="61"/>
    </row>
    <row r="118" ht="15.75" customHeight="1">
      <c r="C118" s="98"/>
      <c r="D118" s="38"/>
      <c r="E118" s="38"/>
      <c r="F118" s="98"/>
      <c r="G118" s="39"/>
      <c r="H118" s="39"/>
      <c r="I118" s="39"/>
      <c r="J118" s="39"/>
      <c r="K118" s="39"/>
      <c r="L118" s="39"/>
      <c r="M118" s="39"/>
      <c r="N118" s="39"/>
      <c r="O118" s="39"/>
      <c r="P118" s="39"/>
      <c r="Q118" s="39"/>
      <c r="R118" s="39"/>
      <c r="S118" s="39"/>
      <c r="T118" s="39"/>
      <c r="AR118" s="61"/>
    </row>
    <row r="119" ht="15.75" customHeight="1">
      <c r="C119" s="98"/>
      <c r="D119" s="38"/>
      <c r="E119" s="38"/>
      <c r="F119" s="98"/>
      <c r="G119" s="39"/>
      <c r="H119" s="39"/>
      <c r="I119" s="39"/>
      <c r="J119" s="39"/>
      <c r="K119" s="39"/>
      <c r="L119" s="39"/>
      <c r="M119" s="39"/>
      <c r="N119" s="39"/>
      <c r="O119" s="39"/>
      <c r="P119" s="39"/>
      <c r="Q119" s="39"/>
      <c r="R119" s="39"/>
      <c r="S119" s="39"/>
      <c r="T119" s="39"/>
      <c r="AR119" s="61"/>
    </row>
    <row r="120" ht="15.75" customHeight="1">
      <c r="C120" s="98"/>
      <c r="D120" s="38"/>
      <c r="E120" s="38"/>
      <c r="F120" s="98"/>
      <c r="G120" s="39"/>
      <c r="H120" s="39"/>
      <c r="I120" s="39"/>
      <c r="J120" s="39"/>
      <c r="K120" s="39"/>
      <c r="L120" s="39"/>
      <c r="M120" s="39"/>
      <c r="N120" s="39"/>
      <c r="O120" s="39"/>
      <c r="P120" s="39"/>
      <c r="Q120" s="39"/>
      <c r="R120" s="39"/>
      <c r="S120" s="39"/>
      <c r="T120" s="39"/>
      <c r="AR120" s="61"/>
    </row>
    <row r="121" ht="15.75" customHeight="1">
      <c r="C121" s="98"/>
      <c r="D121" s="38"/>
      <c r="E121" s="38"/>
      <c r="F121" s="98"/>
      <c r="G121" s="39"/>
      <c r="H121" s="39"/>
      <c r="I121" s="39"/>
      <c r="J121" s="39"/>
      <c r="K121" s="39"/>
      <c r="L121" s="39"/>
      <c r="M121" s="39"/>
      <c r="N121" s="39"/>
      <c r="O121" s="39"/>
      <c r="P121" s="39"/>
      <c r="Q121" s="39"/>
      <c r="R121" s="39"/>
      <c r="S121" s="39"/>
      <c r="T121" s="39"/>
      <c r="AR121" s="61"/>
    </row>
    <row r="122" ht="15.75" customHeight="1">
      <c r="C122" s="98"/>
      <c r="D122" s="38"/>
      <c r="E122" s="38"/>
      <c r="F122" s="98"/>
      <c r="G122" s="39"/>
      <c r="H122" s="39"/>
      <c r="I122" s="39"/>
      <c r="J122" s="39"/>
      <c r="K122" s="39"/>
      <c r="L122" s="39"/>
      <c r="M122" s="39"/>
      <c r="N122" s="39"/>
      <c r="O122" s="39"/>
      <c r="P122" s="39"/>
      <c r="Q122" s="39"/>
      <c r="R122" s="39"/>
      <c r="S122" s="39"/>
      <c r="T122" s="39"/>
      <c r="AR122" s="61"/>
    </row>
    <row r="123" ht="15.75" customHeight="1">
      <c r="C123" s="98"/>
      <c r="D123" s="38"/>
      <c r="E123" s="38"/>
      <c r="F123" s="98"/>
      <c r="G123" s="39"/>
      <c r="H123" s="39"/>
      <c r="I123" s="39"/>
      <c r="J123" s="39"/>
      <c r="K123" s="39"/>
      <c r="L123" s="39"/>
      <c r="M123" s="39"/>
      <c r="N123" s="39"/>
      <c r="O123" s="39"/>
      <c r="P123" s="39"/>
      <c r="Q123" s="39"/>
      <c r="R123" s="39"/>
      <c r="S123" s="39"/>
      <c r="T123" s="39"/>
      <c r="AR123" s="61"/>
    </row>
    <row r="124" ht="15.75" customHeight="1">
      <c r="C124" s="98"/>
      <c r="D124" s="38"/>
      <c r="E124" s="38"/>
      <c r="F124" s="98"/>
      <c r="G124" s="39"/>
      <c r="H124" s="39"/>
      <c r="I124" s="39"/>
      <c r="J124" s="39"/>
      <c r="K124" s="39"/>
      <c r="L124" s="39"/>
      <c r="M124" s="39"/>
      <c r="N124" s="39"/>
      <c r="O124" s="39"/>
      <c r="P124" s="39"/>
      <c r="Q124" s="39"/>
      <c r="R124" s="39"/>
      <c r="S124" s="39"/>
      <c r="T124" s="39"/>
      <c r="AR124" s="61"/>
    </row>
    <row r="125" ht="15.75" customHeight="1">
      <c r="C125" s="98"/>
      <c r="D125" s="38"/>
      <c r="E125" s="38"/>
      <c r="F125" s="98"/>
      <c r="G125" s="39"/>
      <c r="H125" s="39"/>
      <c r="I125" s="39"/>
      <c r="J125" s="39"/>
      <c r="K125" s="39"/>
      <c r="L125" s="39"/>
      <c r="M125" s="39"/>
      <c r="N125" s="39"/>
      <c r="O125" s="39"/>
      <c r="P125" s="39"/>
      <c r="Q125" s="39"/>
      <c r="R125" s="39"/>
      <c r="S125" s="39"/>
      <c r="T125" s="39"/>
      <c r="AR125" s="61"/>
    </row>
    <row r="126" ht="15.75" customHeight="1">
      <c r="C126" s="98"/>
      <c r="D126" s="38"/>
      <c r="E126" s="38"/>
      <c r="F126" s="98"/>
      <c r="G126" s="39"/>
      <c r="H126" s="39"/>
      <c r="I126" s="39"/>
      <c r="J126" s="39"/>
      <c r="K126" s="39"/>
      <c r="L126" s="39"/>
      <c r="M126" s="39"/>
      <c r="N126" s="39"/>
      <c r="O126" s="39"/>
      <c r="P126" s="39"/>
      <c r="Q126" s="39"/>
      <c r="R126" s="39"/>
      <c r="S126" s="39"/>
      <c r="T126" s="39"/>
      <c r="AR126" s="61"/>
    </row>
    <row r="127" ht="15.75" customHeight="1">
      <c r="C127" s="98"/>
      <c r="D127" s="38"/>
      <c r="E127" s="38"/>
      <c r="F127" s="98"/>
      <c r="G127" s="39"/>
      <c r="H127" s="39"/>
      <c r="I127" s="39"/>
      <c r="J127" s="39"/>
      <c r="K127" s="39"/>
      <c r="L127" s="39"/>
      <c r="M127" s="39"/>
      <c r="N127" s="39"/>
      <c r="O127" s="39"/>
      <c r="P127" s="39"/>
      <c r="Q127" s="39"/>
      <c r="R127" s="39"/>
      <c r="S127" s="39"/>
      <c r="T127" s="39"/>
      <c r="AR127" s="61"/>
    </row>
    <row r="128" ht="15.75" customHeight="1">
      <c r="C128" s="98"/>
      <c r="D128" s="38"/>
      <c r="E128" s="38"/>
      <c r="F128" s="98"/>
      <c r="G128" s="39"/>
      <c r="H128" s="39"/>
      <c r="I128" s="39"/>
      <c r="J128" s="39"/>
      <c r="K128" s="39"/>
      <c r="L128" s="39"/>
      <c r="M128" s="39"/>
      <c r="N128" s="39"/>
      <c r="O128" s="39"/>
      <c r="P128" s="39"/>
      <c r="Q128" s="39"/>
      <c r="R128" s="39"/>
      <c r="S128" s="39"/>
      <c r="T128" s="39"/>
      <c r="AR128" s="61"/>
    </row>
    <row r="129" ht="15.75" customHeight="1">
      <c r="C129" s="98"/>
      <c r="D129" s="38"/>
      <c r="E129" s="38"/>
      <c r="F129" s="98"/>
      <c r="G129" s="39"/>
      <c r="H129" s="39"/>
      <c r="I129" s="39"/>
      <c r="J129" s="39"/>
      <c r="K129" s="39"/>
      <c r="L129" s="39"/>
      <c r="M129" s="39"/>
      <c r="N129" s="39"/>
      <c r="O129" s="39"/>
      <c r="P129" s="39"/>
      <c r="Q129" s="39"/>
      <c r="R129" s="39"/>
      <c r="S129" s="39"/>
      <c r="T129" s="39"/>
      <c r="AR129" s="61"/>
    </row>
    <row r="130" ht="15.75" customHeight="1">
      <c r="C130" s="98"/>
      <c r="D130" s="38"/>
      <c r="E130" s="38"/>
      <c r="F130" s="98"/>
      <c r="G130" s="39"/>
      <c r="H130" s="39"/>
      <c r="I130" s="39"/>
      <c r="J130" s="39"/>
      <c r="K130" s="39"/>
      <c r="L130" s="39"/>
      <c r="M130" s="39"/>
      <c r="N130" s="39"/>
      <c r="O130" s="39"/>
      <c r="P130" s="39"/>
      <c r="Q130" s="39"/>
      <c r="R130" s="39"/>
      <c r="S130" s="39"/>
      <c r="T130" s="39"/>
      <c r="AR130" s="61"/>
    </row>
    <row r="131" ht="15.75" customHeight="1">
      <c r="C131" s="98"/>
      <c r="D131" s="38"/>
      <c r="E131" s="38"/>
      <c r="F131" s="98"/>
      <c r="G131" s="39"/>
      <c r="H131" s="39"/>
      <c r="I131" s="39"/>
      <c r="J131" s="39"/>
      <c r="K131" s="39"/>
      <c r="L131" s="39"/>
      <c r="M131" s="39"/>
      <c r="N131" s="39"/>
      <c r="O131" s="39"/>
      <c r="P131" s="39"/>
      <c r="Q131" s="39"/>
      <c r="R131" s="39"/>
      <c r="S131" s="39"/>
      <c r="T131" s="39"/>
      <c r="AR131" s="61"/>
    </row>
    <row r="132" ht="15.75" customHeight="1">
      <c r="C132" s="98"/>
      <c r="D132" s="38"/>
      <c r="E132" s="38"/>
      <c r="F132" s="98"/>
      <c r="G132" s="39"/>
      <c r="H132" s="39"/>
      <c r="I132" s="39"/>
      <c r="J132" s="39"/>
      <c r="K132" s="39"/>
      <c r="L132" s="39"/>
      <c r="M132" s="39"/>
      <c r="N132" s="39"/>
      <c r="O132" s="39"/>
      <c r="P132" s="39"/>
      <c r="Q132" s="39"/>
      <c r="R132" s="39"/>
      <c r="S132" s="39"/>
      <c r="T132" s="39"/>
      <c r="AR132" s="61"/>
    </row>
    <row r="133" ht="15.75" customHeight="1">
      <c r="C133" s="98"/>
      <c r="D133" s="38"/>
      <c r="E133" s="38"/>
      <c r="F133" s="98"/>
      <c r="G133" s="39"/>
      <c r="H133" s="39"/>
      <c r="I133" s="39"/>
      <c r="J133" s="39"/>
      <c r="K133" s="39"/>
      <c r="L133" s="39"/>
      <c r="M133" s="39"/>
      <c r="N133" s="39"/>
      <c r="O133" s="39"/>
      <c r="P133" s="39"/>
      <c r="Q133" s="39"/>
      <c r="R133" s="39"/>
      <c r="S133" s="39"/>
      <c r="T133" s="39"/>
      <c r="AR133" s="61"/>
    </row>
    <row r="134" ht="15.75" customHeight="1">
      <c r="C134" s="98"/>
      <c r="D134" s="38"/>
      <c r="E134" s="38"/>
      <c r="F134" s="98"/>
      <c r="G134" s="39"/>
      <c r="H134" s="39"/>
      <c r="I134" s="39"/>
      <c r="J134" s="39"/>
      <c r="K134" s="39"/>
      <c r="L134" s="39"/>
      <c r="M134" s="39"/>
      <c r="N134" s="39"/>
      <c r="O134" s="39"/>
      <c r="P134" s="39"/>
      <c r="Q134" s="39"/>
      <c r="R134" s="39"/>
      <c r="S134" s="39"/>
      <c r="T134" s="39"/>
      <c r="AR134" s="61"/>
    </row>
    <row r="135" ht="15.75" customHeight="1">
      <c r="C135" s="98"/>
      <c r="D135" s="38"/>
      <c r="E135" s="38"/>
      <c r="F135" s="98"/>
      <c r="G135" s="39"/>
      <c r="H135" s="39"/>
      <c r="I135" s="39"/>
      <c r="J135" s="39"/>
      <c r="K135" s="39"/>
      <c r="L135" s="39"/>
      <c r="M135" s="39"/>
      <c r="N135" s="39"/>
      <c r="O135" s="39"/>
      <c r="P135" s="39"/>
      <c r="Q135" s="39"/>
      <c r="R135" s="39"/>
      <c r="S135" s="39"/>
      <c r="T135" s="39"/>
      <c r="AR135" s="61"/>
    </row>
    <row r="136" ht="15.75" customHeight="1">
      <c r="C136" s="98"/>
      <c r="D136" s="38"/>
      <c r="E136" s="38"/>
      <c r="F136" s="98"/>
      <c r="G136" s="39"/>
      <c r="H136" s="39"/>
      <c r="I136" s="39"/>
      <c r="J136" s="39"/>
      <c r="K136" s="39"/>
      <c r="L136" s="39"/>
      <c r="M136" s="39"/>
      <c r="N136" s="39"/>
      <c r="O136" s="39"/>
      <c r="P136" s="39"/>
      <c r="Q136" s="39"/>
      <c r="R136" s="39"/>
      <c r="S136" s="39"/>
      <c r="T136" s="39"/>
      <c r="AR136" s="61"/>
    </row>
    <row r="137" ht="15.75" customHeight="1">
      <c r="C137" s="98"/>
      <c r="D137" s="38"/>
      <c r="E137" s="38"/>
      <c r="F137" s="98"/>
      <c r="G137" s="39"/>
      <c r="H137" s="39"/>
      <c r="I137" s="39"/>
      <c r="J137" s="39"/>
      <c r="K137" s="39"/>
      <c r="L137" s="39"/>
      <c r="M137" s="39"/>
      <c r="N137" s="39"/>
      <c r="O137" s="39"/>
      <c r="P137" s="39"/>
      <c r="Q137" s="39"/>
      <c r="R137" s="39"/>
      <c r="S137" s="39"/>
      <c r="T137" s="39"/>
      <c r="AR137" s="61"/>
    </row>
    <row r="138" ht="15.75" customHeight="1">
      <c r="C138" s="98"/>
      <c r="D138" s="38"/>
      <c r="E138" s="38"/>
      <c r="F138" s="98"/>
      <c r="G138" s="39"/>
      <c r="H138" s="39"/>
      <c r="I138" s="39"/>
      <c r="J138" s="39"/>
      <c r="K138" s="39"/>
      <c r="L138" s="39"/>
      <c r="M138" s="39"/>
      <c r="N138" s="39"/>
      <c r="O138" s="39"/>
      <c r="P138" s="39"/>
      <c r="Q138" s="39"/>
      <c r="R138" s="39"/>
      <c r="S138" s="39"/>
      <c r="T138" s="39"/>
      <c r="AR138" s="61"/>
    </row>
    <row r="139" ht="15.75" customHeight="1">
      <c r="C139" s="98"/>
      <c r="D139" s="38"/>
      <c r="E139" s="38"/>
      <c r="F139" s="98"/>
      <c r="G139" s="39"/>
      <c r="H139" s="39"/>
      <c r="I139" s="39"/>
      <c r="J139" s="39"/>
      <c r="K139" s="39"/>
      <c r="L139" s="39"/>
      <c r="M139" s="39"/>
      <c r="N139" s="39"/>
      <c r="O139" s="39"/>
      <c r="P139" s="39"/>
      <c r="Q139" s="39"/>
      <c r="R139" s="39"/>
      <c r="S139" s="39"/>
      <c r="T139" s="39"/>
      <c r="AR139" s="61"/>
    </row>
    <row r="140" ht="15.75" customHeight="1">
      <c r="C140" s="98"/>
      <c r="D140" s="38"/>
      <c r="E140" s="38"/>
      <c r="F140" s="98"/>
      <c r="G140" s="39"/>
      <c r="H140" s="39"/>
      <c r="I140" s="39"/>
      <c r="J140" s="39"/>
      <c r="K140" s="39"/>
      <c r="L140" s="39"/>
      <c r="M140" s="39"/>
      <c r="N140" s="39"/>
      <c r="O140" s="39"/>
      <c r="P140" s="39"/>
      <c r="Q140" s="39"/>
      <c r="R140" s="39"/>
      <c r="S140" s="39"/>
      <c r="T140" s="39"/>
      <c r="AR140" s="61"/>
    </row>
    <row r="141" ht="15.75" customHeight="1">
      <c r="C141" s="98"/>
      <c r="D141" s="38"/>
      <c r="E141" s="38"/>
      <c r="F141" s="98"/>
      <c r="G141" s="39"/>
      <c r="H141" s="39"/>
      <c r="I141" s="39"/>
      <c r="J141" s="39"/>
      <c r="K141" s="39"/>
      <c r="L141" s="39"/>
      <c r="M141" s="39"/>
      <c r="N141" s="39"/>
      <c r="O141" s="39"/>
      <c r="P141" s="39"/>
      <c r="Q141" s="39"/>
      <c r="R141" s="39"/>
      <c r="S141" s="39"/>
      <c r="T141" s="39"/>
      <c r="AR141" s="61"/>
    </row>
    <row r="142" ht="15.75" customHeight="1">
      <c r="C142" s="98"/>
      <c r="D142" s="38"/>
      <c r="E142" s="38"/>
      <c r="F142" s="98"/>
      <c r="G142" s="39"/>
      <c r="H142" s="39"/>
      <c r="I142" s="39"/>
      <c r="J142" s="39"/>
      <c r="K142" s="39"/>
      <c r="L142" s="39"/>
      <c r="M142" s="39"/>
      <c r="N142" s="39"/>
      <c r="O142" s="39"/>
      <c r="P142" s="39"/>
      <c r="Q142" s="39"/>
      <c r="R142" s="39"/>
      <c r="S142" s="39"/>
      <c r="T142" s="39"/>
      <c r="AR142" s="61"/>
    </row>
    <row r="143" ht="15.75" customHeight="1">
      <c r="C143" s="98"/>
      <c r="D143" s="38"/>
      <c r="E143" s="38"/>
      <c r="F143" s="98"/>
      <c r="G143" s="39"/>
      <c r="H143" s="39"/>
      <c r="I143" s="39"/>
      <c r="J143" s="39"/>
      <c r="K143" s="39"/>
      <c r="L143" s="39"/>
      <c r="M143" s="39"/>
      <c r="N143" s="39"/>
      <c r="O143" s="39"/>
      <c r="P143" s="39"/>
      <c r="Q143" s="39"/>
      <c r="R143" s="39"/>
      <c r="S143" s="39"/>
      <c r="T143" s="39"/>
      <c r="AR143" s="61"/>
    </row>
    <row r="144" ht="15.75" customHeight="1">
      <c r="C144" s="98"/>
      <c r="D144" s="38"/>
      <c r="E144" s="38"/>
      <c r="F144" s="98"/>
      <c r="G144" s="39"/>
      <c r="H144" s="39"/>
      <c r="I144" s="39"/>
      <c r="J144" s="39"/>
      <c r="K144" s="39"/>
      <c r="L144" s="39"/>
      <c r="M144" s="39"/>
      <c r="N144" s="39"/>
      <c r="O144" s="39"/>
      <c r="P144" s="39"/>
      <c r="Q144" s="39"/>
      <c r="R144" s="39"/>
      <c r="S144" s="39"/>
      <c r="T144" s="39"/>
      <c r="AR144" s="61"/>
    </row>
    <row r="145" ht="15.75" customHeight="1">
      <c r="C145" s="98"/>
      <c r="D145" s="38"/>
      <c r="E145" s="38"/>
      <c r="F145" s="98"/>
      <c r="G145" s="39"/>
      <c r="H145" s="39"/>
      <c r="I145" s="39"/>
      <c r="J145" s="39"/>
      <c r="K145" s="39"/>
      <c r="L145" s="39"/>
      <c r="M145" s="39"/>
      <c r="N145" s="39"/>
      <c r="O145" s="39"/>
      <c r="P145" s="39"/>
      <c r="Q145" s="39"/>
      <c r="R145" s="39"/>
      <c r="S145" s="39"/>
      <c r="T145" s="39"/>
      <c r="AR145" s="61"/>
    </row>
    <row r="146" ht="15.75" customHeight="1">
      <c r="C146" s="98"/>
      <c r="D146" s="38"/>
      <c r="E146" s="38"/>
      <c r="F146" s="98"/>
      <c r="G146" s="39"/>
      <c r="H146" s="39"/>
      <c r="I146" s="39"/>
      <c r="J146" s="39"/>
      <c r="K146" s="39"/>
      <c r="L146" s="39"/>
      <c r="M146" s="39"/>
      <c r="N146" s="39"/>
      <c r="O146" s="39"/>
      <c r="P146" s="39"/>
      <c r="Q146" s="39"/>
      <c r="R146" s="39"/>
      <c r="S146" s="39"/>
      <c r="T146" s="39"/>
      <c r="AR146" s="61"/>
    </row>
    <row r="147" ht="15.75" customHeight="1">
      <c r="C147" s="98"/>
      <c r="D147" s="38"/>
      <c r="E147" s="38"/>
      <c r="F147" s="98"/>
      <c r="G147" s="39"/>
      <c r="H147" s="39"/>
      <c r="I147" s="39"/>
      <c r="J147" s="39"/>
      <c r="K147" s="39"/>
      <c r="L147" s="39"/>
      <c r="M147" s="39"/>
      <c r="N147" s="39"/>
      <c r="O147" s="39"/>
      <c r="P147" s="39"/>
      <c r="Q147" s="39"/>
      <c r="R147" s="39"/>
      <c r="S147" s="39"/>
      <c r="T147" s="39"/>
      <c r="AR147" s="61"/>
    </row>
    <row r="148" ht="15.75" customHeight="1">
      <c r="C148" s="98"/>
      <c r="D148" s="38"/>
      <c r="E148" s="38"/>
      <c r="F148" s="98"/>
      <c r="G148" s="39"/>
      <c r="H148" s="39"/>
      <c r="I148" s="39"/>
      <c r="J148" s="39"/>
      <c r="K148" s="39"/>
      <c r="L148" s="39"/>
      <c r="M148" s="39"/>
      <c r="N148" s="39"/>
      <c r="O148" s="39"/>
      <c r="P148" s="39"/>
      <c r="Q148" s="39"/>
      <c r="R148" s="39"/>
      <c r="S148" s="39"/>
      <c r="T148" s="39"/>
      <c r="AR148" s="61"/>
    </row>
    <row r="149" ht="15.75" customHeight="1">
      <c r="C149" s="98"/>
      <c r="D149" s="38"/>
      <c r="E149" s="38"/>
      <c r="F149" s="98"/>
      <c r="G149" s="39"/>
      <c r="H149" s="39"/>
      <c r="I149" s="39"/>
      <c r="J149" s="39"/>
      <c r="K149" s="39"/>
      <c r="L149" s="39"/>
      <c r="M149" s="39"/>
      <c r="N149" s="39"/>
      <c r="O149" s="39"/>
      <c r="P149" s="39"/>
      <c r="Q149" s="39"/>
      <c r="R149" s="39"/>
      <c r="S149" s="39"/>
      <c r="T149" s="39"/>
      <c r="AR149" s="61"/>
    </row>
    <row r="150" ht="15.75" customHeight="1">
      <c r="C150" s="98"/>
      <c r="D150" s="38"/>
      <c r="E150" s="38"/>
      <c r="F150" s="98"/>
      <c r="G150" s="39"/>
      <c r="H150" s="39"/>
      <c r="I150" s="39"/>
      <c r="J150" s="39"/>
      <c r="K150" s="39"/>
      <c r="L150" s="39"/>
      <c r="M150" s="39"/>
      <c r="N150" s="39"/>
      <c r="O150" s="39"/>
      <c r="P150" s="39"/>
      <c r="Q150" s="39"/>
      <c r="R150" s="39"/>
      <c r="S150" s="39"/>
      <c r="T150" s="39"/>
      <c r="AR150" s="61"/>
    </row>
    <row r="151" ht="15.75" customHeight="1">
      <c r="C151" s="98"/>
      <c r="D151" s="38"/>
      <c r="E151" s="38"/>
      <c r="F151" s="98"/>
      <c r="G151" s="39"/>
      <c r="H151" s="39"/>
      <c r="I151" s="39"/>
      <c r="J151" s="39"/>
      <c r="K151" s="39"/>
      <c r="L151" s="39"/>
      <c r="M151" s="39"/>
      <c r="N151" s="39"/>
      <c r="O151" s="39"/>
      <c r="P151" s="39"/>
      <c r="Q151" s="39"/>
      <c r="R151" s="39"/>
      <c r="S151" s="39"/>
      <c r="T151" s="39"/>
      <c r="AR151" s="61"/>
    </row>
    <row r="152" ht="15.75" customHeight="1">
      <c r="C152" s="98"/>
      <c r="D152" s="38"/>
      <c r="E152" s="38"/>
      <c r="F152" s="98"/>
      <c r="G152" s="39"/>
      <c r="H152" s="39"/>
      <c r="I152" s="39"/>
      <c r="J152" s="39"/>
      <c r="K152" s="39"/>
      <c r="L152" s="39"/>
      <c r="M152" s="39"/>
      <c r="N152" s="39"/>
      <c r="O152" s="39"/>
      <c r="P152" s="39"/>
      <c r="Q152" s="39"/>
      <c r="R152" s="39"/>
      <c r="S152" s="39"/>
      <c r="T152" s="39"/>
      <c r="AR152" s="61"/>
    </row>
    <row r="153" ht="15.75" customHeight="1">
      <c r="C153" s="98"/>
      <c r="D153" s="38"/>
      <c r="E153" s="38"/>
      <c r="F153" s="98"/>
      <c r="G153" s="39"/>
      <c r="H153" s="39"/>
      <c r="I153" s="39"/>
      <c r="J153" s="39"/>
      <c r="K153" s="39"/>
      <c r="L153" s="39"/>
      <c r="M153" s="39"/>
      <c r="N153" s="39"/>
      <c r="O153" s="39"/>
      <c r="P153" s="39"/>
      <c r="Q153" s="39"/>
      <c r="R153" s="39"/>
      <c r="S153" s="39"/>
      <c r="T153" s="39"/>
      <c r="AR153" s="61"/>
    </row>
    <row r="154" ht="15.75" customHeight="1">
      <c r="C154" s="98"/>
      <c r="D154" s="38"/>
      <c r="E154" s="38"/>
      <c r="F154" s="98"/>
      <c r="G154" s="39"/>
      <c r="H154" s="39"/>
      <c r="I154" s="39"/>
      <c r="J154" s="39"/>
      <c r="K154" s="39"/>
      <c r="L154" s="39"/>
      <c r="M154" s="39"/>
      <c r="N154" s="39"/>
      <c r="O154" s="39"/>
      <c r="P154" s="39"/>
      <c r="Q154" s="39"/>
      <c r="R154" s="39"/>
      <c r="S154" s="39"/>
      <c r="T154" s="39"/>
      <c r="AR154" s="61"/>
    </row>
    <row r="155" ht="15.75" customHeight="1">
      <c r="C155" s="98"/>
      <c r="D155" s="38"/>
      <c r="E155" s="38"/>
      <c r="F155" s="98"/>
      <c r="G155" s="39"/>
      <c r="H155" s="39"/>
      <c r="I155" s="39"/>
      <c r="J155" s="39"/>
      <c r="K155" s="39"/>
      <c r="L155" s="39"/>
      <c r="M155" s="39"/>
      <c r="N155" s="39"/>
      <c r="O155" s="39"/>
      <c r="P155" s="39"/>
      <c r="Q155" s="39"/>
      <c r="R155" s="39"/>
      <c r="S155" s="39"/>
      <c r="T155" s="39"/>
      <c r="AR155" s="61"/>
    </row>
    <row r="156" ht="15.75" customHeight="1">
      <c r="C156" s="98"/>
      <c r="D156" s="38"/>
      <c r="E156" s="38"/>
      <c r="F156" s="98"/>
      <c r="G156" s="39"/>
      <c r="H156" s="39"/>
      <c r="I156" s="39"/>
      <c r="J156" s="39"/>
      <c r="K156" s="39"/>
      <c r="L156" s="39"/>
      <c r="M156" s="39"/>
      <c r="N156" s="39"/>
      <c r="O156" s="39"/>
      <c r="P156" s="39"/>
      <c r="Q156" s="39"/>
      <c r="R156" s="39"/>
      <c r="S156" s="39"/>
      <c r="T156" s="39"/>
      <c r="AR156" s="61"/>
    </row>
    <row r="157" ht="15.75" customHeight="1">
      <c r="C157" s="98"/>
      <c r="D157" s="38"/>
      <c r="E157" s="38"/>
      <c r="F157" s="98"/>
      <c r="G157" s="39"/>
      <c r="H157" s="39"/>
      <c r="I157" s="39"/>
      <c r="J157" s="39"/>
      <c r="K157" s="39"/>
      <c r="L157" s="39"/>
      <c r="M157" s="39"/>
      <c r="N157" s="39"/>
      <c r="O157" s="39"/>
      <c r="P157" s="39"/>
      <c r="Q157" s="39"/>
      <c r="R157" s="39"/>
      <c r="S157" s="39"/>
      <c r="T157" s="39"/>
      <c r="AR157" s="61"/>
    </row>
    <row r="158" ht="15.75" customHeight="1">
      <c r="C158" s="98"/>
      <c r="D158" s="38"/>
      <c r="E158" s="38"/>
      <c r="F158" s="98"/>
      <c r="G158" s="39"/>
      <c r="H158" s="39"/>
      <c r="I158" s="39"/>
      <c r="J158" s="39"/>
      <c r="K158" s="39"/>
      <c r="L158" s="39"/>
      <c r="M158" s="39"/>
      <c r="N158" s="39"/>
      <c r="O158" s="39"/>
      <c r="P158" s="39"/>
      <c r="Q158" s="39"/>
      <c r="R158" s="39"/>
      <c r="S158" s="39"/>
      <c r="T158" s="39"/>
      <c r="AR158" s="61"/>
    </row>
    <row r="159" ht="15.75" customHeight="1">
      <c r="C159" s="98"/>
      <c r="D159" s="38"/>
      <c r="E159" s="38"/>
      <c r="F159" s="98"/>
      <c r="G159" s="39"/>
      <c r="H159" s="39"/>
      <c r="I159" s="39"/>
      <c r="J159" s="39"/>
      <c r="K159" s="39"/>
      <c r="L159" s="39"/>
      <c r="M159" s="39"/>
      <c r="N159" s="39"/>
      <c r="O159" s="39"/>
      <c r="P159" s="39"/>
      <c r="Q159" s="39"/>
      <c r="R159" s="39"/>
      <c r="S159" s="39"/>
      <c r="T159" s="39"/>
      <c r="AR159" s="61"/>
    </row>
    <row r="160" ht="15.75" customHeight="1">
      <c r="C160" s="98"/>
      <c r="D160" s="38"/>
      <c r="E160" s="38"/>
      <c r="F160" s="98"/>
      <c r="G160" s="39"/>
      <c r="H160" s="39"/>
      <c r="I160" s="39"/>
      <c r="J160" s="39"/>
      <c r="K160" s="39"/>
      <c r="L160" s="39"/>
      <c r="M160" s="39"/>
      <c r="N160" s="39"/>
      <c r="O160" s="39"/>
      <c r="P160" s="39"/>
      <c r="Q160" s="39"/>
      <c r="R160" s="39"/>
      <c r="S160" s="39"/>
      <c r="T160" s="39"/>
      <c r="AR160" s="61"/>
    </row>
    <row r="161" ht="15.75" customHeight="1">
      <c r="C161" s="98"/>
      <c r="D161" s="38"/>
      <c r="E161" s="38"/>
      <c r="F161" s="98"/>
      <c r="G161" s="39"/>
      <c r="H161" s="39"/>
      <c r="I161" s="39"/>
      <c r="J161" s="39"/>
      <c r="K161" s="39"/>
      <c r="L161" s="39"/>
      <c r="M161" s="39"/>
      <c r="N161" s="39"/>
      <c r="O161" s="39"/>
      <c r="P161" s="39"/>
      <c r="Q161" s="39"/>
      <c r="R161" s="39"/>
      <c r="S161" s="39"/>
      <c r="T161" s="39"/>
      <c r="AR161" s="61"/>
    </row>
    <row r="162" ht="15.75" customHeight="1">
      <c r="C162" s="98"/>
      <c r="D162" s="38"/>
      <c r="E162" s="38"/>
      <c r="F162" s="98"/>
      <c r="G162" s="39"/>
      <c r="H162" s="39"/>
      <c r="I162" s="39"/>
      <c r="J162" s="39"/>
      <c r="K162" s="39"/>
      <c r="L162" s="39"/>
      <c r="M162" s="39"/>
      <c r="N162" s="39"/>
      <c r="O162" s="39"/>
      <c r="P162" s="39"/>
      <c r="Q162" s="39"/>
      <c r="R162" s="39"/>
      <c r="S162" s="39"/>
      <c r="T162" s="39"/>
      <c r="AR162" s="61"/>
    </row>
    <row r="163" ht="15.75" customHeight="1">
      <c r="C163" s="98"/>
      <c r="D163" s="38"/>
      <c r="E163" s="38"/>
      <c r="F163" s="98"/>
      <c r="G163" s="39"/>
      <c r="H163" s="39"/>
      <c r="I163" s="39"/>
      <c r="J163" s="39"/>
      <c r="K163" s="39"/>
      <c r="L163" s="39"/>
      <c r="M163" s="39"/>
      <c r="N163" s="39"/>
      <c r="O163" s="39"/>
      <c r="P163" s="39"/>
      <c r="Q163" s="39"/>
      <c r="R163" s="39"/>
      <c r="S163" s="39"/>
      <c r="T163" s="39"/>
      <c r="AR163" s="61"/>
    </row>
    <row r="164" ht="15.75" customHeight="1">
      <c r="C164" s="98"/>
      <c r="D164" s="38"/>
      <c r="E164" s="38"/>
      <c r="F164" s="98"/>
      <c r="G164" s="39"/>
      <c r="H164" s="39"/>
      <c r="I164" s="39"/>
      <c r="J164" s="39"/>
      <c r="K164" s="39"/>
      <c r="L164" s="39"/>
      <c r="M164" s="39"/>
      <c r="N164" s="39"/>
      <c r="O164" s="39"/>
      <c r="P164" s="39"/>
      <c r="Q164" s="39"/>
      <c r="R164" s="39"/>
      <c r="S164" s="39"/>
      <c r="T164" s="39"/>
      <c r="AR164" s="61"/>
    </row>
    <row r="165" ht="15.75" customHeight="1">
      <c r="C165" s="98"/>
      <c r="D165" s="38"/>
      <c r="E165" s="38"/>
      <c r="F165" s="98"/>
      <c r="G165" s="39"/>
      <c r="H165" s="39"/>
      <c r="I165" s="39"/>
      <c r="J165" s="39"/>
      <c r="K165" s="39"/>
      <c r="L165" s="39"/>
      <c r="M165" s="39"/>
      <c r="N165" s="39"/>
      <c r="O165" s="39"/>
      <c r="P165" s="39"/>
      <c r="Q165" s="39"/>
      <c r="R165" s="39"/>
      <c r="S165" s="39"/>
      <c r="T165" s="39"/>
      <c r="AR165" s="61"/>
    </row>
    <row r="166" ht="15.75" customHeight="1">
      <c r="C166" s="98"/>
      <c r="D166" s="38"/>
      <c r="E166" s="38"/>
      <c r="F166" s="98"/>
      <c r="G166" s="39"/>
      <c r="H166" s="39"/>
      <c r="I166" s="39"/>
      <c r="J166" s="39"/>
      <c r="K166" s="39"/>
      <c r="L166" s="39"/>
      <c r="M166" s="39"/>
      <c r="N166" s="39"/>
      <c r="O166" s="39"/>
      <c r="P166" s="39"/>
      <c r="Q166" s="39"/>
      <c r="R166" s="39"/>
      <c r="S166" s="39"/>
      <c r="T166" s="39"/>
      <c r="AR166" s="61"/>
    </row>
    <row r="167" ht="15.75" customHeight="1">
      <c r="C167" s="98"/>
      <c r="D167" s="38"/>
      <c r="E167" s="38"/>
      <c r="F167" s="98"/>
      <c r="G167" s="39"/>
      <c r="H167" s="39"/>
      <c r="I167" s="39"/>
      <c r="J167" s="39"/>
      <c r="K167" s="39"/>
      <c r="L167" s="39"/>
      <c r="M167" s="39"/>
      <c r="N167" s="39"/>
      <c r="O167" s="39"/>
      <c r="P167" s="39"/>
      <c r="Q167" s="39"/>
      <c r="R167" s="39"/>
      <c r="S167" s="39"/>
      <c r="T167" s="39"/>
      <c r="AR167" s="61"/>
    </row>
    <row r="168" ht="15.75" customHeight="1">
      <c r="C168" s="98"/>
      <c r="D168" s="38"/>
      <c r="E168" s="38"/>
      <c r="F168" s="98"/>
      <c r="G168" s="39"/>
      <c r="H168" s="39"/>
      <c r="I168" s="39"/>
      <c r="J168" s="39"/>
      <c r="K168" s="39"/>
      <c r="L168" s="39"/>
      <c r="M168" s="39"/>
      <c r="N168" s="39"/>
      <c r="O168" s="39"/>
      <c r="P168" s="39"/>
      <c r="Q168" s="39"/>
      <c r="R168" s="39"/>
      <c r="S168" s="39"/>
      <c r="T168" s="39"/>
      <c r="AR168" s="61"/>
    </row>
    <row r="169" ht="15.75" customHeight="1">
      <c r="C169" s="98"/>
      <c r="D169" s="38"/>
      <c r="E169" s="38"/>
      <c r="F169" s="98"/>
      <c r="G169" s="39"/>
      <c r="H169" s="39"/>
      <c r="I169" s="39"/>
      <c r="J169" s="39"/>
      <c r="K169" s="39"/>
      <c r="L169" s="39"/>
      <c r="M169" s="39"/>
      <c r="N169" s="39"/>
      <c r="O169" s="39"/>
      <c r="P169" s="39"/>
      <c r="Q169" s="39"/>
      <c r="R169" s="39"/>
      <c r="S169" s="39"/>
      <c r="T169" s="39"/>
      <c r="AR169" s="61"/>
    </row>
    <row r="170" ht="15.75" customHeight="1">
      <c r="C170" s="98"/>
      <c r="D170" s="38"/>
      <c r="E170" s="38"/>
      <c r="F170" s="98"/>
      <c r="G170" s="39"/>
      <c r="H170" s="39"/>
      <c r="I170" s="39"/>
      <c r="J170" s="39"/>
      <c r="K170" s="39"/>
      <c r="L170" s="39"/>
      <c r="M170" s="39"/>
      <c r="N170" s="39"/>
      <c r="O170" s="39"/>
      <c r="P170" s="39"/>
      <c r="Q170" s="39"/>
      <c r="R170" s="39"/>
      <c r="S170" s="39"/>
      <c r="T170" s="39"/>
      <c r="AR170" s="61"/>
    </row>
    <row r="171" ht="15.75" customHeight="1">
      <c r="C171" s="98"/>
      <c r="D171" s="38"/>
      <c r="E171" s="38"/>
      <c r="F171" s="98"/>
      <c r="G171" s="39"/>
      <c r="H171" s="39"/>
      <c r="I171" s="39"/>
      <c r="J171" s="39"/>
      <c r="K171" s="39"/>
      <c r="L171" s="39"/>
      <c r="M171" s="39"/>
      <c r="N171" s="39"/>
      <c r="O171" s="39"/>
      <c r="P171" s="39"/>
      <c r="Q171" s="39"/>
      <c r="R171" s="39"/>
      <c r="S171" s="39"/>
      <c r="T171" s="39"/>
      <c r="AR171" s="61"/>
    </row>
    <row r="172" ht="15.75" customHeight="1">
      <c r="C172" s="98"/>
      <c r="D172" s="38"/>
      <c r="E172" s="38"/>
      <c r="F172" s="98"/>
      <c r="G172" s="39"/>
      <c r="H172" s="39"/>
      <c r="I172" s="39"/>
      <c r="J172" s="39"/>
      <c r="K172" s="39"/>
      <c r="L172" s="39"/>
      <c r="M172" s="39"/>
      <c r="N172" s="39"/>
      <c r="O172" s="39"/>
      <c r="P172" s="39"/>
      <c r="Q172" s="39"/>
      <c r="R172" s="39"/>
      <c r="S172" s="39"/>
      <c r="T172" s="39"/>
      <c r="AR172" s="61"/>
    </row>
    <row r="173" ht="15.75" customHeight="1">
      <c r="C173" s="98"/>
      <c r="D173" s="38"/>
      <c r="E173" s="38"/>
      <c r="F173" s="98"/>
      <c r="G173" s="39"/>
      <c r="H173" s="39"/>
      <c r="I173" s="39"/>
      <c r="J173" s="39"/>
      <c r="K173" s="39"/>
      <c r="L173" s="39"/>
      <c r="M173" s="39"/>
      <c r="N173" s="39"/>
      <c r="O173" s="39"/>
      <c r="P173" s="39"/>
      <c r="Q173" s="39"/>
      <c r="R173" s="39"/>
      <c r="S173" s="39"/>
      <c r="T173" s="39"/>
      <c r="AR173" s="61"/>
    </row>
    <row r="174" ht="15.75" customHeight="1">
      <c r="C174" s="98"/>
      <c r="D174" s="38"/>
      <c r="E174" s="38"/>
      <c r="F174" s="98"/>
      <c r="G174" s="39"/>
      <c r="H174" s="39"/>
      <c r="I174" s="39"/>
      <c r="J174" s="39"/>
      <c r="K174" s="39"/>
      <c r="L174" s="39"/>
      <c r="M174" s="39"/>
      <c r="N174" s="39"/>
      <c r="O174" s="39"/>
      <c r="P174" s="39"/>
      <c r="Q174" s="39"/>
      <c r="R174" s="39"/>
      <c r="S174" s="39"/>
      <c r="T174" s="39"/>
      <c r="AR174" s="61"/>
    </row>
    <row r="175" ht="15.75" customHeight="1">
      <c r="C175" s="98"/>
      <c r="D175" s="38"/>
      <c r="E175" s="38"/>
      <c r="F175" s="98"/>
      <c r="G175" s="39"/>
      <c r="H175" s="39"/>
      <c r="I175" s="39"/>
      <c r="J175" s="39"/>
      <c r="K175" s="39"/>
      <c r="L175" s="39"/>
      <c r="M175" s="39"/>
      <c r="N175" s="39"/>
      <c r="O175" s="39"/>
      <c r="P175" s="39"/>
      <c r="Q175" s="39"/>
      <c r="R175" s="39"/>
      <c r="S175" s="39"/>
      <c r="T175" s="39"/>
      <c r="AR175" s="61"/>
    </row>
    <row r="176" ht="15.75" customHeight="1">
      <c r="C176" s="98"/>
      <c r="D176" s="38"/>
      <c r="E176" s="38"/>
      <c r="F176" s="98"/>
      <c r="G176" s="39"/>
      <c r="H176" s="39"/>
      <c r="I176" s="39"/>
      <c r="J176" s="39"/>
      <c r="K176" s="39"/>
      <c r="L176" s="39"/>
      <c r="M176" s="39"/>
      <c r="N176" s="39"/>
      <c r="O176" s="39"/>
      <c r="P176" s="39"/>
      <c r="Q176" s="39"/>
      <c r="R176" s="39"/>
      <c r="S176" s="39"/>
      <c r="T176" s="39"/>
      <c r="AR176" s="61"/>
    </row>
    <row r="177" ht="15.75" customHeight="1">
      <c r="C177" s="98"/>
      <c r="D177" s="38"/>
      <c r="E177" s="38"/>
      <c r="F177" s="98"/>
      <c r="G177" s="39"/>
      <c r="H177" s="39"/>
      <c r="I177" s="39"/>
      <c r="J177" s="39"/>
      <c r="K177" s="39"/>
      <c r="L177" s="39"/>
      <c r="M177" s="39"/>
      <c r="N177" s="39"/>
      <c r="O177" s="39"/>
      <c r="P177" s="39"/>
      <c r="Q177" s="39"/>
      <c r="R177" s="39"/>
      <c r="S177" s="39"/>
      <c r="T177" s="39"/>
      <c r="AR177" s="61"/>
    </row>
    <row r="178" ht="15.75" customHeight="1">
      <c r="C178" s="98"/>
      <c r="D178" s="38"/>
      <c r="E178" s="38"/>
      <c r="F178" s="98"/>
      <c r="G178" s="39"/>
      <c r="H178" s="39"/>
      <c r="I178" s="39"/>
      <c r="J178" s="39"/>
      <c r="K178" s="39"/>
      <c r="L178" s="39"/>
      <c r="M178" s="39"/>
      <c r="N178" s="39"/>
      <c r="O178" s="39"/>
      <c r="P178" s="39"/>
      <c r="Q178" s="39"/>
      <c r="R178" s="39"/>
      <c r="S178" s="39"/>
      <c r="T178" s="39"/>
      <c r="AR178" s="61"/>
    </row>
    <row r="179" ht="15.75" customHeight="1">
      <c r="C179" s="98"/>
      <c r="D179" s="38"/>
      <c r="E179" s="38"/>
      <c r="F179" s="98"/>
      <c r="G179" s="39"/>
      <c r="H179" s="39"/>
      <c r="I179" s="39"/>
      <c r="J179" s="39"/>
      <c r="K179" s="39"/>
      <c r="L179" s="39"/>
      <c r="M179" s="39"/>
      <c r="N179" s="39"/>
      <c r="O179" s="39"/>
      <c r="P179" s="39"/>
      <c r="Q179" s="39"/>
      <c r="R179" s="39"/>
      <c r="S179" s="39"/>
      <c r="T179" s="39"/>
      <c r="AR179" s="61"/>
    </row>
    <row r="180" ht="15.75" customHeight="1">
      <c r="C180" s="98"/>
      <c r="D180" s="38"/>
      <c r="E180" s="38"/>
      <c r="F180" s="98"/>
      <c r="G180" s="39"/>
      <c r="H180" s="39"/>
      <c r="I180" s="39"/>
      <c r="J180" s="39"/>
      <c r="K180" s="39"/>
      <c r="L180" s="39"/>
      <c r="M180" s="39"/>
      <c r="N180" s="39"/>
      <c r="O180" s="39"/>
      <c r="P180" s="39"/>
      <c r="Q180" s="39"/>
      <c r="R180" s="39"/>
      <c r="S180" s="39"/>
      <c r="T180" s="39"/>
      <c r="AR180" s="61"/>
    </row>
    <row r="181" ht="15.75" customHeight="1">
      <c r="C181" s="98"/>
      <c r="D181" s="38"/>
      <c r="E181" s="38"/>
      <c r="F181" s="98"/>
      <c r="G181" s="39"/>
      <c r="H181" s="39"/>
      <c r="I181" s="39"/>
      <c r="J181" s="39"/>
      <c r="K181" s="39"/>
      <c r="L181" s="39"/>
      <c r="M181" s="39"/>
      <c r="N181" s="39"/>
      <c r="O181" s="39"/>
      <c r="P181" s="39"/>
      <c r="Q181" s="39"/>
      <c r="R181" s="39"/>
      <c r="S181" s="39"/>
      <c r="T181" s="39"/>
      <c r="AR181" s="61"/>
    </row>
    <row r="182" ht="15.75" customHeight="1">
      <c r="C182" s="98"/>
      <c r="D182" s="38"/>
      <c r="E182" s="38"/>
      <c r="F182" s="98"/>
      <c r="G182" s="39"/>
      <c r="H182" s="39"/>
      <c r="I182" s="39"/>
      <c r="J182" s="39"/>
      <c r="K182" s="39"/>
      <c r="L182" s="39"/>
      <c r="M182" s="39"/>
      <c r="N182" s="39"/>
      <c r="O182" s="39"/>
      <c r="P182" s="39"/>
      <c r="Q182" s="39"/>
      <c r="R182" s="39"/>
      <c r="S182" s="39"/>
      <c r="T182" s="39"/>
      <c r="AR182" s="61"/>
    </row>
    <row r="183" ht="15.75" customHeight="1">
      <c r="C183" s="98"/>
      <c r="D183" s="38"/>
      <c r="E183" s="38"/>
      <c r="F183" s="98"/>
      <c r="G183" s="39"/>
      <c r="H183" s="39"/>
      <c r="I183" s="39"/>
      <c r="J183" s="39"/>
      <c r="K183" s="39"/>
      <c r="L183" s="39"/>
      <c r="M183" s="39"/>
      <c r="N183" s="39"/>
      <c r="O183" s="39"/>
      <c r="P183" s="39"/>
      <c r="Q183" s="39"/>
      <c r="R183" s="39"/>
      <c r="S183" s="39"/>
      <c r="T183" s="39"/>
      <c r="AR183" s="61"/>
    </row>
    <row r="184" ht="15.75" customHeight="1">
      <c r="C184" s="98"/>
      <c r="D184" s="38"/>
      <c r="E184" s="38"/>
      <c r="F184" s="98"/>
      <c r="G184" s="39"/>
      <c r="H184" s="39"/>
      <c r="I184" s="39"/>
      <c r="J184" s="39"/>
      <c r="K184" s="39"/>
      <c r="L184" s="39"/>
      <c r="M184" s="39"/>
      <c r="N184" s="39"/>
      <c r="O184" s="39"/>
      <c r="P184" s="39"/>
      <c r="Q184" s="39"/>
      <c r="R184" s="39"/>
      <c r="S184" s="39"/>
      <c r="T184" s="39"/>
      <c r="AR184" s="61"/>
    </row>
    <row r="185" ht="15.75" customHeight="1">
      <c r="C185" s="98"/>
      <c r="D185" s="38"/>
      <c r="E185" s="38"/>
      <c r="F185" s="98"/>
      <c r="G185" s="39"/>
      <c r="H185" s="39"/>
      <c r="I185" s="39"/>
      <c r="J185" s="39"/>
      <c r="K185" s="39"/>
      <c r="L185" s="39"/>
      <c r="M185" s="39"/>
      <c r="N185" s="39"/>
      <c r="O185" s="39"/>
      <c r="P185" s="39"/>
      <c r="Q185" s="39"/>
      <c r="R185" s="39"/>
      <c r="S185" s="39"/>
      <c r="T185" s="39"/>
      <c r="AR185" s="61"/>
    </row>
    <row r="186" ht="15.75" customHeight="1">
      <c r="C186" s="98"/>
      <c r="D186" s="38"/>
      <c r="E186" s="38"/>
      <c r="F186" s="98"/>
      <c r="G186" s="39"/>
      <c r="H186" s="39"/>
      <c r="I186" s="39"/>
      <c r="J186" s="39"/>
      <c r="K186" s="39"/>
      <c r="L186" s="39"/>
      <c r="M186" s="39"/>
      <c r="N186" s="39"/>
      <c r="O186" s="39"/>
      <c r="P186" s="39"/>
      <c r="Q186" s="39"/>
      <c r="R186" s="39"/>
      <c r="S186" s="39"/>
      <c r="T186" s="39"/>
      <c r="AR186" s="61"/>
    </row>
    <row r="187" ht="15.75" customHeight="1">
      <c r="C187" s="98"/>
      <c r="D187" s="38"/>
      <c r="E187" s="38"/>
      <c r="F187" s="98"/>
      <c r="G187" s="39"/>
      <c r="H187" s="39"/>
      <c r="I187" s="39"/>
      <c r="J187" s="39"/>
      <c r="K187" s="39"/>
      <c r="L187" s="39"/>
      <c r="M187" s="39"/>
      <c r="N187" s="39"/>
      <c r="O187" s="39"/>
      <c r="P187" s="39"/>
      <c r="Q187" s="39"/>
      <c r="R187" s="39"/>
      <c r="S187" s="39"/>
      <c r="T187" s="39"/>
      <c r="AR187" s="61"/>
    </row>
    <row r="188" ht="15.75" customHeight="1">
      <c r="C188" s="98"/>
      <c r="D188" s="38"/>
      <c r="E188" s="38"/>
      <c r="F188" s="98"/>
      <c r="G188" s="39"/>
      <c r="H188" s="39"/>
      <c r="I188" s="39"/>
      <c r="J188" s="39"/>
      <c r="K188" s="39"/>
      <c r="L188" s="39"/>
      <c r="M188" s="39"/>
      <c r="N188" s="39"/>
      <c r="O188" s="39"/>
      <c r="P188" s="39"/>
      <c r="Q188" s="39"/>
      <c r="R188" s="39"/>
      <c r="S188" s="39"/>
      <c r="T188" s="39"/>
      <c r="AR188" s="61"/>
    </row>
    <row r="189" ht="15.75" customHeight="1">
      <c r="C189" s="98"/>
      <c r="D189" s="38"/>
      <c r="E189" s="38"/>
      <c r="F189" s="98"/>
      <c r="G189" s="39"/>
      <c r="H189" s="39"/>
      <c r="I189" s="39"/>
      <c r="J189" s="39"/>
      <c r="K189" s="39"/>
      <c r="L189" s="39"/>
      <c r="M189" s="39"/>
      <c r="N189" s="39"/>
      <c r="O189" s="39"/>
      <c r="P189" s="39"/>
      <c r="Q189" s="39"/>
      <c r="R189" s="39"/>
      <c r="S189" s="39"/>
      <c r="T189" s="39"/>
      <c r="AR189" s="61"/>
    </row>
    <row r="190" ht="15.75" customHeight="1">
      <c r="C190" s="98"/>
      <c r="D190" s="38"/>
      <c r="E190" s="38"/>
      <c r="F190" s="98"/>
      <c r="G190" s="39"/>
      <c r="H190" s="39"/>
      <c r="I190" s="39"/>
      <c r="J190" s="39"/>
      <c r="K190" s="39"/>
      <c r="L190" s="39"/>
      <c r="M190" s="39"/>
      <c r="N190" s="39"/>
      <c r="O190" s="39"/>
      <c r="P190" s="39"/>
      <c r="Q190" s="39"/>
      <c r="R190" s="39"/>
      <c r="S190" s="39"/>
      <c r="T190" s="39"/>
      <c r="AR190" s="61"/>
    </row>
    <row r="191" ht="15.75" customHeight="1">
      <c r="C191" s="98"/>
      <c r="D191" s="38"/>
      <c r="E191" s="38"/>
      <c r="F191" s="98"/>
      <c r="G191" s="39"/>
      <c r="H191" s="39"/>
      <c r="I191" s="39"/>
      <c r="J191" s="39"/>
      <c r="K191" s="39"/>
      <c r="L191" s="39"/>
      <c r="M191" s="39"/>
      <c r="N191" s="39"/>
      <c r="O191" s="39"/>
      <c r="P191" s="39"/>
      <c r="Q191" s="39"/>
      <c r="R191" s="39"/>
      <c r="S191" s="39"/>
      <c r="T191" s="39"/>
      <c r="AR191" s="61"/>
    </row>
    <row r="192" ht="15.75" customHeight="1">
      <c r="C192" s="98"/>
      <c r="D192" s="38"/>
      <c r="E192" s="38"/>
      <c r="F192" s="98"/>
      <c r="G192" s="39"/>
      <c r="H192" s="39"/>
      <c r="I192" s="39"/>
      <c r="J192" s="39"/>
      <c r="K192" s="39"/>
      <c r="L192" s="39"/>
      <c r="M192" s="39"/>
      <c r="N192" s="39"/>
      <c r="O192" s="39"/>
      <c r="P192" s="39"/>
      <c r="Q192" s="39"/>
      <c r="R192" s="39"/>
      <c r="S192" s="39"/>
      <c r="T192" s="39"/>
      <c r="AR192" s="61"/>
    </row>
    <row r="193" ht="15.75" customHeight="1">
      <c r="C193" s="98"/>
      <c r="D193" s="38"/>
      <c r="E193" s="38"/>
      <c r="F193" s="98"/>
      <c r="G193" s="39"/>
      <c r="H193" s="39"/>
      <c r="I193" s="39"/>
      <c r="J193" s="39"/>
      <c r="K193" s="39"/>
      <c r="L193" s="39"/>
      <c r="M193" s="39"/>
      <c r="N193" s="39"/>
      <c r="O193" s="39"/>
      <c r="P193" s="39"/>
      <c r="Q193" s="39"/>
      <c r="R193" s="39"/>
      <c r="S193" s="39"/>
      <c r="T193" s="39"/>
      <c r="AR193" s="61"/>
    </row>
    <row r="194" ht="15.75" customHeight="1">
      <c r="C194" s="98"/>
      <c r="D194" s="38"/>
      <c r="E194" s="38"/>
      <c r="F194" s="98"/>
      <c r="G194" s="39"/>
      <c r="H194" s="39"/>
      <c r="I194" s="39"/>
      <c r="J194" s="39"/>
      <c r="K194" s="39"/>
      <c r="L194" s="39"/>
      <c r="M194" s="39"/>
      <c r="N194" s="39"/>
      <c r="O194" s="39"/>
      <c r="P194" s="39"/>
      <c r="Q194" s="39"/>
      <c r="R194" s="39"/>
      <c r="S194" s="39"/>
      <c r="T194" s="39"/>
      <c r="AR194" s="61"/>
    </row>
    <row r="195" ht="15.75" customHeight="1">
      <c r="C195" s="98"/>
      <c r="D195" s="38"/>
      <c r="E195" s="38"/>
      <c r="F195" s="98"/>
      <c r="G195" s="39"/>
      <c r="H195" s="39"/>
      <c r="I195" s="39"/>
      <c r="J195" s="39"/>
      <c r="K195" s="39"/>
      <c r="L195" s="39"/>
      <c r="M195" s="39"/>
      <c r="N195" s="39"/>
      <c r="O195" s="39"/>
      <c r="P195" s="39"/>
      <c r="Q195" s="39"/>
      <c r="R195" s="39"/>
      <c r="S195" s="39"/>
      <c r="T195" s="39"/>
      <c r="AR195" s="61"/>
    </row>
    <row r="196" ht="15.75" customHeight="1">
      <c r="C196" s="98"/>
      <c r="D196" s="38"/>
      <c r="E196" s="38"/>
      <c r="F196" s="98"/>
      <c r="G196" s="39"/>
      <c r="H196" s="39"/>
      <c r="I196" s="39"/>
      <c r="J196" s="39"/>
      <c r="K196" s="39"/>
      <c r="L196" s="39"/>
      <c r="M196" s="39"/>
      <c r="N196" s="39"/>
      <c r="O196" s="39"/>
      <c r="P196" s="39"/>
      <c r="Q196" s="39"/>
      <c r="R196" s="39"/>
      <c r="S196" s="39"/>
      <c r="T196" s="39"/>
      <c r="AR196" s="61"/>
    </row>
    <row r="197" ht="15.75" customHeight="1">
      <c r="C197" s="98"/>
      <c r="D197" s="38"/>
      <c r="E197" s="38"/>
      <c r="F197" s="98"/>
      <c r="G197" s="39"/>
      <c r="H197" s="39"/>
      <c r="I197" s="39"/>
      <c r="J197" s="39"/>
      <c r="K197" s="39"/>
      <c r="L197" s="39"/>
      <c r="M197" s="39"/>
      <c r="N197" s="39"/>
      <c r="O197" s="39"/>
      <c r="P197" s="39"/>
      <c r="Q197" s="39"/>
      <c r="R197" s="39"/>
      <c r="S197" s="39"/>
      <c r="T197" s="39"/>
      <c r="AR197" s="61"/>
    </row>
    <row r="198" ht="15.75" customHeight="1">
      <c r="C198" s="98"/>
      <c r="D198" s="38"/>
      <c r="E198" s="38"/>
      <c r="F198" s="98"/>
      <c r="G198" s="39"/>
      <c r="H198" s="39"/>
      <c r="I198" s="39"/>
      <c r="J198" s="39"/>
      <c r="K198" s="39"/>
      <c r="L198" s="39"/>
      <c r="M198" s="39"/>
      <c r="N198" s="39"/>
      <c r="O198" s="39"/>
      <c r="P198" s="39"/>
      <c r="Q198" s="39"/>
      <c r="R198" s="39"/>
      <c r="S198" s="39"/>
      <c r="T198" s="39"/>
      <c r="AR198" s="61"/>
    </row>
    <row r="199" ht="15.75" customHeight="1">
      <c r="C199" s="98"/>
      <c r="D199" s="38"/>
      <c r="E199" s="38"/>
      <c r="F199" s="98"/>
      <c r="G199" s="39"/>
      <c r="H199" s="39"/>
      <c r="I199" s="39"/>
      <c r="J199" s="39"/>
      <c r="K199" s="39"/>
      <c r="L199" s="39"/>
      <c r="M199" s="39"/>
      <c r="N199" s="39"/>
      <c r="O199" s="39"/>
      <c r="P199" s="39"/>
      <c r="Q199" s="39"/>
      <c r="R199" s="39"/>
      <c r="S199" s="39"/>
      <c r="T199" s="39"/>
      <c r="AR199" s="61"/>
    </row>
    <row r="200" ht="15.75" customHeight="1">
      <c r="C200" s="98"/>
      <c r="D200" s="38"/>
      <c r="E200" s="38"/>
      <c r="F200" s="98"/>
      <c r="G200" s="39"/>
      <c r="H200" s="39"/>
      <c r="I200" s="39"/>
      <c r="J200" s="39"/>
      <c r="K200" s="39"/>
      <c r="L200" s="39"/>
      <c r="M200" s="39"/>
      <c r="N200" s="39"/>
      <c r="O200" s="39"/>
      <c r="P200" s="39"/>
      <c r="Q200" s="39"/>
      <c r="R200" s="39"/>
      <c r="S200" s="39"/>
      <c r="T200" s="39"/>
      <c r="AR200" s="61"/>
    </row>
    <row r="201" ht="15.75" customHeight="1">
      <c r="C201" s="98"/>
      <c r="D201" s="38"/>
      <c r="E201" s="38"/>
      <c r="F201" s="98"/>
      <c r="G201" s="39"/>
      <c r="H201" s="39"/>
      <c r="I201" s="39"/>
      <c r="J201" s="39"/>
      <c r="K201" s="39"/>
      <c r="L201" s="39"/>
      <c r="M201" s="39"/>
      <c r="N201" s="39"/>
      <c r="O201" s="39"/>
      <c r="P201" s="39"/>
      <c r="Q201" s="39"/>
      <c r="R201" s="39"/>
      <c r="S201" s="39"/>
      <c r="T201" s="39"/>
      <c r="AR201" s="61"/>
    </row>
    <row r="202" ht="15.75" customHeight="1">
      <c r="C202" s="98"/>
      <c r="D202" s="38"/>
      <c r="E202" s="38"/>
      <c r="F202" s="98"/>
      <c r="G202" s="39"/>
      <c r="H202" s="39"/>
      <c r="I202" s="39"/>
      <c r="J202" s="39"/>
      <c r="K202" s="39"/>
      <c r="L202" s="39"/>
      <c r="M202" s="39"/>
      <c r="N202" s="39"/>
      <c r="O202" s="39"/>
      <c r="P202" s="39"/>
      <c r="Q202" s="39"/>
      <c r="R202" s="39"/>
      <c r="S202" s="39"/>
      <c r="T202" s="39"/>
      <c r="AR202" s="61"/>
    </row>
    <row r="203" ht="15.75" customHeight="1">
      <c r="C203" s="98"/>
      <c r="D203" s="38"/>
      <c r="E203" s="38"/>
      <c r="F203" s="98"/>
      <c r="G203" s="39"/>
      <c r="H203" s="39"/>
      <c r="I203" s="39"/>
      <c r="J203" s="39"/>
      <c r="K203" s="39"/>
      <c r="L203" s="39"/>
      <c r="M203" s="39"/>
      <c r="N203" s="39"/>
      <c r="O203" s="39"/>
      <c r="P203" s="39"/>
      <c r="Q203" s="39"/>
      <c r="R203" s="39"/>
      <c r="S203" s="39"/>
      <c r="T203" s="39"/>
      <c r="AR203" s="61"/>
    </row>
    <row r="204" ht="15.75" customHeight="1">
      <c r="C204" s="98"/>
      <c r="D204" s="38"/>
      <c r="E204" s="38"/>
      <c r="F204" s="98"/>
      <c r="G204" s="39"/>
      <c r="H204" s="39"/>
      <c r="I204" s="39"/>
      <c r="J204" s="39"/>
      <c r="K204" s="39"/>
      <c r="L204" s="39"/>
      <c r="M204" s="39"/>
      <c r="N204" s="39"/>
      <c r="O204" s="39"/>
      <c r="P204" s="39"/>
      <c r="Q204" s="39"/>
      <c r="R204" s="39"/>
      <c r="S204" s="39"/>
      <c r="T204" s="39"/>
      <c r="AR204" s="61"/>
    </row>
    <row r="205" ht="15.75" customHeight="1">
      <c r="C205" s="98"/>
      <c r="D205" s="38"/>
      <c r="E205" s="38"/>
      <c r="F205" s="98"/>
      <c r="G205" s="39"/>
      <c r="H205" s="39"/>
      <c r="I205" s="39"/>
      <c r="J205" s="39"/>
      <c r="K205" s="39"/>
      <c r="L205" s="39"/>
      <c r="M205" s="39"/>
      <c r="N205" s="39"/>
      <c r="O205" s="39"/>
      <c r="P205" s="39"/>
      <c r="Q205" s="39"/>
      <c r="R205" s="39"/>
      <c r="S205" s="39"/>
      <c r="T205" s="39"/>
      <c r="AR205" s="61"/>
    </row>
    <row r="206" ht="15.75" customHeight="1">
      <c r="C206" s="98"/>
      <c r="D206" s="38"/>
      <c r="E206" s="38"/>
      <c r="F206" s="98"/>
      <c r="G206" s="39"/>
      <c r="H206" s="39"/>
      <c r="I206" s="39"/>
      <c r="J206" s="39"/>
      <c r="K206" s="39"/>
      <c r="L206" s="39"/>
      <c r="M206" s="39"/>
      <c r="N206" s="39"/>
      <c r="O206" s="39"/>
      <c r="P206" s="39"/>
      <c r="Q206" s="39"/>
      <c r="R206" s="39"/>
      <c r="S206" s="39"/>
      <c r="T206" s="39"/>
      <c r="AR206" s="61"/>
    </row>
    <row r="207" ht="15.75" customHeight="1">
      <c r="C207" s="98"/>
      <c r="D207" s="38"/>
      <c r="E207" s="38"/>
      <c r="F207" s="98"/>
      <c r="G207" s="39"/>
      <c r="H207" s="39"/>
      <c r="I207" s="39"/>
      <c r="J207" s="39"/>
      <c r="K207" s="39"/>
      <c r="L207" s="39"/>
      <c r="M207" s="39"/>
      <c r="N207" s="39"/>
      <c r="O207" s="39"/>
      <c r="P207" s="39"/>
      <c r="Q207" s="39"/>
      <c r="R207" s="39"/>
      <c r="S207" s="39"/>
      <c r="T207" s="39"/>
      <c r="AR207" s="61"/>
    </row>
    <row r="208" ht="15.75" customHeight="1">
      <c r="C208" s="98"/>
      <c r="D208" s="38"/>
      <c r="E208" s="38"/>
      <c r="F208" s="98"/>
      <c r="G208" s="39"/>
      <c r="H208" s="39"/>
      <c r="I208" s="39"/>
      <c r="J208" s="39"/>
      <c r="K208" s="39"/>
      <c r="L208" s="39"/>
      <c r="M208" s="39"/>
      <c r="N208" s="39"/>
      <c r="O208" s="39"/>
      <c r="P208" s="39"/>
      <c r="Q208" s="39"/>
      <c r="R208" s="39"/>
      <c r="S208" s="39"/>
      <c r="T208" s="39"/>
      <c r="AR208" s="61"/>
    </row>
    <row r="209" ht="15.75" customHeight="1">
      <c r="C209" s="98"/>
      <c r="D209" s="38"/>
      <c r="E209" s="38"/>
      <c r="F209" s="98"/>
      <c r="G209" s="39"/>
      <c r="H209" s="39"/>
      <c r="I209" s="39"/>
      <c r="J209" s="39"/>
      <c r="K209" s="39"/>
      <c r="L209" s="39"/>
      <c r="M209" s="39"/>
      <c r="N209" s="39"/>
      <c r="O209" s="39"/>
      <c r="P209" s="39"/>
      <c r="Q209" s="39"/>
      <c r="R209" s="39"/>
      <c r="S209" s="39"/>
      <c r="T209" s="39"/>
      <c r="AR209" s="61"/>
    </row>
    <row r="210" ht="15.75" customHeight="1">
      <c r="C210" s="98"/>
      <c r="D210" s="38"/>
      <c r="E210" s="38"/>
      <c r="F210" s="98"/>
      <c r="G210" s="39"/>
      <c r="H210" s="39"/>
      <c r="I210" s="39"/>
      <c r="J210" s="39"/>
      <c r="K210" s="39"/>
      <c r="L210" s="39"/>
      <c r="M210" s="39"/>
      <c r="N210" s="39"/>
      <c r="O210" s="39"/>
      <c r="P210" s="39"/>
      <c r="Q210" s="39"/>
      <c r="R210" s="39"/>
      <c r="S210" s="39"/>
      <c r="T210" s="39"/>
      <c r="AR210" s="61"/>
    </row>
    <row r="211" ht="15.75" customHeight="1">
      <c r="C211" s="98"/>
      <c r="D211" s="38"/>
      <c r="E211" s="38"/>
      <c r="F211" s="98"/>
      <c r="G211" s="39"/>
      <c r="H211" s="39"/>
      <c r="I211" s="39"/>
      <c r="J211" s="39"/>
      <c r="K211" s="39"/>
      <c r="L211" s="39"/>
      <c r="M211" s="39"/>
      <c r="N211" s="39"/>
      <c r="O211" s="39"/>
      <c r="P211" s="39"/>
      <c r="Q211" s="39"/>
      <c r="R211" s="39"/>
      <c r="S211" s="39"/>
      <c r="T211" s="39"/>
      <c r="AR211" s="61"/>
    </row>
    <row r="212" ht="15.75" customHeight="1">
      <c r="C212" s="98"/>
      <c r="D212" s="38"/>
      <c r="E212" s="38"/>
      <c r="F212" s="98"/>
      <c r="G212" s="39"/>
      <c r="H212" s="39"/>
      <c r="I212" s="39"/>
      <c r="J212" s="39"/>
      <c r="K212" s="39"/>
      <c r="L212" s="39"/>
      <c r="M212" s="39"/>
      <c r="N212" s="39"/>
      <c r="O212" s="39"/>
      <c r="P212" s="39"/>
      <c r="Q212" s="39"/>
      <c r="R212" s="39"/>
      <c r="S212" s="39"/>
      <c r="T212" s="39"/>
      <c r="AR212" s="61"/>
    </row>
    <row r="213" ht="15.75" customHeight="1">
      <c r="C213" s="98"/>
      <c r="D213" s="38"/>
      <c r="E213" s="38"/>
      <c r="F213" s="98"/>
      <c r="G213" s="39"/>
      <c r="H213" s="39"/>
      <c r="I213" s="39"/>
      <c r="J213" s="39"/>
      <c r="K213" s="39"/>
      <c r="L213" s="39"/>
      <c r="M213" s="39"/>
      <c r="N213" s="39"/>
      <c r="O213" s="39"/>
      <c r="P213" s="39"/>
      <c r="Q213" s="39"/>
      <c r="R213" s="39"/>
      <c r="S213" s="39"/>
      <c r="T213" s="39"/>
      <c r="AR213" s="61"/>
    </row>
    <row r="214" ht="15.75" customHeight="1">
      <c r="C214" s="98"/>
      <c r="D214" s="38"/>
      <c r="E214" s="38"/>
      <c r="F214" s="98"/>
      <c r="G214" s="39"/>
      <c r="H214" s="39"/>
      <c r="I214" s="39"/>
      <c r="J214" s="39"/>
      <c r="K214" s="39"/>
      <c r="L214" s="39"/>
      <c r="M214" s="39"/>
      <c r="N214" s="39"/>
      <c r="O214" s="39"/>
      <c r="P214" s="39"/>
      <c r="Q214" s="39"/>
      <c r="R214" s="39"/>
      <c r="S214" s="39"/>
      <c r="T214" s="39"/>
      <c r="AR214" s="61"/>
    </row>
    <row r="215" ht="15.75" customHeight="1">
      <c r="C215" s="98"/>
      <c r="D215" s="38"/>
      <c r="E215" s="38"/>
      <c r="F215" s="98"/>
      <c r="G215" s="39"/>
      <c r="H215" s="39"/>
      <c r="I215" s="39"/>
      <c r="J215" s="39"/>
      <c r="K215" s="39"/>
      <c r="L215" s="39"/>
      <c r="M215" s="39"/>
      <c r="N215" s="39"/>
      <c r="O215" s="39"/>
      <c r="P215" s="39"/>
      <c r="Q215" s="39"/>
      <c r="R215" s="39"/>
      <c r="S215" s="39"/>
      <c r="T215" s="39"/>
      <c r="AR215" s="61"/>
    </row>
    <row r="216" ht="15.75" customHeight="1">
      <c r="C216" s="98"/>
      <c r="D216" s="38"/>
      <c r="E216" s="38"/>
      <c r="F216" s="98"/>
      <c r="G216" s="39"/>
      <c r="H216" s="39"/>
      <c r="I216" s="39"/>
      <c r="J216" s="39"/>
      <c r="K216" s="39"/>
      <c r="L216" s="39"/>
      <c r="M216" s="39"/>
      <c r="N216" s="39"/>
      <c r="O216" s="39"/>
      <c r="P216" s="39"/>
      <c r="Q216" s="39"/>
      <c r="R216" s="39"/>
      <c r="S216" s="39"/>
      <c r="T216" s="39"/>
      <c r="AR216" s="61"/>
    </row>
    <row r="217" ht="15.75" customHeight="1">
      <c r="C217" s="98"/>
      <c r="D217" s="38"/>
      <c r="E217" s="38"/>
      <c r="F217" s="98"/>
      <c r="G217" s="39"/>
      <c r="H217" s="39"/>
      <c r="I217" s="39"/>
      <c r="J217" s="39"/>
      <c r="K217" s="39"/>
      <c r="L217" s="39"/>
      <c r="M217" s="39"/>
      <c r="N217" s="39"/>
      <c r="O217" s="39"/>
      <c r="P217" s="39"/>
      <c r="Q217" s="39"/>
      <c r="R217" s="39"/>
      <c r="S217" s="39"/>
      <c r="T217" s="39"/>
      <c r="AR217" s="61"/>
    </row>
    <row r="218" ht="15.75" customHeight="1">
      <c r="C218" s="98"/>
      <c r="D218" s="38"/>
      <c r="E218" s="38"/>
      <c r="F218" s="98"/>
      <c r="G218" s="39"/>
      <c r="H218" s="39"/>
      <c r="I218" s="39"/>
      <c r="J218" s="39"/>
      <c r="K218" s="39"/>
      <c r="L218" s="39"/>
      <c r="M218" s="39"/>
      <c r="N218" s="39"/>
      <c r="O218" s="39"/>
      <c r="P218" s="39"/>
      <c r="Q218" s="39"/>
      <c r="R218" s="39"/>
      <c r="S218" s="39"/>
      <c r="T218" s="39"/>
      <c r="AR218" s="61"/>
    </row>
    <row r="219" ht="15.75" customHeight="1">
      <c r="C219" s="98"/>
      <c r="D219" s="38"/>
      <c r="E219" s="38"/>
      <c r="F219" s="98"/>
      <c r="G219" s="39"/>
      <c r="H219" s="39"/>
      <c r="I219" s="39"/>
      <c r="J219" s="39"/>
      <c r="K219" s="39"/>
      <c r="L219" s="39"/>
      <c r="M219" s="39"/>
      <c r="N219" s="39"/>
      <c r="O219" s="39"/>
      <c r="P219" s="39"/>
      <c r="Q219" s="39"/>
      <c r="R219" s="39"/>
      <c r="S219" s="39"/>
      <c r="T219" s="39"/>
      <c r="AR219" s="61"/>
    </row>
    <row r="220" ht="15.75" customHeight="1">
      <c r="C220" s="98"/>
      <c r="D220" s="38"/>
      <c r="E220" s="38"/>
      <c r="F220" s="98"/>
      <c r="G220" s="39"/>
      <c r="H220" s="39"/>
      <c r="I220" s="39"/>
      <c r="J220" s="39"/>
      <c r="K220" s="39"/>
      <c r="L220" s="39"/>
      <c r="M220" s="39"/>
      <c r="N220" s="39"/>
      <c r="O220" s="39"/>
      <c r="P220" s="39"/>
      <c r="Q220" s="39"/>
      <c r="R220" s="39"/>
      <c r="S220" s="39"/>
      <c r="T220" s="39"/>
      <c r="AR220" s="61"/>
    </row>
    <row r="221" ht="15.75" customHeight="1">
      <c r="C221" s="98"/>
      <c r="D221" s="38"/>
      <c r="E221" s="38"/>
      <c r="F221" s="98"/>
      <c r="G221" s="39"/>
      <c r="H221" s="39"/>
      <c r="I221" s="39"/>
      <c r="J221" s="39"/>
      <c r="K221" s="39"/>
      <c r="L221" s="39"/>
      <c r="M221" s="39"/>
      <c r="N221" s="39"/>
      <c r="O221" s="39"/>
      <c r="P221" s="39"/>
      <c r="Q221" s="39"/>
      <c r="R221" s="39"/>
      <c r="S221" s="39"/>
      <c r="T221" s="39"/>
      <c r="AR221" s="61"/>
    </row>
    <row r="222" ht="15.75" customHeight="1">
      <c r="C222" s="98"/>
      <c r="D222" s="38"/>
      <c r="E222" s="38"/>
      <c r="F222" s="98"/>
      <c r="G222" s="39"/>
      <c r="H222" s="39"/>
      <c r="I222" s="39"/>
      <c r="J222" s="39"/>
      <c r="K222" s="39"/>
      <c r="L222" s="39"/>
      <c r="M222" s="39"/>
      <c r="N222" s="39"/>
      <c r="O222" s="39"/>
      <c r="P222" s="39"/>
      <c r="Q222" s="39"/>
      <c r="R222" s="39"/>
      <c r="S222" s="39"/>
      <c r="T222" s="39"/>
      <c r="AR222" s="61"/>
    </row>
    <row r="223" ht="15.75" customHeight="1">
      <c r="C223" s="98"/>
      <c r="D223" s="38"/>
      <c r="E223" s="38"/>
      <c r="F223" s="98"/>
      <c r="G223" s="39"/>
      <c r="H223" s="39"/>
      <c r="I223" s="39"/>
      <c r="J223" s="39"/>
      <c r="K223" s="39"/>
      <c r="L223" s="39"/>
      <c r="M223" s="39"/>
      <c r="N223" s="39"/>
      <c r="O223" s="39"/>
      <c r="P223" s="39"/>
      <c r="Q223" s="39"/>
      <c r="R223" s="39"/>
      <c r="S223" s="39"/>
      <c r="T223" s="39"/>
      <c r="AR223" s="61"/>
    </row>
    <row r="224" ht="15.75" customHeight="1">
      <c r="C224" s="98"/>
      <c r="D224" s="38"/>
      <c r="E224" s="38"/>
      <c r="F224" s="98"/>
      <c r="G224" s="39"/>
      <c r="H224" s="39"/>
      <c r="I224" s="39"/>
      <c r="J224" s="39"/>
      <c r="K224" s="39"/>
      <c r="L224" s="39"/>
      <c r="M224" s="39"/>
      <c r="N224" s="39"/>
      <c r="O224" s="39"/>
      <c r="P224" s="39"/>
      <c r="Q224" s="39"/>
      <c r="R224" s="39"/>
      <c r="S224" s="39"/>
      <c r="T224" s="39"/>
      <c r="AR224" s="61"/>
    </row>
    <row r="225" ht="15.75" customHeight="1">
      <c r="C225" s="98"/>
      <c r="D225" s="38"/>
      <c r="E225" s="38"/>
      <c r="F225" s="98"/>
      <c r="G225" s="39"/>
      <c r="H225" s="39"/>
      <c r="I225" s="39"/>
      <c r="J225" s="39"/>
      <c r="K225" s="39"/>
      <c r="L225" s="39"/>
      <c r="M225" s="39"/>
      <c r="N225" s="39"/>
      <c r="O225" s="39"/>
      <c r="P225" s="39"/>
      <c r="Q225" s="39"/>
      <c r="R225" s="39"/>
      <c r="S225" s="39"/>
      <c r="T225" s="39"/>
      <c r="AR225" s="61"/>
    </row>
    <row r="226" ht="15.75" customHeight="1">
      <c r="C226" s="98"/>
      <c r="D226" s="38"/>
      <c r="E226" s="38"/>
      <c r="F226" s="98"/>
      <c r="G226" s="39"/>
      <c r="H226" s="39"/>
      <c r="I226" s="39"/>
      <c r="J226" s="39"/>
      <c r="K226" s="39"/>
      <c r="L226" s="39"/>
      <c r="M226" s="39"/>
      <c r="N226" s="39"/>
      <c r="O226" s="39"/>
      <c r="P226" s="39"/>
      <c r="Q226" s="39"/>
      <c r="R226" s="39"/>
      <c r="S226" s="39"/>
      <c r="T226" s="39"/>
      <c r="AR226" s="61"/>
    </row>
    <row r="227" ht="15.75" customHeight="1">
      <c r="C227" s="98"/>
      <c r="D227" s="38"/>
      <c r="E227" s="38"/>
      <c r="F227" s="98"/>
      <c r="G227" s="39"/>
      <c r="H227" s="39"/>
      <c r="I227" s="39"/>
      <c r="J227" s="39"/>
      <c r="K227" s="39"/>
      <c r="L227" s="39"/>
      <c r="M227" s="39"/>
      <c r="N227" s="39"/>
      <c r="O227" s="39"/>
      <c r="P227" s="39"/>
      <c r="Q227" s="39"/>
      <c r="R227" s="39"/>
      <c r="S227" s="39"/>
      <c r="T227" s="39"/>
      <c r="AR227" s="61"/>
    </row>
    <row r="228" ht="15.75" customHeight="1">
      <c r="C228" s="98"/>
      <c r="D228" s="38"/>
      <c r="E228" s="38"/>
      <c r="F228" s="98"/>
      <c r="G228" s="39"/>
      <c r="H228" s="39"/>
      <c r="I228" s="39"/>
      <c r="J228" s="39"/>
      <c r="K228" s="39"/>
      <c r="L228" s="39"/>
      <c r="M228" s="39"/>
      <c r="N228" s="39"/>
      <c r="O228" s="39"/>
      <c r="P228" s="39"/>
      <c r="Q228" s="39"/>
      <c r="R228" s="39"/>
      <c r="S228" s="39"/>
      <c r="T228" s="39"/>
      <c r="AR228" s="61"/>
    </row>
    <row r="229" ht="15.75" customHeight="1">
      <c r="C229" s="98"/>
      <c r="D229" s="38"/>
      <c r="E229" s="38"/>
      <c r="F229" s="98"/>
      <c r="G229" s="39"/>
      <c r="H229" s="39"/>
      <c r="I229" s="39"/>
      <c r="J229" s="39"/>
      <c r="K229" s="39"/>
      <c r="L229" s="39"/>
      <c r="M229" s="39"/>
      <c r="N229" s="39"/>
      <c r="O229" s="39"/>
      <c r="P229" s="39"/>
      <c r="Q229" s="39"/>
      <c r="R229" s="39"/>
      <c r="S229" s="39"/>
      <c r="T229" s="39"/>
      <c r="AR229" s="61"/>
    </row>
    <row r="230" ht="15.75" customHeight="1">
      <c r="C230" s="98"/>
      <c r="D230" s="38"/>
      <c r="E230" s="38"/>
      <c r="F230" s="98"/>
      <c r="G230" s="39"/>
      <c r="H230" s="39"/>
      <c r="I230" s="39"/>
      <c r="J230" s="39"/>
      <c r="K230" s="39"/>
      <c r="L230" s="39"/>
      <c r="M230" s="39"/>
      <c r="N230" s="39"/>
      <c r="O230" s="39"/>
      <c r="P230" s="39"/>
      <c r="Q230" s="39"/>
      <c r="R230" s="39"/>
      <c r="S230" s="39"/>
      <c r="T230" s="39"/>
      <c r="AR230" s="61"/>
    </row>
    <row r="231" ht="15.75" customHeight="1">
      <c r="C231" s="98"/>
      <c r="D231" s="38"/>
      <c r="E231" s="38"/>
      <c r="F231" s="98"/>
      <c r="G231" s="39"/>
      <c r="H231" s="39"/>
      <c r="I231" s="39"/>
      <c r="J231" s="39"/>
      <c r="K231" s="39"/>
      <c r="L231" s="39"/>
      <c r="M231" s="39"/>
      <c r="N231" s="39"/>
      <c r="O231" s="39"/>
      <c r="P231" s="39"/>
      <c r="Q231" s="39"/>
      <c r="R231" s="39"/>
      <c r="S231" s="39"/>
      <c r="T231" s="39"/>
      <c r="AR231" s="61"/>
    </row>
    <row r="232" ht="15.75" customHeight="1">
      <c r="C232" s="98"/>
      <c r="D232" s="38"/>
      <c r="E232" s="38"/>
      <c r="F232" s="98"/>
      <c r="G232" s="39"/>
      <c r="H232" s="39"/>
      <c r="I232" s="39"/>
      <c r="J232" s="39"/>
      <c r="K232" s="39"/>
      <c r="L232" s="39"/>
      <c r="M232" s="39"/>
      <c r="N232" s="39"/>
      <c r="O232" s="39"/>
      <c r="P232" s="39"/>
      <c r="Q232" s="39"/>
      <c r="R232" s="39"/>
      <c r="S232" s="39"/>
      <c r="T232" s="39"/>
      <c r="AR232" s="61"/>
    </row>
    <row r="233" ht="15.75" customHeight="1">
      <c r="C233" s="98"/>
      <c r="D233" s="38"/>
      <c r="E233" s="38"/>
      <c r="F233" s="98"/>
      <c r="G233" s="39"/>
      <c r="H233" s="39"/>
      <c r="I233" s="39"/>
      <c r="J233" s="39"/>
      <c r="K233" s="39"/>
      <c r="L233" s="39"/>
      <c r="M233" s="39"/>
      <c r="N233" s="39"/>
      <c r="O233" s="39"/>
      <c r="P233" s="39"/>
      <c r="Q233" s="39"/>
      <c r="R233" s="39"/>
      <c r="S233" s="39"/>
      <c r="T233" s="39"/>
      <c r="AR233" s="61"/>
    </row>
    <row r="234" ht="15.75" customHeight="1">
      <c r="C234" s="98"/>
      <c r="D234" s="38"/>
      <c r="E234" s="38"/>
      <c r="F234" s="98"/>
      <c r="G234" s="39"/>
      <c r="H234" s="39"/>
      <c r="I234" s="39"/>
      <c r="J234" s="39"/>
      <c r="K234" s="39"/>
      <c r="L234" s="39"/>
      <c r="M234" s="39"/>
      <c r="N234" s="39"/>
      <c r="O234" s="39"/>
      <c r="P234" s="39"/>
      <c r="Q234" s="39"/>
      <c r="R234" s="39"/>
      <c r="S234" s="39"/>
      <c r="T234" s="39"/>
      <c r="AR234" s="61"/>
    </row>
    <row r="235" ht="15.75" customHeight="1">
      <c r="C235" s="98"/>
      <c r="D235" s="38"/>
      <c r="E235" s="38"/>
      <c r="F235" s="98"/>
      <c r="G235" s="39"/>
      <c r="H235" s="39"/>
      <c r="I235" s="39"/>
      <c r="J235" s="39"/>
      <c r="K235" s="39"/>
      <c r="L235" s="39"/>
      <c r="M235" s="39"/>
      <c r="N235" s="39"/>
      <c r="O235" s="39"/>
      <c r="P235" s="39"/>
      <c r="Q235" s="39"/>
      <c r="R235" s="39"/>
      <c r="S235" s="39"/>
      <c r="T235" s="39"/>
      <c r="AR235" s="61"/>
    </row>
    <row r="236" ht="15.75" customHeight="1">
      <c r="C236" s="98"/>
      <c r="D236" s="38"/>
      <c r="E236" s="38"/>
      <c r="F236" s="98"/>
      <c r="G236" s="39"/>
      <c r="H236" s="39"/>
      <c r="I236" s="39"/>
      <c r="J236" s="39"/>
      <c r="K236" s="39"/>
      <c r="L236" s="39"/>
      <c r="M236" s="39"/>
      <c r="N236" s="39"/>
      <c r="O236" s="39"/>
      <c r="P236" s="39"/>
      <c r="Q236" s="39"/>
      <c r="R236" s="39"/>
      <c r="S236" s="39"/>
      <c r="T236" s="39"/>
      <c r="AR236" s="61"/>
    </row>
    <row r="237" ht="15.75" customHeight="1">
      <c r="C237" s="98"/>
      <c r="D237" s="38"/>
      <c r="E237" s="38"/>
      <c r="F237" s="98"/>
      <c r="G237" s="39"/>
      <c r="H237" s="39"/>
      <c r="I237" s="39"/>
      <c r="J237" s="39"/>
      <c r="K237" s="39"/>
      <c r="L237" s="39"/>
      <c r="M237" s="39"/>
      <c r="N237" s="39"/>
      <c r="O237" s="39"/>
      <c r="P237" s="39"/>
      <c r="Q237" s="39"/>
      <c r="R237" s="39"/>
      <c r="S237" s="39"/>
      <c r="T237" s="39"/>
      <c r="AR237" s="61"/>
    </row>
    <row r="238" ht="15.75" customHeight="1">
      <c r="C238" s="98"/>
      <c r="D238" s="38"/>
      <c r="E238" s="38"/>
      <c r="F238" s="98"/>
      <c r="G238" s="39"/>
      <c r="H238" s="39"/>
      <c r="I238" s="39"/>
      <c r="J238" s="39"/>
      <c r="K238" s="39"/>
      <c r="L238" s="39"/>
      <c r="M238" s="39"/>
      <c r="N238" s="39"/>
      <c r="O238" s="39"/>
      <c r="P238" s="39"/>
      <c r="Q238" s="39"/>
      <c r="R238" s="39"/>
      <c r="S238" s="39"/>
      <c r="T238" s="39"/>
      <c r="AR238" s="61"/>
    </row>
    <row r="239" ht="15.75" customHeight="1">
      <c r="C239" s="98"/>
      <c r="D239" s="38"/>
      <c r="E239" s="38"/>
      <c r="F239" s="98"/>
      <c r="G239" s="39"/>
      <c r="H239" s="39"/>
      <c r="I239" s="39"/>
      <c r="J239" s="39"/>
      <c r="K239" s="39"/>
      <c r="L239" s="39"/>
      <c r="M239" s="39"/>
      <c r="N239" s="39"/>
      <c r="O239" s="39"/>
      <c r="P239" s="39"/>
      <c r="Q239" s="39"/>
      <c r="R239" s="39"/>
      <c r="S239" s="39"/>
      <c r="T239" s="39"/>
      <c r="AR239" s="61"/>
    </row>
    <row r="240" ht="15.75" customHeight="1">
      <c r="C240" s="98"/>
      <c r="D240" s="38"/>
      <c r="E240" s="38"/>
      <c r="F240" s="98"/>
      <c r="G240" s="39"/>
      <c r="H240" s="39"/>
      <c r="I240" s="39"/>
      <c r="J240" s="39"/>
      <c r="K240" s="39"/>
      <c r="L240" s="39"/>
      <c r="M240" s="39"/>
      <c r="N240" s="39"/>
      <c r="O240" s="39"/>
      <c r="P240" s="39"/>
      <c r="Q240" s="39"/>
      <c r="R240" s="39"/>
      <c r="S240" s="39"/>
      <c r="T240" s="39"/>
      <c r="AR240" s="61"/>
    </row>
    <row r="241" ht="15.75" customHeight="1">
      <c r="AR241" s="61"/>
    </row>
    <row r="242" ht="15.75" customHeight="1">
      <c r="AR242" s="61"/>
    </row>
    <row r="243" ht="15.75" customHeight="1">
      <c r="AR243" s="61"/>
    </row>
    <row r="244" ht="15.75" customHeight="1">
      <c r="AR244" s="61"/>
    </row>
    <row r="245" ht="15.75" customHeight="1">
      <c r="AR245" s="61"/>
    </row>
    <row r="246" ht="15.75" customHeight="1">
      <c r="AR246" s="61"/>
    </row>
    <row r="247" ht="15.75" customHeight="1">
      <c r="AR247" s="61"/>
    </row>
    <row r="248" ht="15.75" customHeight="1">
      <c r="AR248" s="61"/>
    </row>
    <row r="249" ht="15.75" customHeight="1">
      <c r="AR249" s="61"/>
    </row>
    <row r="250" ht="15.75" customHeight="1">
      <c r="AR250" s="61"/>
    </row>
    <row r="251" ht="15.75" customHeight="1">
      <c r="AR251" s="61"/>
    </row>
    <row r="252" ht="15.75" customHeight="1">
      <c r="AR252" s="61"/>
    </row>
    <row r="253" ht="15.75" customHeight="1">
      <c r="AR253" s="61"/>
    </row>
    <row r="254" ht="15.75" customHeight="1">
      <c r="AR254" s="61"/>
    </row>
    <row r="255" ht="15.75" customHeight="1">
      <c r="AR255" s="61"/>
    </row>
    <row r="256" ht="15.75" customHeight="1">
      <c r="AR256" s="61"/>
    </row>
    <row r="257" ht="15.75" customHeight="1">
      <c r="AR257" s="61"/>
    </row>
    <row r="258" ht="15.75" customHeight="1">
      <c r="AR258" s="61"/>
    </row>
    <row r="259" ht="15.75" customHeight="1">
      <c r="AR259" s="61"/>
    </row>
    <row r="260" ht="15.75" customHeight="1">
      <c r="AR260" s="61"/>
    </row>
    <row r="261" ht="15.75" customHeight="1">
      <c r="AR261" s="61"/>
    </row>
    <row r="262" ht="15.75" customHeight="1">
      <c r="AR262" s="61"/>
    </row>
    <row r="263" ht="15.75" customHeight="1">
      <c r="AR263" s="61"/>
    </row>
    <row r="264" ht="15.75" customHeight="1">
      <c r="AR264" s="61"/>
    </row>
    <row r="265" ht="15.75" customHeight="1">
      <c r="AR265" s="61"/>
    </row>
    <row r="266" ht="15.75" customHeight="1">
      <c r="AR266" s="61"/>
    </row>
    <row r="267" ht="15.75" customHeight="1">
      <c r="AR267" s="61"/>
    </row>
    <row r="268" ht="15.75" customHeight="1">
      <c r="AR268" s="61"/>
    </row>
    <row r="269" ht="15.75" customHeight="1">
      <c r="AR269" s="61"/>
    </row>
    <row r="270" ht="15.75" customHeight="1">
      <c r="AR270" s="61"/>
    </row>
    <row r="271" ht="15.75" customHeight="1">
      <c r="AR271" s="61"/>
    </row>
    <row r="272" ht="15.75" customHeight="1">
      <c r="AR272" s="61"/>
    </row>
    <row r="273" ht="15.75" customHeight="1">
      <c r="AR273" s="61"/>
    </row>
    <row r="274" ht="15.75" customHeight="1">
      <c r="AR274" s="61"/>
    </row>
    <row r="275" ht="15.75" customHeight="1">
      <c r="AR275" s="61"/>
    </row>
    <row r="276" ht="15.75" customHeight="1">
      <c r="AR276" s="61"/>
    </row>
    <row r="277" ht="15.75" customHeight="1">
      <c r="AR277" s="61"/>
    </row>
    <row r="278" ht="15.75" customHeight="1">
      <c r="AR278" s="61"/>
    </row>
    <row r="279" ht="15.75" customHeight="1">
      <c r="AR279" s="61"/>
    </row>
    <row r="280" ht="15.75" customHeight="1">
      <c r="AR280" s="61"/>
    </row>
    <row r="281" ht="15.75" customHeight="1">
      <c r="AR281" s="61"/>
    </row>
    <row r="282" ht="15.75" customHeight="1">
      <c r="AR282" s="61"/>
    </row>
    <row r="283" ht="15.75" customHeight="1">
      <c r="AR283" s="61"/>
    </row>
    <row r="284" ht="15.75" customHeight="1">
      <c r="AR284" s="61"/>
    </row>
    <row r="285" ht="15.75" customHeight="1">
      <c r="AR285" s="61"/>
    </row>
    <row r="286" ht="15.75" customHeight="1">
      <c r="AR286" s="61"/>
    </row>
    <row r="287" ht="15.75" customHeight="1">
      <c r="AR287" s="61"/>
    </row>
    <row r="288" ht="15.75" customHeight="1">
      <c r="AR288" s="61"/>
    </row>
    <row r="289" ht="15.75" customHeight="1">
      <c r="AR289" s="61"/>
    </row>
    <row r="290" ht="15.75" customHeight="1">
      <c r="AR290" s="61"/>
    </row>
    <row r="291" ht="15.75" customHeight="1">
      <c r="AR291" s="61"/>
    </row>
    <row r="292" ht="15.75" customHeight="1">
      <c r="AR292" s="61"/>
    </row>
    <row r="293" ht="15.75" customHeight="1">
      <c r="AR293" s="61"/>
    </row>
    <row r="294" ht="15.75" customHeight="1">
      <c r="AR294" s="61"/>
    </row>
    <row r="295" ht="15.75" customHeight="1">
      <c r="AR295" s="61"/>
    </row>
    <row r="296" ht="15.75" customHeight="1">
      <c r="AR296" s="61"/>
    </row>
    <row r="297" ht="15.75" customHeight="1">
      <c r="AR297" s="61"/>
    </row>
    <row r="298" ht="15.75" customHeight="1">
      <c r="AR298" s="61"/>
    </row>
    <row r="299" ht="15.75" customHeight="1">
      <c r="AR299" s="61"/>
    </row>
    <row r="300" ht="15.75" customHeight="1">
      <c r="AR300" s="61"/>
    </row>
    <row r="301" ht="15.75" customHeight="1">
      <c r="AR301" s="61"/>
    </row>
    <row r="302" ht="15.75" customHeight="1">
      <c r="AR302" s="61"/>
    </row>
    <row r="303" ht="15.75" customHeight="1">
      <c r="AR303" s="61"/>
    </row>
    <row r="304" ht="15.75" customHeight="1">
      <c r="AR304" s="61"/>
    </row>
    <row r="305" ht="15.75" customHeight="1">
      <c r="AR305" s="61"/>
    </row>
    <row r="306" ht="15.75" customHeight="1">
      <c r="AR306" s="61"/>
    </row>
    <row r="307" ht="15.75" customHeight="1">
      <c r="AR307" s="61"/>
    </row>
    <row r="308" ht="15.75" customHeight="1">
      <c r="AR308" s="61"/>
    </row>
    <row r="309" ht="15.75" customHeight="1">
      <c r="AR309" s="61"/>
    </row>
    <row r="310" ht="15.75" customHeight="1">
      <c r="AR310" s="61"/>
    </row>
    <row r="311" ht="15.75" customHeight="1">
      <c r="AR311" s="61"/>
    </row>
    <row r="312" ht="15.75" customHeight="1">
      <c r="AR312" s="61"/>
    </row>
    <row r="313" ht="15.75" customHeight="1">
      <c r="AR313" s="61"/>
    </row>
    <row r="314" ht="15.75" customHeight="1">
      <c r="AR314" s="61"/>
    </row>
    <row r="315" ht="15.75" customHeight="1">
      <c r="AR315" s="61"/>
    </row>
    <row r="316" ht="15.75" customHeight="1">
      <c r="AR316" s="61"/>
    </row>
    <row r="317" ht="15.75" customHeight="1">
      <c r="AR317" s="61"/>
    </row>
    <row r="318" ht="15.75" customHeight="1">
      <c r="AR318" s="61"/>
    </row>
    <row r="319" ht="15.75" customHeight="1">
      <c r="AR319" s="61"/>
    </row>
    <row r="320" ht="15.75" customHeight="1">
      <c r="AR320" s="61"/>
    </row>
    <row r="321" ht="15.75" customHeight="1">
      <c r="AR321" s="61"/>
    </row>
    <row r="322" ht="15.75" customHeight="1">
      <c r="AR322" s="61"/>
    </row>
    <row r="323" ht="15.75" customHeight="1">
      <c r="AR323" s="61"/>
    </row>
    <row r="324" ht="15.75" customHeight="1">
      <c r="AR324" s="61"/>
    </row>
    <row r="325" ht="15.75" customHeight="1">
      <c r="AR325" s="61"/>
    </row>
    <row r="326" ht="15.75" customHeight="1">
      <c r="AR326" s="61"/>
    </row>
    <row r="327" ht="15.75" customHeight="1">
      <c r="AR327" s="61"/>
    </row>
    <row r="328" ht="15.75" customHeight="1">
      <c r="AR328" s="61"/>
    </row>
    <row r="329" ht="15.75" customHeight="1">
      <c r="AR329" s="61"/>
    </row>
    <row r="330" ht="15.75" customHeight="1">
      <c r="AR330" s="61"/>
    </row>
    <row r="331" ht="15.75" customHeight="1">
      <c r="AR331" s="61"/>
    </row>
    <row r="332" ht="15.75" customHeight="1">
      <c r="AR332" s="61"/>
    </row>
    <row r="333" ht="15.75" customHeight="1">
      <c r="AR333" s="61"/>
    </row>
    <row r="334" ht="15.75" customHeight="1">
      <c r="AR334" s="61"/>
    </row>
    <row r="335" ht="15.75" customHeight="1">
      <c r="AR335" s="61"/>
    </row>
    <row r="336" ht="15.75" customHeight="1">
      <c r="AR336" s="61"/>
    </row>
    <row r="337" ht="15.75" customHeight="1">
      <c r="AR337" s="61"/>
    </row>
    <row r="338" ht="15.75" customHeight="1">
      <c r="AR338" s="61"/>
    </row>
    <row r="339" ht="15.75" customHeight="1">
      <c r="AR339" s="61"/>
    </row>
    <row r="340" ht="15.75" customHeight="1">
      <c r="AR340" s="61"/>
    </row>
    <row r="341" ht="15.75" customHeight="1">
      <c r="AR341" s="61"/>
    </row>
    <row r="342" ht="15.75" customHeight="1">
      <c r="AR342" s="61"/>
    </row>
    <row r="343" ht="15.75" customHeight="1">
      <c r="AR343" s="61"/>
    </row>
    <row r="344" ht="15.75" customHeight="1">
      <c r="AR344" s="61"/>
    </row>
    <row r="345" ht="15.75" customHeight="1">
      <c r="AR345" s="61"/>
    </row>
    <row r="346" ht="15.75" customHeight="1">
      <c r="AR346" s="61"/>
    </row>
    <row r="347" ht="15.75" customHeight="1">
      <c r="AR347" s="61"/>
    </row>
    <row r="348" ht="15.75" customHeight="1">
      <c r="AR348" s="61"/>
    </row>
    <row r="349" ht="15.75" customHeight="1">
      <c r="AR349" s="61"/>
    </row>
    <row r="350" ht="15.75" customHeight="1">
      <c r="AR350" s="61"/>
    </row>
    <row r="351" ht="15.75" customHeight="1">
      <c r="AR351" s="61"/>
    </row>
    <row r="352" ht="15.75" customHeight="1">
      <c r="AR352" s="61"/>
    </row>
    <row r="353" ht="15.75" customHeight="1">
      <c r="AR353" s="61"/>
    </row>
    <row r="354" ht="15.75" customHeight="1">
      <c r="AR354" s="61"/>
    </row>
    <row r="355" ht="15.75" customHeight="1">
      <c r="AR355" s="61"/>
    </row>
    <row r="356" ht="15.75" customHeight="1">
      <c r="AR356" s="61"/>
    </row>
    <row r="357" ht="15.75" customHeight="1">
      <c r="AR357" s="61"/>
    </row>
    <row r="358" ht="15.75" customHeight="1">
      <c r="AR358" s="61"/>
    </row>
    <row r="359" ht="15.75" customHeight="1">
      <c r="AR359" s="61"/>
    </row>
    <row r="360" ht="15.75" customHeight="1">
      <c r="AR360" s="61"/>
    </row>
    <row r="361" ht="15.75" customHeight="1">
      <c r="AR361" s="61"/>
    </row>
    <row r="362" ht="15.75" customHeight="1">
      <c r="AR362" s="61"/>
    </row>
    <row r="363" ht="15.75" customHeight="1">
      <c r="AR363" s="61"/>
    </row>
    <row r="364" ht="15.75" customHeight="1">
      <c r="AR364" s="61"/>
    </row>
    <row r="365" ht="15.75" customHeight="1">
      <c r="AR365" s="61"/>
    </row>
    <row r="366" ht="15.75" customHeight="1">
      <c r="AR366" s="61"/>
    </row>
    <row r="367" ht="15.75" customHeight="1">
      <c r="AR367" s="61"/>
    </row>
    <row r="368" ht="15.75" customHeight="1">
      <c r="AR368" s="61"/>
    </row>
    <row r="369" ht="15.75" customHeight="1">
      <c r="AR369" s="61"/>
    </row>
    <row r="370" ht="15.75" customHeight="1">
      <c r="AR370" s="61"/>
    </row>
    <row r="371" ht="15.75" customHeight="1">
      <c r="AR371" s="61"/>
    </row>
    <row r="372" ht="15.75" customHeight="1">
      <c r="AR372" s="61"/>
    </row>
    <row r="373" ht="15.75" customHeight="1">
      <c r="AR373" s="61"/>
    </row>
    <row r="374" ht="15.75" customHeight="1">
      <c r="AR374" s="61"/>
    </row>
    <row r="375" ht="15.75" customHeight="1">
      <c r="AR375" s="61"/>
    </row>
    <row r="376" ht="15.75" customHeight="1">
      <c r="AR376" s="61"/>
    </row>
    <row r="377" ht="15.75" customHeight="1">
      <c r="AR377" s="61"/>
    </row>
    <row r="378" ht="15.75" customHeight="1">
      <c r="AR378" s="61"/>
    </row>
    <row r="379" ht="15.75" customHeight="1">
      <c r="AR379" s="61"/>
    </row>
    <row r="380" ht="15.75" customHeight="1">
      <c r="AR380" s="61"/>
    </row>
    <row r="381" ht="15.75" customHeight="1">
      <c r="AR381" s="61"/>
    </row>
    <row r="382" ht="15.75" customHeight="1">
      <c r="AR382" s="61"/>
    </row>
    <row r="383" ht="15.75" customHeight="1">
      <c r="AR383" s="61"/>
    </row>
    <row r="384" ht="15.75" customHeight="1">
      <c r="AR384" s="61"/>
    </row>
    <row r="385" ht="15.75" customHeight="1">
      <c r="AR385" s="61"/>
    </row>
    <row r="386" ht="15.75" customHeight="1">
      <c r="AR386" s="61"/>
    </row>
    <row r="387" ht="15.75" customHeight="1">
      <c r="AR387" s="61"/>
    </row>
    <row r="388" ht="15.75" customHeight="1">
      <c r="AR388" s="61"/>
    </row>
    <row r="389" ht="15.75" customHeight="1">
      <c r="AR389" s="61"/>
    </row>
    <row r="390" ht="15.75" customHeight="1">
      <c r="AR390" s="61"/>
    </row>
    <row r="391" ht="15.75" customHeight="1">
      <c r="AR391" s="61"/>
    </row>
    <row r="392" ht="15.75" customHeight="1">
      <c r="AR392" s="61"/>
    </row>
    <row r="393" ht="15.75" customHeight="1">
      <c r="AR393" s="61"/>
    </row>
    <row r="394" ht="15.75" customHeight="1">
      <c r="AR394" s="61"/>
    </row>
    <row r="395" ht="15.75" customHeight="1">
      <c r="AR395" s="61"/>
    </row>
    <row r="396" ht="15.75" customHeight="1">
      <c r="AR396" s="61"/>
    </row>
    <row r="397" ht="15.75" customHeight="1">
      <c r="AR397" s="61"/>
    </row>
    <row r="398" ht="15.75" customHeight="1">
      <c r="AR398" s="61"/>
    </row>
    <row r="399" ht="15.75" customHeight="1">
      <c r="AR399" s="61"/>
    </row>
    <row r="400" ht="15.75" customHeight="1">
      <c r="AR400" s="61"/>
    </row>
    <row r="401" ht="15.75" customHeight="1">
      <c r="AR401" s="61"/>
    </row>
    <row r="402" ht="15.75" customHeight="1">
      <c r="AR402" s="61"/>
    </row>
    <row r="403" ht="15.75" customHeight="1">
      <c r="AR403" s="61"/>
    </row>
    <row r="404" ht="15.75" customHeight="1">
      <c r="AR404" s="61"/>
    </row>
    <row r="405" ht="15.75" customHeight="1">
      <c r="AR405" s="61"/>
    </row>
    <row r="406" ht="15.75" customHeight="1">
      <c r="AR406" s="61"/>
    </row>
    <row r="407" ht="15.75" customHeight="1">
      <c r="AR407" s="61"/>
    </row>
    <row r="408" ht="15.75" customHeight="1">
      <c r="AR408" s="61"/>
    </row>
    <row r="409" ht="15.75" customHeight="1">
      <c r="AR409" s="61"/>
    </row>
    <row r="410" ht="15.75" customHeight="1">
      <c r="AR410" s="61"/>
    </row>
    <row r="411" ht="15.75" customHeight="1">
      <c r="AR411" s="61"/>
    </row>
    <row r="412" ht="15.75" customHeight="1">
      <c r="AR412" s="61"/>
    </row>
    <row r="413" ht="15.75" customHeight="1">
      <c r="AR413" s="61"/>
    </row>
    <row r="414" ht="15.75" customHeight="1">
      <c r="AR414" s="61"/>
    </row>
    <row r="415" ht="15.75" customHeight="1">
      <c r="AR415" s="61"/>
    </row>
    <row r="416" ht="15.75" customHeight="1">
      <c r="AR416" s="61"/>
    </row>
    <row r="417" ht="15.75" customHeight="1">
      <c r="AR417" s="61"/>
    </row>
    <row r="418" ht="15.75" customHeight="1">
      <c r="AR418" s="61"/>
    </row>
    <row r="419" ht="15.75" customHeight="1">
      <c r="AR419" s="61"/>
    </row>
    <row r="420" ht="15.75" customHeight="1">
      <c r="AR420" s="61"/>
    </row>
    <row r="421" ht="15.75" customHeight="1">
      <c r="AR421" s="61"/>
    </row>
    <row r="422" ht="15.75" customHeight="1">
      <c r="AR422" s="61"/>
    </row>
    <row r="423" ht="15.75" customHeight="1">
      <c r="AR423" s="61"/>
    </row>
    <row r="424" ht="15.75" customHeight="1">
      <c r="AR424" s="61"/>
    </row>
    <row r="425" ht="15.75" customHeight="1">
      <c r="AR425" s="61"/>
    </row>
    <row r="426" ht="15.75" customHeight="1">
      <c r="AR426" s="61"/>
    </row>
    <row r="427" ht="15.75" customHeight="1">
      <c r="AR427" s="61"/>
    </row>
    <row r="428" ht="15.75" customHeight="1">
      <c r="AR428" s="61"/>
    </row>
    <row r="429" ht="15.75" customHeight="1">
      <c r="AR429" s="61"/>
    </row>
    <row r="430" ht="15.75" customHeight="1">
      <c r="AR430" s="61"/>
    </row>
    <row r="431" ht="15.75" customHeight="1">
      <c r="AR431" s="61"/>
    </row>
    <row r="432" ht="15.75" customHeight="1">
      <c r="AR432" s="61"/>
    </row>
    <row r="433" ht="15.75" customHeight="1">
      <c r="AR433" s="61"/>
    </row>
    <row r="434" ht="15.75" customHeight="1">
      <c r="AR434" s="61"/>
    </row>
    <row r="435" ht="15.75" customHeight="1">
      <c r="AR435" s="61"/>
    </row>
    <row r="436" ht="15.75" customHeight="1">
      <c r="AR436" s="61"/>
    </row>
    <row r="437" ht="15.75" customHeight="1">
      <c r="AR437" s="61"/>
    </row>
    <row r="438" ht="15.75" customHeight="1">
      <c r="AR438" s="61"/>
    </row>
    <row r="439" ht="15.75" customHeight="1">
      <c r="AR439" s="61"/>
    </row>
    <row r="440" ht="15.75" customHeight="1">
      <c r="AR440" s="61"/>
    </row>
    <row r="441" ht="15.75" customHeight="1">
      <c r="AR441" s="61"/>
    </row>
    <row r="442" ht="15.75" customHeight="1">
      <c r="AR442" s="61"/>
    </row>
    <row r="443" ht="15.75" customHeight="1">
      <c r="AR443" s="61"/>
    </row>
    <row r="444" ht="15.75" customHeight="1">
      <c r="AR444" s="61"/>
    </row>
    <row r="445" ht="15.75" customHeight="1">
      <c r="AR445" s="61"/>
    </row>
    <row r="446" ht="15.75" customHeight="1">
      <c r="AR446" s="61"/>
    </row>
    <row r="447" ht="15.75" customHeight="1">
      <c r="AR447" s="61"/>
    </row>
    <row r="448" ht="15.75" customHeight="1">
      <c r="AR448" s="61"/>
    </row>
    <row r="449" ht="15.75" customHeight="1">
      <c r="AR449" s="61"/>
    </row>
    <row r="450" ht="15.75" customHeight="1">
      <c r="AR450" s="61"/>
    </row>
    <row r="451" ht="15.75" customHeight="1">
      <c r="AR451" s="61"/>
    </row>
    <row r="452" ht="15.75" customHeight="1">
      <c r="AR452" s="61"/>
    </row>
    <row r="453" ht="15.75" customHeight="1">
      <c r="AR453" s="61"/>
    </row>
    <row r="454" ht="15.75" customHeight="1">
      <c r="AR454" s="61"/>
    </row>
    <row r="455" ht="15.75" customHeight="1">
      <c r="AR455" s="61"/>
    </row>
    <row r="456" ht="15.75" customHeight="1">
      <c r="AR456" s="61"/>
    </row>
    <row r="457" ht="15.75" customHeight="1">
      <c r="AR457" s="61"/>
    </row>
    <row r="458" ht="15.75" customHeight="1">
      <c r="AR458" s="61"/>
    </row>
    <row r="459" ht="15.75" customHeight="1">
      <c r="AR459" s="61"/>
    </row>
    <row r="460" ht="15.75" customHeight="1">
      <c r="AR460" s="61"/>
    </row>
    <row r="461" ht="15.75" customHeight="1">
      <c r="AR461" s="61"/>
    </row>
    <row r="462" ht="15.75" customHeight="1">
      <c r="AR462" s="61"/>
    </row>
    <row r="463" ht="15.75" customHeight="1">
      <c r="AR463" s="61"/>
    </row>
    <row r="464" ht="15.75" customHeight="1">
      <c r="AR464" s="61"/>
    </row>
    <row r="465" ht="15.75" customHeight="1">
      <c r="AR465" s="61"/>
    </row>
    <row r="466" ht="15.75" customHeight="1">
      <c r="AR466" s="61"/>
    </row>
    <row r="467" ht="15.75" customHeight="1">
      <c r="AR467" s="61"/>
    </row>
    <row r="468" ht="15.75" customHeight="1">
      <c r="AR468" s="61"/>
    </row>
    <row r="469" ht="15.75" customHeight="1">
      <c r="AR469" s="61"/>
    </row>
    <row r="470" ht="15.75" customHeight="1">
      <c r="AR470" s="61"/>
    </row>
    <row r="471" ht="15.75" customHeight="1">
      <c r="AR471" s="61"/>
    </row>
    <row r="472" ht="15.75" customHeight="1">
      <c r="AR472" s="61"/>
    </row>
    <row r="473" ht="15.75" customHeight="1">
      <c r="AR473" s="61"/>
    </row>
    <row r="474" ht="15.75" customHeight="1">
      <c r="AR474" s="61"/>
    </row>
    <row r="475" ht="15.75" customHeight="1">
      <c r="AR475" s="61"/>
    </row>
    <row r="476" ht="15.75" customHeight="1">
      <c r="AR476" s="61"/>
    </row>
    <row r="477" ht="15.75" customHeight="1">
      <c r="AR477" s="61"/>
    </row>
    <row r="478" ht="15.75" customHeight="1">
      <c r="AR478" s="61"/>
    </row>
    <row r="479" ht="15.75" customHeight="1">
      <c r="AR479" s="61"/>
    </row>
    <row r="480" ht="15.75" customHeight="1">
      <c r="AR480" s="61"/>
    </row>
    <row r="481" ht="15.75" customHeight="1">
      <c r="AR481" s="61"/>
    </row>
    <row r="482" ht="15.75" customHeight="1">
      <c r="AR482" s="61"/>
    </row>
    <row r="483" ht="15.75" customHeight="1">
      <c r="AR483" s="61"/>
    </row>
    <row r="484" ht="15.75" customHeight="1">
      <c r="AR484" s="61"/>
    </row>
    <row r="485" ht="15.75" customHeight="1">
      <c r="AR485" s="61"/>
    </row>
    <row r="486" ht="15.75" customHeight="1">
      <c r="AR486" s="61"/>
    </row>
    <row r="487" ht="15.75" customHeight="1">
      <c r="AR487" s="61"/>
    </row>
    <row r="488" ht="15.75" customHeight="1">
      <c r="AR488" s="61"/>
    </row>
    <row r="489" ht="15.75" customHeight="1">
      <c r="AR489" s="61"/>
    </row>
    <row r="490" ht="15.75" customHeight="1">
      <c r="AR490" s="61"/>
    </row>
    <row r="491" ht="15.75" customHeight="1">
      <c r="AR491" s="61"/>
    </row>
    <row r="492" ht="15.75" customHeight="1">
      <c r="AR492" s="61"/>
    </row>
    <row r="493" ht="15.75" customHeight="1">
      <c r="AR493" s="61"/>
    </row>
    <row r="494" ht="15.75" customHeight="1">
      <c r="AR494" s="61"/>
    </row>
    <row r="495" ht="15.75" customHeight="1">
      <c r="AR495" s="61"/>
    </row>
    <row r="496" ht="15.75" customHeight="1">
      <c r="AR496" s="61"/>
    </row>
    <row r="497" ht="15.75" customHeight="1">
      <c r="AR497" s="61"/>
    </row>
    <row r="498" ht="15.75" customHeight="1">
      <c r="AR498" s="61"/>
    </row>
    <row r="499" ht="15.75" customHeight="1">
      <c r="AR499" s="61"/>
    </row>
    <row r="500" ht="15.75" customHeight="1">
      <c r="AR500" s="61"/>
    </row>
    <row r="501" ht="15.75" customHeight="1">
      <c r="AR501" s="61"/>
    </row>
    <row r="502" ht="15.75" customHeight="1">
      <c r="AR502" s="61"/>
    </row>
    <row r="503" ht="15.75" customHeight="1">
      <c r="AR503" s="61"/>
    </row>
    <row r="504" ht="15.75" customHeight="1">
      <c r="AR504" s="61"/>
    </row>
    <row r="505" ht="15.75" customHeight="1">
      <c r="AR505" s="61"/>
    </row>
    <row r="506" ht="15.75" customHeight="1">
      <c r="AR506" s="61"/>
    </row>
    <row r="507" ht="15.75" customHeight="1">
      <c r="AR507" s="61"/>
    </row>
    <row r="508" ht="15.75" customHeight="1">
      <c r="AR508" s="61"/>
    </row>
    <row r="509" ht="15.75" customHeight="1">
      <c r="AR509" s="61"/>
    </row>
    <row r="510" ht="15.75" customHeight="1">
      <c r="AR510" s="61"/>
    </row>
    <row r="511" ht="15.75" customHeight="1">
      <c r="AR511" s="61"/>
    </row>
    <row r="512" ht="15.75" customHeight="1">
      <c r="AR512" s="61"/>
    </row>
    <row r="513" ht="15.75" customHeight="1">
      <c r="AR513" s="61"/>
    </row>
    <row r="514" ht="15.75" customHeight="1">
      <c r="AR514" s="61"/>
    </row>
    <row r="515" ht="15.75" customHeight="1">
      <c r="AR515" s="61"/>
    </row>
    <row r="516" ht="15.75" customHeight="1">
      <c r="AR516" s="61"/>
    </row>
    <row r="517" ht="15.75" customHeight="1">
      <c r="AR517" s="61"/>
    </row>
    <row r="518" ht="15.75" customHeight="1">
      <c r="AR518" s="61"/>
    </row>
    <row r="519" ht="15.75" customHeight="1">
      <c r="AR519" s="61"/>
    </row>
    <row r="520" ht="15.75" customHeight="1">
      <c r="AR520" s="61"/>
    </row>
    <row r="521" ht="15.75" customHeight="1">
      <c r="AR521" s="61"/>
    </row>
    <row r="522" ht="15.75" customHeight="1">
      <c r="AR522" s="61"/>
    </row>
    <row r="523" ht="15.75" customHeight="1">
      <c r="AR523" s="61"/>
    </row>
    <row r="524" ht="15.75" customHeight="1">
      <c r="AR524" s="61"/>
    </row>
    <row r="525" ht="15.75" customHeight="1">
      <c r="AR525" s="61"/>
    </row>
    <row r="526" ht="15.75" customHeight="1">
      <c r="AR526" s="61"/>
    </row>
    <row r="527" ht="15.75" customHeight="1">
      <c r="AR527" s="61"/>
    </row>
    <row r="528" ht="15.75" customHeight="1">
      <c r="AR528" s="61"/>
    </row>
    <row r="529" ht="15.75" customHeight="1">
      <c r="AR529" s="61"/>
    </row>
    <row r="530" ht="15.75" customHeight="1">
      <c r="AR530" s="61"/>
    </row>
    <row r="531" ht="15.75" customHeight="1">
      <c r="AR531" s="61"/>
    </row>
    <row r="532" ht="15.75" customHeight="1">
      <c r="AR532" s="61"/>
    </row>
    <row r="533" ht="15.75" customHeight="1">
      <c r="AR533" s="61"/>
    </row>
    <row r="534" ht="15.75" customHeight="1">
      <c r="AR534" s="61"/>
    </row>
    <row r="535" ht="15.75" customHeight="1">
      <c r="AR535" s="61"/>
    </row>
    <row r="536" ht="15.75" customHeight="1">
      <c r="AR536" s="61"/>
    </row>
    <row r="537" ht="15.75" customHeight="1">
      <c r="AR537" s="61"/>
    </row>
    <row r="538" ht="15.75" customHeight="1">
      <c r="AR538" s="61"/>
    </row>
    <row r="539" ht="15.75" customHeight="1">
      <c r="AR539" s="61"/>
    </row>
    <row r="540" ht="15.75" customHeight="1">
      <c r="AR540" s="61"/>
    </row>
    <row r="541" ht="15.75" customHeight="1">
      <c r="AR541" s="61"/>
    </row>
    <row r="542" ht="15.75" customHeight="1">
      <c r="AR542" s="61"/>
    </row>
    <row r="543" ht="15.75" customHeight="1">
      <c r="AR543" s="61"/>
    </row>
    <row r="544" ht="15.75" customHeight="1">
      <c r="AR544" s="61"/>
    </row>
    <row r="545" ht="15.75" customHeight="1">
      <c r="AR545" s="61"/>
    </row>
    <row r="546" ht="15.75" customHeight="1">
      <c r="AR546" s="61"/>
    </row>
    <row r="547" ht="15.75" customHeight="1">
      <c r="AR547" s="61"/>
    </row>
    <row r="548" ht="15.75" customHeight="1">
      <c r="AR548" s="61"/>
    </row>
    <row r="549" ht="15.75" customHeight="1">
      <c r="AR549" s="61"/>
    </row>
    <row r="550" ht="15.75" customHeight="1">
      <c r="AR550" s="61"/>
    </row>
    <row r="551" ht="15.75" customHeight="1">
      <c r="AR551" s="61"/>
    </row>
    <row r="552" ht="15.75" customHeight="1">
      <c r="AR552" s="61"/>
    </row>
    <row r="553" ht="15.75" customHeight="1">
      <c r="AR553" s="61"/>
    </row>
    <row r="554" ht="15.75" customHeight="1">
      <c r="AR554" s="61"/>
    </row>
    <row r="555" ht="15.75" customHeight="1">
      <c r="AR555" s="61"/>
    </row>
    <row r="556" ht="15.75" customHeight="1">
      <c r="AR556" s="61"/>
    </row>
    <row r="557" ht="15.75" customHeight="1">
      <c r="AR557" s="61"/>
    </row>
    <row r="558" ht="15.75" customHeight="1">
      <c r="AR558" s="61"/>
    </row>
    <row r="559" ht="15.75" customHeight="1">
      <c r="AR559" s="61"/>
    </row>
    <row r="560" ht="15.75" customHeight="1">
      <c r="AR560" s="61"/>
    </row>
    <row r="561" ht="15.75" customHeight="1">
      <c r="AR561" s="61"/>
    </row>
    <row r="562" ht="15.75" customHeight="1">
      <c r="AR562" s="61"/>
    </row>
    <row r="563" ht="15.75" customHeight="1">
      <c r="AR563" s="61"/>
    </row>
    <row r="564" ht="15.75" customHeight="1">
      <c r="AR564" s="61"/>
    </row>
    <row r="565" ht="15.75" customHeight="1">
      <c r="AR565" s="61"/>
    </row>
    <row r="566" ht="15.75" customHeight="1">
      <c r="AR566" s="61"/>
    </row>
    <row r="567" ht="15.75" customHeight="1">
      <c r="AR567" s="61"/>
    </row>
    <row r="568" ht="15.75" customHeight="1">
      <c r="AR568" s="61"/>
    </row>
    <row r="569" ht="15.75" customHeight="1">
      <c r="AR569" s="61"/>
    </row>
    <row r="570" ht="15.75" customHeight="1">
      <c r="AR570" s="61"/>
    </row>
    <row r="571" ht="15.75" customHeight="1">
      <c r="AR571" s="61"/>
    </row>
    <row r="572" ht="15.75" customHeight="1">
      <c r="AR572" s="61"/>
    </row>
    <row r="573" ht="15.75" customHeight="1">
      <c r="AR573" s="61"/>
    </row>
    <row r="574" ht="15.75" customHeight="1">
      <c r="AR574" s="61"/>
    </row>
    <row r="575" ht="15.75" customHeight="1">
      <c r="AR575" s="61"/>
    </row>
    <row r="576" ht="15.75" customHeight="1">
      <c r="AR576" s="61"/>
    </row>
    <row r="577" ht="15.75" customHeight="1">
      <c r="AR577" s="61"/>
    </row>
    <row r="578" ht="15.75" customHeight="1">
      <c r="AR578" s="61"/>
    </row>
    <row r="579" ht="15.75" customHeight="1">
      <c r="AR579" s="61"/>
    </row>
    <row r="580" ht="15.75" customHeight="1">
      <c r="AR580" s="61"/>
    </row>
    <row r="581" ht="15.75" customHeight="1">
      <c r="AR581" s="61"/>
    </row>
    <row r="582" ht="15.75" customHeight="1">
      <c r="AR582" s="61"/>
    </row>
    <row r="583" ht="15.75" customHeight="1">
      <c r="AR583" s="61"/>
    </row>
    <row r="584" ht="15.75" customHeight="1">
      <c r="AR584" s="61"/>
    </row>
    <row r="585" ht="15.75" customHeight="1">
      <c r="AR585" s="61"/>
    </row>
    <row r="586" ht="15.75" customHeight="1">
      <c r="AR586" s="61"/>
    </row>
    <row r="587" ht="15.75" customHeight="1">
      <c r="AR587" s="61"/>
    </row>
    <row r="588" ht="15.75" customHeight="1">
      <c r="AR588" s="61"/>
    </row>
    <row r="589" ht="15.75" customHeight="1">
      <c r="AR589" s="61"/>
    </row>
    <row r="590" ht="15.75" customHeight="1">
      <c r="AR590" s="61"/>
    </row>
    <row r="591" ht="15.75" customHeight="1">
      <c r="AR591" s="61"/>
    </row>
    <row r="592" ht="15.75" customHeight="1">
      <c r="AR592" s="61"/>
    </row>
    <row r="593" ht="15.75" customHeight="1">
      <c r="AR593" s="61"/>
    </row>
    <row r="594" ht="15.75" customHeight="1">
      <c r="AR594" s="61"/>
    </row>
    <row r="595" ht="15.75" customHeight="1">
      <c r="AR595" s="61"/>
    </row>
    <row r="596" ht="15.75" customHeight="1">
      <c r="AR596" s="61"/>
    </row>
    <row r="597" ht="15.75" customHeight="1">
      <c r="AR597" s="61"/>
    </row>
    <row r="598" ht="15.75" customHeight="1">
      <c r="AR598" s="61"/>
    </row>
    <row r="599" ht="15.75" customHeight="1">
      <c r="AR599" s="61"/>
    </row>
    <row r="600" ht="15.75" customHeight="1">
      <c r="AR600" s="61"/>
    </row>
    <row r="601" ht="15.75" customHeight="1">
      <c r="AR601" s="61"/>
    </row>
    <row r="602" ht="15.75" customHeight="1">
      <c r="AR602" s="61"/>
    </row>
    <row r="603" ht="15.75" customHeight="1">
      <c r="AR603" s="61"/>
    </row>
    <row r="604" ht="15.75" customHeight="1">
      <c r="AR604" s="61"/>
    </row>
    <row r="605" ht="15.75" customHeight="1">
      <c r="AR605" s="61"/>
    </row>
    <row r="606" ht="15.75" customHeight="1">
      <c r="AR606" s="61"/>
    </row>
    <row r="607" ht="15.75" customHeight="1">
      <c r="AR607" s="61"/>
    </row>
    <row r="608" ht="15.75" customHeight="1">
      <c r="AR608" s="61"/>
    </row>
    <row r="609" ht="15.75" customHeight="1">
      <c r="AR609" s="61"/>
    </row>
    <row r="610" ht="15.75" customHeight="1">
      <c r="AR610" s="61"/>
    </row>
    <row r="611" ht="15.75" customHeight="1">
      <c r="AR611" s="61"/>
    </row>
    <row r="612" ht="15.75" customHeight="1">
      <c r="AR612" s="61"/>
    </row>
    <row r="613" ht="15.75" customHeight="1">
      <c r="AR613" s="61"/>
    </row>
    <row r="614" ht="15.75" customHeight="1">
      <c r="AR614" s="61"/>
    </row>
    <row r="615" ht="15.75" customHeight="1">
      <c r="AR615" s="61"/>
    </row>
    <row r="616" ht="15.75" customHeight="1">
      <c r="AR616" s="61"/>
    </row>
    <row r="617" ht="15.75" customHeight="1">
      <c r="AR617" s="61"/>
    </row>
    <row r="618" ht="15.75" customHeight="1">
      <c r="AR618" s="61"/>
    </row>
    <row r="619" ht="15.75" customHeight="1">
      <c r="AR619" s="61"/>
    </row>
    <row r="620" ht="15.75" customHeight="1">
      <c r="AR620" s="61"/>
    </row>
    <row r="621" ht="15.75" customHeight="1">
      <c r="AR621" s="61"/>
    </row>
    <row r="622" ht="15.75" customHeight="1">
      <c r="AR622" s="61"/>
    </row>
    <row r="623" ht="15.75" customHeight="1">
      <c r="AR623" s="61"/>
    </row>
    <row r="624" ht="15.75" customHeight="1">
      <c r="AR624" s="61"/>
    </row>
    <row r="625" ht="15.75" customHeight="1">
      <c r="AR625" s="61"/>
    </row>
    <row r="626" ht="15.75" customHeight="1">
      <c r="AR626" s="61"/>
    </row>
    <row r="627" ht="15.75" customHeight="1">
      <c r="AR627" s="61"/>
    </row>
    <row r="628" ht="15.75" customHeight="1">
      <c r="AR628" s="61"/>
    </row>
    <row r="629" ht="15.75" customHeight="1">
      <c r="AR629" s="61"/>
    </row>
    <row r="630" ht="15.75" customHeight="1">
      <c r="AR630" s="61"/>
    </row>
    <row r="631" ht="15.75" customHeight="1">
      <c r="AR631" s="61"/>
    </row>
    <row r="632" ht="15.75" customHeight="1">
      <c r="AR632" s="61"/>
    </row>
    <row r="633" ht="15.75" customHeight="1">
      <c r="AR633" s="61"/>
    </row>
    <row r="634" ht="15.75" customHeight="1">
      <c r="AR634" s="61"/>
    </row>
    <row r="635" ht="15.75" customHeight="1">
      <c r="AR635" s="61"/>
    </row>
    <row r="636" ht="15.75" customHeight="1">
      <c r="AR636" s="61"/>
    </row>
    <row r="637" ht="15.75" customHeight="1">
      <c r="AR637" s="61"/>
    </row>
    <row r="638" ht="15.75" customHeight="1">
      <c r="AR638" s="61"/>
    </row>
    <row r="639" ht="15.75" customHeight="1">
      <c r="AR639" s="61"/>
    </row>
    <row r="640" ht="15.75" customHeight="1">
      <c r="AR640" s="61"/>
    </row>
    <row r="641" ht="15.75" customHeight="1">
      <c r="AR641" s="61"/>
    </row>
    <row r="642" ht="15.75" customHeight="1">
      <c r="AR642" s="61"/>
    </row>
    <row r="643" ht="15.75" customHeight="1">
      <c r="AR643" s="61"/>
    </row>
    <row r="644" ht="15.75" customHeight="1">
      <c r="AR644" s="61"/>
    </row>
    <row r="645" ht="15.75" customHeight="1">
      <c r="AR645" s="61"/>
    </row>
    <row r="646" ht="15.75" customHeight="1">
      <c r="AR646" s="61"/>
    </row>
    <row r="647" ht="15.75" customHeight="1">
      <c r="AR647" s="61"/>
    </row>
    <row r="648" ht="15.75" customHeight="1">
      <c r="AR648" s="61"/>
    </row>
    <row r="649" ht="15.75" customHeight="1">
      <c r="AR649" s="61"/>
    </row>
    <row r="650" ht="15.75" customHeight="1">
      <c r="AR650" s="61"/>
    </row>
    <row r="651" ht="15.75" customHeight="1">
      <c r="AR651" s="61"/>
    </row>
    <row r="652" ht="15.75" customHeight="1">
      <c r="AR652" s="61"/>
    </row>
    <row r="653" ht="15.75" customHeight="1">
      <c r="AR653" s="61"/>
    </row>
    <row r="654" ht="15.75" customHeight="1">
      <c r="AR654" s="61"/>
    </row>
    <row r="655" ht="15.75" customHeight="1">
      <c r="AR655" s="61"/>
    </row>
    <row r="656" ht="15.75" customHeight="1">
      <c r="AR656" s="61"/>
    </row>
    <row r="657" ht="15.75" customHeight="1">
      <c r="AR657" s="61"/>
    </row>
    <row r="658" ht="15.75" customHeight="1">
      <c r="AR658" s="61"/>
    </row>
    <row r="659" ht="15.75" customHeight="1">
      <c r="AR659" s="61"/>
    </row>
    <row r="660" ht="15.75" customHeight="1">
      <c r="AR660" s="61"/>
    </row>
    <row r="661" ht="15.75" customHeight="1">
      <c r="AR661" s="61"/>
    </row>
    <row r="662" ht="15.75" customHeight="1">
      <c r="AR662" s="61"/>
    </row>
    <row r="663" ht="15.75" customHeight="1">
      <c r="AR663" s="61"/>
    </row>
    <row r="664" ht="15.75" customHeight="1">
      <c r="AR664" s="61"/>
    </row>
    <row r="665" ht="15.75" customHeight="1">
      <c r="AR665" s="61"/>
    </row>
    <row r="666" ht="15.75" customHeight="1">
      <c r="AR666" s="61"/>
    </row>
    <row r="667" ht="15.75" customHeight="1">
      <c r="AR667" s="61"/>
    </row>
    <row r="668" ht="15.75" customHeight="1">
      <c r="AR668" s="61"/>
    </row>
    <row r="669" ht="15.75" customHeight="1">
      <c r="AR669" s="61"/>
    </row>
    <row r="670" ht="15.75" customHeight="1">
      <c r="AR670" s="61"/>
    </row>
    <row r="671" ht="15.75" customHeight="1">
      <c r="AR671" s="61"/>
    </row>
    <row r="672" ht="15.75" customHeight="1">
      <c r="AR672" s="61"/>
    </row>
    <row r="673" ht="15.75" customHeight="1">
      <c r="AR673" s="61"/>
    </row>
    <row r="674" ht="15.75" customHeight="1">
      <c r="AR674" s="61"/>
    </row>
    <row r="675" ht="15.75" customHeight="1">
      <c r="AR675" s="61"/>
    </row>
    <row r="676" ht="15.75" customHeight="1">
      <c r="AR676" s="61"/>
    </row>
    <row r="677" ht="15.75" customHeight="1">
      <c r="AR677" s="61"/>
    </row>
    <row r="678" ht="15.75" customHeight="1">
      <c r="AR678" s="61"/>
    </row>
    <row r="679" ht="15.75" customHeight="1">
      <c r="AR679" s="61"/>
    </row>
    <row r="680" ht="15.75" customHeight="1">
      <c r="AR680" s="61"/>
    </row>
    <row r="681" ht="15.75" customHeight="1">
      <c r="AR681" s="61"/>
    </row>
    <row r="682" ht="15.75" customHeight="1">
      <c r="AR682" s="61"/>
    </row>
    <row r="683" ht="15.75" customHeight="1">
      <c r="AR683" s="61"/>
    </row>
    <row r="684" ht="15.75" customHeight="1">
      <c r="AR684" s="61"/>
    </row>
    <row r="685" ht="15.75" customHeight="1">
      <c r="AR685" s="61"/>
    </row>
    <row r="686" ht="15.75" customHeight="1">
      <c r="AR686" s="61"/>
    </row>
    <row r="687" ht="15.75" customHeight="1">
      <c r="AR687" s="61"/>
    </row>
    <row r="688" ht="15.75" customHeight="1">
      <c r="AR688" s="61"/>
    </row>
    <row r="689" ht="15.75" customHeight="1">
      <c r="AR689" s="61"/>
    </row>
    <row r="690" ht="15.75" customHeight="1">
      <c r="AR690" s="61"/>
    </row>
    <row r="691" ht="15.75" customHeight="1">
      <c r="AR691" s="61"/>
    </row>
    <row r="692" ht="15.75" customHeight="1">
      <c r="AR692" s="61"/>
    </row>
    <row r="693" ht="15.75" customHeight="1">
      <c r="AR693" s="61"/>
    </row>
    <row r="694" ht="15.75" customHeight="1">
      <c r="AR694" s="61"/>
    </row>
    <row r="695" ht="15.75" customHeight="1">
      <c r="AR695" s="61"/>
    </row>
    <row r="696" ht="15.75" customHeight="1">
      <c r="AR696" s="61"/>
    </row>
    <row r="697" ht="15.75" customHeight="1">
      <c r="AR697" s="61"/>
    </row>
    <row r="698" ht="15.75" customHeight="1">
      <c r="AR698" s="61"/>
    </row>
    <row r="699" ht="15.75" customHeight="1">
      <c r="AR699" s="61"/>
    </row>
    <row r="700" ht="15.75" customHeight="1">
      <c r="AR700" s="61"/>
    </row>
    <row r="701" ht="15.75" customHeight="1">
      <c r="AR701" s="61"/>
    </row>
    <row r="702" ht="15.75" customHeight="1">
      <c r="AR702" s="61"/>
    </row>
    <row r="703" ht="15.75" customHeight="1">
      <c r="AR703" s="61"/>
    </row>
    <row r="704" ht="15.75" customHeight="1">
      <c r="AR704" s="61"/>
    </row>
    <row r="705" ht="15.75" customHeight="1">
      <c r="AR705" s="61"/>
    </row>
    <row r="706" ht="15.75" customHeight="1">
      <c r="AR706" s="61"/>
    </row>
    <row r="707" ht="15.75" customHeight="1">
      <c r="AR707" s="61"/>
    </row>
    <row r="708" ht="15.75" customHeight="1">
      <c r="AR708" s="61"/>
    </row>
    <row r="709" ht="15.75" customHeight="1">
      <c r="AR709" s="61"/>
    </row>
    <row r="710" ht="15.75" customHeight="1">
      <c r="AR710" s="61"/>
    </row>
    <row r="711" ht="15.75" customHeight="1">
      <c r="AR711" s="61"/>
    </row>
    <row r="712" ht="15.75" customHeight="1">
      <c r="AR712" s="61"/>
    </row>
    <row r="713" ht="15.75" customHeight="1">
      <c r="AR713" s="61"/>
    </row>
    <row r="714" ht="15.75" customHeight="1">
      <c r="AR714" s="61"/>
    </row>
    <row r="715" ht="15.75" customHeight="1">
      <c r="AR715" s="61"/>
    </row>
    <row r="716" ht="15.75" customHeight="1">
      <c r="AR716" s="61"/>
    </row>
    <row r="717" ht="15.75" customHeight="1">
      <c r="AR717" s="61"/>
    </row>
    <row r="718" ht="15.75" customHeight="1">
      <c r="AR718" s="61"/>
    </row>
    <row r="719" ht="15.75" customHeight="1">
      <c r="AR719" s="61"/>
    </row>
    <row r="720" ht="15.75" customHeight="1">
      <c r="AR720" s="61"/>
    </row>
    <row r="721" ht="15.75" customHeight="1">
      <c r="AR721" s="61"/>
    </row>
    <row r="722" ht="15.75" customHeight="1">
      <c r="AR722" s="61"/>
    </row>
    <row r="723" ht="15.75" customHeight="1">
      <c r="AR723" s="61"/>
    </row>
    <row r="724" ht="15.75" customHeight="1">
      <c r="AR724" s="61"/>
    </row>
    <row r="725" ht="15.75" customHeight="1">
      <c r="AR725" s="61"/>
    </row>
    <row r="726" ht="15.75" customHeight="1">
      <c r="AR726" s="61"/>
    </row>
    <row r="727" ht="15.75" customHeight="1">
      <c r="AR727" s="61"/>
    </row>
    <row r="728" ht="15.75" customHeight="1">
      <c r="AR728" s="61"/>
    </row>
    <row r="729" ht="15.75" customHeight="1">
      <c r="AR729" s="61"/>
    </row>
    <row r="730" ht="15.75" customHeight="1">
      <c r="AR730" s="61"/>
    </row>
    <row r="731" ht="15.75" customHeight="1">
      <c r="AR731" s="61"/>
    </row>
    <row r="732" ht="15.75" customHeight="1">
      <c r="AR732" s="61"/>
    </row>
    <row r="733" ht="15.75" customHeight="1">
      <c r="AR733" s="61"/>
    </row>
    <row r="734" ht="15.75" customHeight="1">
      <c r="AR734" s="61"/>
    </row>
    <row r="735" ht="15.75" customHeight="1">
      <c r="AR735" s="61"/>
    </row>
    <row r="736" ht="15.75" customHeight="1">
      <c r="AR736" s="61"/>
    </row>
    <row r="737" ht="15.75" customHeight="1">
      <c r="AR737" s="61"/>
    </row>
    <row r="738" ht="15.75" customHeight="1">
      <c r="AR738" s="61"/>
    </row>
    <row r="739" ht="15.75" customHeight="1">
      <c r="AR739" s="61"/>
    </row>
    <row r="740" ht="15.75" customHeight="1">
      <c r="AR740" s="61"/>
    </row>
    <row r="741" ht="15.75" customHeight="1">
      <c r="AR741" s="61"/>
    </row>
    <row r="742" ht="15.75" customHeight="1">
      <c r="AR742" s="61"/>
    </row>
    <row r="743" ht="15.75" customHeight="1">
      <c r="AR743" s="61"/>
    </row>
    <row r="744" ht="15.75" customHeight="1">
      <c r="AR744" s="61"/>
    </row>
    <row r="745" ht="15.75" customHeight="1">
      <c r="AR745" s="61"/>
    </row>
    <row r="746" ht="15.75" customHeight="1">
      <c r="AR746" s="61"/>
    </row>
    <row r="747" ht="15.75" customHeight="1">
      <c r="AR747" s="61"/>
    </row>
    <row r="748" ht="15.75" customHeight="1">
      <c r="AR748" s="61"/>
    </row>
    <row r="749" ht="15.75" customHeight="1">
      <c r="AR749" s="61"/>
    </row>
    <row r="750" ht="15.75" customHeight="1">
      <c r="AR750" s="61"/>
    </row>
    <row r="751" ht="15.75" customHeight="1">
      <c r="AR751" s="61"/>
    </row>
    <row r="752" ht="15.75" customHeight="1">
      <c r="AR752" s="61"/>
    </row>
    <row r="753" ht="15.75" customHeight="1">
      <c r="AR753" s="61"/>
    </row>
    <row r="754" ht="15.75" customHeight="1">
      <c r="AR754" s="61"/>
    </row>
    <row r="755" ht="15.75" customHeight="1">
      <c r="AR755" s="61"/>
    </row>
    <row r="756" ht="15.75" customHeight="1">
      <c r="AR756" s="61"/>
    </row>
    <row r="757" ht="15.75" customHeight="1">
      <c r="AR757" s="61"/>
    </row>
    <row r="758" ht="15.75" customHeight="1">
      <c r="AR758" s="61"/>
    </row>
    <row r="759" ht="15.75" customHeight="1">
      <c r="AR759" s="61"/>
    </row>
    <row r="760" ht="15.75" customHeight="1">
      <c r="AR760" s="61"/>
    </row>
    <row r="761" ht="15.75" customHeight="1">
      <c r="AR761" s="61"/>
    </row>
    <row r="762" ht="15.75" customHeight="1">
      <c r="AR762" s="61"/>
    </row>
    <row r="763" ht="15.75" customHeight="1">
      <c r="AR763" s="61"/>
    </row>
    <row r="764" ht="15.75" customHeight="1">
      <c r="AR764" s="61"/>
    </row>
    <row r="765" ht="15.75" customHeight="1">
      <c r="AR765" s="61"/>
    </row>
    <row r="766" ht="15.75" customHeight="1">
      <c r="AR766" s="61"/>
    </row>
    <row r="767" ht="15.75" customHeight="1">
      <c r="AR767" s="61"/>
    </row>
    <row r="768" ht="15.75" customHeight="1">
      <c r="AR768" s="61"/>
    </row>
    <row r="769" ht="15.75" customHeight="1">
      <c r="AR769" s="61"/>
    </row>
    <row r="770" ht="15.75" customHeight="1">
      <c r="AR770" s="61"/>
    </row>
    <row r="771" ht="15.75" customHeight="1">
      <c r="AR771" s="61"/>
    </row>
    <row r="772" ht="15.75" customHeight="1">
      <c r="AR772" s="61"/>
    </row>
    <row r="773" ht="15.75" customHeight="1">
      <c r="AR773" s="61"/>
    </row>
    <row r="774" ht="15.75" customHeight="1">
      <c r="AR774" s="61"/>
    </row>
    <row r="775" ht="15.75" customHeight="1">
      <c r="AR775" s="61"/>
    </row>
    <row r="776" ht="15.75" customHeight="1">
      <c r="AR776" s="61"/>
    </row>
    <row r="777" ht="15.75" customHeight="1">
      <c r="AR777" s="61"/>
    </row>
    <row r="778" ht="15.75" customHeight="1">
      <c r="AR778" s="61"/>
    </row>
    <row r="779" ht="15.75" customHeight="1">
      <c r="AR779" s="61"/>
    </row>
    <row r="780" ht="15.75" customHeight="1">
      <c r="AR780" s="61"/>
    </row>
    <row r="781" ht="15.75" customHeight="1">
      <c r="AR781" s="61"/>
    </row>
    <row r="782" ht="15.75" customHeight="1">
      <c r="AR782" s="61"/>
    </row>
    <row r="783" ht="15.75" customHeight="1">
      <c r="AR783" s="61"/>
    </row>
    <row r="784" ht="15.75" customHeight="1">
      <c r="AR784" s="61"/>
    </row>
    <row r="785" ht="15.75" customHeight="1">
      <c r="AR785" s="61"/>
    </row>
    <row r="786" ht="15.75" customHeight="1">
      <c r="AR786" s="61"/>
    </row>
    <row r="787" ht="15.75" customHeight="1">
      <c r="AR787" s="61"/>
    </row>
    <row r="788" ht="15.75" customHeight="1">
      <c r="AR788" s="61"/>
    </row>
    <row r="789" ht="15.75" customHeight="1">
      <c r="AR789" s="61"/>
    </row>
    <row r="790" ht="15.75" customHeight="1">
      <c r="AR790" s="61"/>
    </row>
    <row r="791" ht="15.75" customHeight="1">
      <c r="AR791" s="61"/>
    </row>
    <row r="792" ht="15.75" customHeight="1">
      <c r="AR792" s="61"/>
    </row>
    <row r="793" ht="15.75" customHeight="1">
      <c r="AR793" s="61"/>
    </row>
    <row r="794" ht="15.75" customHeight="1">
      <c r="AR794" s="61"/>
    </row>
    <row r="795" ht="15.75" customHeight="1">
      <c r="AR795" s="61"/>
    </row>
    <row r="796" ht="15.75" customHeight="1">
      <c r="AR796" s="61"/>
    </row>
    <row r="797" ht="15.75" customHeight="1">
      <c r="AR797" s="61"/>
    </row>
    <row r="798" ht="15.75" customHeight="1">
      <c r="AR798" s="61"/>
    </row>
    <row r="799" ht="15.75" customHeight="1">
      <c r="AR799" s="61"/>
    </row>
    <row r="800" ht="15.75" customHeight="1">
      <c r="AR800" s="61"/>
    </row>
    <row r="801" ht="15.75" customHeight="1">
      <c r="AR801" s="61"/>
    </row>
    <row r="802" ht="15.75" customHeight="1">
      <c r="AR802" s="61"/>
    </row>
    <row r="803" ht="15.75" customHeight="1">
      <c r="AR803" s="61"/>
    </row>
    <row r="804" ht="15.75" customHeight="1">
      <c r="AR804" s="61"/>
    </row>
    <row r="805" ht="15.75" customHeight="1">
      <c r="AR805" s="61"/>
    </row>
    <row r="806" ht="15.75" customHeight="1">
      <c r="AR806" s="61"/>
    </row>
    <row r="807" ht="15.75" customHeight="1">
      <c r="AR807" s="61"/>
    </row>
    <row r="808" ht="15.75" customHeight="1">
      <c r="AR808" s="61"/>
    </row>
    <row r="809" ht="15.75" customHeight="1">
      <c r="AR809" s="61"/>
    </row>
    <row r="810" ht="15.75" customHeight="1">
      <c r="AR810" s="61"/>
    </row>
    <row r="811" ht="15.75" customHeight="1">
      <c r="AR811" s="61"/>
    </row>
    <row r="812" ht="15.75" customHeight="1">
      <c r="AR812" s="61"/>
    </row>
    <row r="813" ht="15.75" customHeight="1">
      <c r="AR813" s="61"/>
    </row>
    <row r="814" ht="15.75" customHeight="1">
      <c r="AR814" s="61"/>
    </row>
    <row r="815" ht="15.75" customHeight="1">
      <c r="AR815" s="61"/>
    </row>
    <row r="816" ht="15.75" customHeight="1">
      <c r="AR816" s="61"/>
    </row>
    <row r="817" ht="15.75" customHeight="1">
      <c r="AR817" s="61"/>
    </row>
    <row r="818" ht="15.75" customHeight="1">
      <c r="AR818" s="61"/>
    </row>
    <row r="819" ht="15.75" customHeight="1">
      <c r="AR819" s="61"/>
    </row>
    <row r="820" ht="15.75" customHeight="1">
      <c r="AR820" s="61"/>
    </row>
    <row r="821" ht="15.75" customHeight="1">
      <c r="AR821" s="61"/>
    </row>
    <row r="822" ht="15.75" customHeight="1">
      <c r="AR822" s="61"/>
    </row>
    <row r="823" ht="15.75" customHeight="1">
      <c r="AR823" s="61"/>
    </row>
    <row r="824" ht="15.75" customHeight="1">
      <c r="AR824" s="61"/>
    </row>
    <row r="825" ht="15.75" customHeight="1">
      <c r="AR825" s="61"/>
    </row>
    <row r="826" ht="15.75" customHeight="1">
      <c r="AR826" s="61"/>
    </row>
    <row r="827" ht="15.75" customHeight="1">
      <c r="AR827" s="61"/>
    </row>
    <row r="828" ht="15.75" customHeight="1">
      <c r="AR828" s="61"/>
    </row>
    <row r="829" ht="15.75" customHeight="1">
      <c r="AR829" s="61"/>
    </row>
    <row r="830" ht="15.75" customHeight="1">
      <c r="AR830" s="61"/>
    </row>
    <row r="831" ht="15.75" customHeight="1">
      <c r="AR831" s="61"/>
    </row>
    <row r="832" ht="15.75" customHeight="1">
      <c r="AR832" s="61"/>
    </row>
    <row r="833" ht="15.75" customHeight="1">
      <c r="AR833" s="61"/>
    </row>
    <row r="834" ht="15.75" customHeight="1">
      <c r="AR834" s="61"/>
    </row>
    <row r="835" ht="15.75" customHeight="1">
      <c r="AR835" s="61"/>
    </row>
    <row r="836" ht="15.75" customHeight="1">
      <c r="AR836" s="61"/>
    </row>
    <row r="837" ht="15.75" customHeight="1">
      <c r="AR837" s="61"/>
    </row>
    <row r="838" ht="15.75" customHeight="1">
      <c r="AR838" s="61"/>
    </row>
    <row r="839" ht="15.75" customHeight="1">
      <c r="AR839" s="61"/>
    </row>
    <row r="840" ht="15.75" customHeight="1">
      <c r="AR840" s="61"/>
    </row>
    <row r="841" ht="15.75" customHeight="1">
      <c r="AR841" s="61"/>
    </row>
    <row r="842" ht="15.75" customHeight="1">
      <c r="AR842" s="61"/>
    </row>
    <row r="843" ht="15.75" customHeight="1">
      <c r="AR843" s="61"/>
    </row>
    <row r="844" ht="15.75" customHeight="1">
      <c r="AR844" s="61"/>
    </row>
    <row r="845" ht="15.75" customHeight="1">
      <c r="AR845" s="61"/>
    </row>
    <row r="846" ht="15.75" customHeight="1">
      <c r="AR846" s="61"/>
    </row>
    <row r="847" ht="15.75" customHeight="1">
      <c r="AR847" s="61"/>
    </row>
    <row r="848" ht="15.75" customHeight="1">
      <c r="AR848" s="61"/>
    </row>
    <row r="849" ht="15.75" customHeight="1">
      <c r="AR849" s="61"/>
    </row>
    <row r="850" ht="15.75" customHeight="1">
      <c r="AR850" s="61"/>
    </row>
    <row r="851" ht="15.75" customHeight="1">
      <c r="AR851" s="61"/>
    </row>
    <row r="852" ht="15.75" customHeight="1">
      <c r="AR852" s="61"/>
    </row>
    <row r="853" ht="15.75" customHeight="1">
      <c r="AR853" s="61"/>
    </row>
    <row r="854" ht="15.75" customHeight="1">
      <c r="AR854" s="61"/>
    </row>
    <row r="855" ht="15.75" customHeight="1">
      <c r="AR855" s="61"/>
    </row>
    <row r="856" ht="15.75" customHeight="1">
      <c r="AR856" s="61"/>
    </row>
    <row r="857" ht="15.75" customHeight="1">
      <c r="AR857" s="61"/>
    </row>
    <row r="858" ht="15.75" customHeight="1">
      <c r="AR858" s="61"/>
    </row>
    <row r="859" ht="15.75" customHeight="1">
      <c r="AR859" s="61"/>
    </row>
    <row r="860" ht="15.75" customHeight="1">
      <c r="AR860" s="61"/>
    </row>
    <row r="861" ht="15.75" customHeight="1">
      <c r="AR861" s="61"/>
    </row>
    <row r="862" ht="15.75" customHeight="1">
      <c r="AR862" s="61"/>
    </row>
    <row r="863" ht="15.75" customHeight="1">
      <c r="AR863" s="61"/>
    </row>
    <row r="864" ht="15.75" customHeight="1">
      <c r="AR864" s="61"/>
    </row>
    <row r="865" ht="15.75" customHeight="1">
      <c r="AR865" s="61"/>
    </row>
    <row r="866" ht="15.75" customHeight="1">
      <c r="AR866" s="61"/>
    </row>
    <row r="867" ht="15.75" customHeight="1">
      <c r="AR867" s="61"/>
    </row>
    <row r="868" ht="15.75" customHeight="1">
      <c r="AR868" s="61"/>
    </row>
    <row r="869" ht="15.75" customHeight="1">
      <c r="AR869" s="61"/>
    </row>
    <row r="870" ht="15.75" customHeight="1">
      <c r="AR870" s="61"/>
    </row>
    <row r="871" ht="15.75" customHeight="1">
      <c r="AR871" s="61"/>
    </row>
    <row r="872" ht="15.75" customHeight="1">
      <c r="AR872" s="61"/>
    </row>
    <row r="873" ht="15.75" customHeight="1">
      <c r="AR873" s="61"/>
    </row>
    <row r="874" ht="15.75" customHeight="1">
      <c r="AR874" s="61"/>
    </row>
    <row r="875" ht="15.75" customHeight="1">
      <c r="AR875" s="61"/>
    </row>
    <row r="876" ht="15.75" customHeight="1">
      <c r="AR876" s="61"/>
    </row>
    <row r="877" ht="15.75" customHeight="1">
      <c r="AR877" s="61"/>
    </row>
    <row r="878" ht="15.75" customHeight="1">
      <c r="AR878" s="61"/>
    </row>
    <row r="879" ht="15.75" customHeight="1">
      <c r="AR879" s="61"/>
    </row>
    <row r="880" ht="15.75" customHeight="1">
      <c r="AR880" s="61"/>
    </row>
    <row r="881" ht="15.75" customHeight="1">
      <c r="AR881" s="61"/>
    </row>
    <row r="882" ht="15.75" customHeight="1">
      <c r="AR882" s="61"/>
    </row>
    <row r="883" ht="15.75" customHeight="1">
      <c r="AR883" s="61"/>
    </row>
    <row r="884" ht="15.75" customHeight="1">
      <c r="AR884" s="61"/>
    </row>
    <row r="885" ht="15.75" customHeight="1">
      <c r="AR885" s="61"/>
    </row>
    <row r="886" ht="15.75" customHeight="1">
      <c r="AR886" s="61"/>
    </row>
    <row r="887" ht="15.75" customHeight="1">
      <c r="AR887" s="61"/>
    </row>
    <row r="888" ht="15.75" customHeight="1">
      <c r="AR888" s="61"/>
    </row>
    <row r="889" ht="15.75" customHeight="1">
      <c r="AR889" s="61"/>
    </row>
    <row r="890" ht="15.75" customHeight="1">
      <c r="AR890" s="61"/>
    </row>
    <row r="891" ht="15.75" customHeight="1">
      <c r="AR891" s="61"/>
    </row>
    <row r="892" ht="15.75" customHeight="1">
      <c r="AR892" s="61"/>
    </row>
    <row r="893" ht="15.75" customHeight="1">
      <c r="AR893" s="61"/>
    </row>
    <row r="894" ht="15.75" customHeight="1">
      <c r="AR894" s="61"/>
    </row>
    <row r="895" ht="15.75" customHeight="1">
      <c r="AR895" s="61"/>
    </row>
    <row r="896" ht="15.75" customHeight="1">
      <c r="AR896" s="61"/>
    </row>
    <row r="897" ht="15.75" customHeight="1">
      <c r="AR897" s="61"/>
    </row>
    <row r="898" ht="15.75" customHeight="1">
      <c r="AR898" s="61"/>
    </row>
    <row r="899" ht="15.75" customHeight="1">
      <c r="AR899" s="61"/>
    </row>
    <row r="900" ht="15.75" customHeight="1">
      <c r="AR900" s="61"/>
    </row>
    <row r="901" ht="15.75" customHeight="1">
      <c r="AR901" s="61"/>
    </row>
    <row r="902" ht="15.75" customHeight="1">
      <c r="AR902" s="61"/>
    </row>
    <row r="903" ht="15.75" customHeight="1">
      <c r="AR903" s="61"/>
    </row>
    <row r="904" ht="15.75" customHeight="1">
      <c r="AR904" s="61"/>
    </row>
    <row r="905" ht="15.75" customHeight="1">
      <c r="AR905" s="61"/>
    </row>
    <row r="906" ht="15.75" customHeight="1">
      <c r="AR906" s="61"/>
    </row>
    <row r="907" ht="15.75" customHeight="1">
      <c r="AR907" s="61"/>
    </row>
    <row r="908" ht="15.75" customHeight="1">
      <c r="AR908" s="61"/>
    </row>
    <row r="909" ht="15.75" customHeight="1">
      <c r="AR909" s="61"/>
    </row>
    <row r="910" ht="15.75" customHeight="1">
      <c r="AR910" s="61"/>
    </row>
    <row r="911" ht="15.75" customHeight="1">
      <c r="AR911" s="61"/>
    </row>
    <row r="912" ht="15.75" customHeight="1">
      <c r="AR912" s="61"/>
    </row>
    <row r="913" ht="15.75" customHeight="1">
      <c r="AR913" s="61"/>
    </row>
    <row r="914" ht="15.75" customHeight="1">
      <c r="AR914" s="61"/>
    </row>
    <row r="915" ht="15.75" customHeight="1">
      <c r="AR915" s="61"/>
    </row>
    <row r="916" ht="15.75" customHeight="1">
      <c r="AR916" s="61"/>
    </row>
    <row r="917" ht="15.75" customHeight="1">
      <c r="AR917" s="61"/>
    </row>
    <row r="918" ht="15.75" customHeight="1">
      <c r="AR918" s="61"/>
    </row>
    <row r="919" ht="15.75" customHeight="1">
      <c r="AR919" s="61"/>
    </row>
    <row r="920" ht="15.75" customHeight="1">
      <c r="AR920" s="61"/>
    </row>
    <row r="921" ht="15.75" customHeight="1">
      <c r="AR921" s="61"/>
    </row>
    <row r="922" ht="15.75" customHeight="1">
      <c r="AR922" s="61"/>
    </row>
    <row r="923" ht="15.75" customHeight="1">
      <c r="AR923" s="61"/>
    </row>
    <row r="924" ht="15.75" customHeight="1">
      <c r="AR924" s="61"/>
    </row>
    <row r="925" ht="15.75" customHeight="1">
      <c r="AR925" s="61"/>
    </row>
    <row r="926" ht="15.75" customHeight="1">
      <c r="AR926" s="61"/>
    </row>
    <row r="927" ht="15.75" customHeight="1">
      <c r="AR927" s="61"/>
    </row>
    <row r="928" ht="15.75" customHeight="1">
      <c r="AR928" s="61"/>
    </row>
    <row r="929" ht="15.75" customHeight="1">
      <c r="AR929" s="61"/>
    </row>
    <row r="930" ht="15.75" customHeight="1">
      <c r="AR930" s="61"/>
    </row>
    <row r="931" ht="15.75" customHeight="1">
      <c r="AR931" s="61"/>
    </row>
    <row r="932" ht="15.75" customHeight="1">
      <c r="AR932" s="61"/>
    </row>
    <row r="933" ht="15.75" customHeight="1">
      <c r="AR933" s="61"/>
    </row>
    <row r="934" ht="15.75" customHeight="1">
      <c r="AR934" s="61"/>
    </row>
    <row r="935" ht="15.75" customHeight="1">
      <c r="AR935" s="61"/>
    </row>
    <row r="936" ht="15.75" customHeight="1">
      <c r="AR936" s="61"/>
    </row>
    <row r="937" ht="15.75" customHeight="1">
      <c r="AR937" s="61"/>
    </row>
    <row r="938" ht="15.75" customHeight="1">
      <c r="AR938" s="61"/>
    </row>
    <row r="939" ht="15.75" customHeight="1">
      <c r="AR939" s="61"/>
    </row>
    <row r="940" ht="15.75" customHeight="1">
      <c r="AR940" s="61"/>
    </row>
    <row r="941" ht="15.75" customHeight="1">
      <c r="AR941" s="61"/>
    </row>
    <row r="942" ht="15.75" customHeight="1">
      <c r="AR942" s="61"/>
    </row>
    <row r="943" ht="15.75" customHeight="1">
      <c r="AR943" s="61"/>
    </row>
    <row r="944" ht="15.75" customHeight="1">
      <c r="AR944" s="61"/>
    </row>
    <row r="945" ht="15.75" customHeight="1">
      <c r="AR945" s="61"/>
    </row>
    <row r="946" ht="15.75" customHeight="1">
      <c r="AR946" s="61"/>
    </row>
    <row r="947" ht="15.75" customHeight="1">
      <c r="AR947" s="61"/>
    </row>
    <row r="948" ht="15.75" customHeight="1">
      <c r="AR948" s="61"/>
    </row>
    <row r="949" ht="15.75" customHeight="1">
      <c r="AR949" s="61"/>
    </row>
    <row r="950" ht="15.75" customHeight="1">
      <c r="AR950" s="61"/>
    </row>
    <row r="951" ht="15.75" customHeight="1">
      <c r="AR951" s="61"/>
    </row>
    <row r="952" ht="15.75" customHeight="1">
      <c r="AR952" s="61"/>
    </row>
    <row r="953" ht="15.75" customHeight="1">
      <c r="AR953" s="61"/>
    </row>
    <row r="954" ht="15.75" customHeight="1">
      <c r="AR954" s="61"/>
    </row>
    <row r="955" ht="15.75" customHeight="1">
      <c r="AR955" s="61"/>
    </row>
    <row r="956" ht="15.75" customHeight="1">
      <c r="AR956" s="61"/>
    </row>
    <row r="957" ht="15.75" customHeight="1">
      <c r="AR957" s="61"/>
    </row>
    <row r="958" ht="15.75" customHeight="1">
      <c r="AR958" s="61"/>
    </row>
    <row r="959" ht="15.75" customHeight="1">
      <c r="AR959" s="61"/>
    </row>
    <row r="960" ht="15.75" customHeight="1">
      <c r="AR960" s="61"/>
    </row>
    <row r="961" ht="15.75" customHeight="1">
      <c r="AR961" s="61"/>
    </row>
    <row r="962" ht="15.75" customHeight="1">
      <c r="AR962" s="61"/>
    </row>
    <row r="963" ht="15.75" customHeight="1">
      <c r="AR963" s="61"/>
    </row>
    <row r="964" ht="15.75" customHeight="1">
      <c r="AR964" s="61"/>
    </row>
    <row r="965" ht="15.75" customHeight="1">
      <c r="AR965" s="61"/>
    </row>
    <row r="966" ht="15.75" customHeight="1">
      <c r="AR966" s="61"/>
    </row>
    <row r="967" ht="15.75" customHeight="1">
      <c r="AR967" s="61"/>
    </row>
    <row r="968" ht="15.75" customHeight="1">
      <c r="AR968" s="61"/>
    </row>
    <row r="969" ht="15.75" customHeight="1">
      <c r="AR969" s="61"/>
    </row>
    <row r="970" ht="15.75" customHeight="1">
      <c r="AR970" s="61"/>
    </row>
    <row r="971" ht="15.75" customHeight="1">
      <c r="AR971" s="61"/>
    </row>
    <row r="972" ht="15.75" customHeight="1">
      <c r="AR972" s="61"/>
    </row>
    <row r="973" ht="15.75" customHeight="1">
      <c r="AR973" s="61"/>
    </row>
    <row r="974" ht="15.75" customHeight="1">
      <c r="AR974" s="61"/>
    </row>
    <row r="975" ht="15.75" customHeight="1">
      <c r="AR975" s="61"/>
    </row>
    <row r="976" ht="15.75" customHeight="1">
      <c r="AR976" s="61"/>
    </row>
    <row r="977" ht="15.75" customHeight="1">
      <c r="AR977" s="61"/>
    </row>
    <row r="978" ht="15.75" customHeight="1">
      <c r="AR978" s="61"/>
    </row>
    <row r="979" ht="15.75" customHeight="1">
      <c r="AR979" s="61"/>
    </row>
    <row r="980" ht="15.75" customHeight="1">
      <c r="AR980" s="61"/>
    </row>
    <row r="981" ht="15.75" customHeight="1">
      <c r="AR981" s="61"/>
    </row>
    <row r="982" ht="15.75" customHeight="1">
      <c r="AR982" s="61"/>
    </row>
    <row r="983" ht="15.75" customHeight="1">
      <c r="AR983" s="61"/>
    </row>
    <row r="984" ht="15.75" customHeight="1">
      <c r="AR984" s="61"/>
    </row>
    <row r="985" ht="15.75" customHeight="1">
      <c r="AR985" s="61"/>
    </row>
    <row r="986" ht="15.75" customHeight="1">
      <c r="AR986" s="61"/>
    </row>
    <row r="987" ht="15.75" customHeight="1">
      <c r="AR987" s="61"/>
    </row>
    <row r="988" ht="15.75" customHeight="1">
      <c r="AR988" s="61"/>
    </row>
    <row r="989" ht="15.75" customHeight="1">
      <c r="AR989" s="61"/>
    </row>
    <row r="990" ht="15.75" customHeight="1">
      <c r="AR990" s="61"/>
    </row>
    <row r="991" ht="15.75" customHeight="1">
      <c r="AR991" s="61"/>
    </row>
    <row r="992" ht="15.75" customHeight="1">
      <c r="AR992" s="61"/>
    </row>
    <row r="993" ht="15.75" customHeight="1">
      <c r="AR993" s="61"/>
    </row>
    <row r="994" ht="15.75" customHeight="1">
      <c r="AR994" s="61"/>
    </row>
    <row r="995" ht="15.75" customHeight="1">
      <c r="AR995" s="61"/>
    </row>
    <row r="996" ht="15.75" customHeight="1">
      <c r="AR996" s="61"/>
    </row>
    <row r="997" ht="15.75" customHeight="1">
      <c r="AR997" s="61"/>
    </row>
    <row r="998" ht="15.75" customHeight="1">
      <c r="AR998" s="61"/>
    </row>
    <row r="999" ht="15.75" customHeight="1">
      <c r="AR999" s="61"/>
    </row>
    <row r="1000" ht="15.75" customHeight="1">
      <c r="AR1000" s="61"/>
    </row>
    <row r="1001" ht="15.75" customHeight="1">
      <c r="AR1001" s="61"/>
    </row>
    <row r="1002" ht="15.75" customHeight="1">
      <c r="AR1002" s="61"/>
    </row>
    <row r="1003" ht="15.75" customHeight="1">
      <c r="AR1003" s="61"/>
    </row>
    <row r="1004" ht="15.75" customHeight="1">
      <c r="AR1004" s="61"/>
    </row>
    <row r="1005" ht="15.75" customHeight="1">
      <c r="AR1005" s="61"/>
    </row>
    <row r="1006" ht="15.75" customHeight="1">
      <c r="AR1006" s="61"/>
    </row>
    <row r="1007" ht="15.75" customHeight="1">
      <c r="AR1007" s="61"/>
    </row>
    <row r="1008" ht="15.75" customHeight="1">
      <c r="AR1008" s="61"/>
    </row>
    <row r="1009" ht="15.75" customHeight="1">
      <c r="AR1009" s="61"/>
    </row>
    <row r="1010" ht="15.75" customHeight="1">
      <c r="AR1010" s="61"/>
    </row>
    <row r="1011" ht="15.75" customHeight="1">
      <c r="AR1011" s="61"/>
    </row>
    <row r="1012" ht="15.75" customHeight="1">
      <c r="AR1012" s="61"/>
    </row>
    <row r="1013" ht="15.75" customHeight="1">
      <c r="AR1013" s="61"/>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5:AX28">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2" max="2" width="24.25"/>
    <col customWidth="1" min="3" max="3" width="11.63"/>
    <col customWidth="1" min="4" max="4" width="10.63"/>
    <col customWidth="1" min="5" max="5" width="10.5"/>
    <col customWidth="1" min="6" max="6" width="7.88"/>
    <col customWidth="1" min="7" max="7" width="10.5"/>
    <col customWidth="1" min="8" max="8" width="9.38"/>
    <col customWidth="1" min="9" max="9" width="10.0"/>
    <col customWidth="1" min="10" max="10" width="7.88"/>
    <col customWidth="1" min="11" max="11" width="9.13"/>
    <col customWidth="1" min="12" max="12" width="6.0"/>
    <col customWidth="1" min="13" max="13" width="9.25"/>
    <col customWidth="1" min="14" max="14" width="5.63"/>
    <col customWidth="1" min="15" max="15" width="7.25"/>
    <col customWidth="1" min="16" max="16" width="8.63"/>
    <col customWidth="1" min="17" max="17" width="9.5"/>
    <col customWidth="1" min="18" max="18" width="8.88"/>
    <col customWidth="1" min="19" max="19" width="9.0"/>
    <col customWidth="1" min="20" max="20" width="11.13"/>
    <col customWidth="1" min="21" max="21" width="8.5"/>
    <col customWidth="1" min="22" max="22" width="5.5"/>
    <col customWidth="1" min="23" max="23" width="11.13"/>
    <col customWidth="1" min="24" max="24" width="10.75"/>
    <col customWidth="1" min="26" max="44" width="13.63"/>
    <col customWidth="1" min="46" max="46" width="14.0"/>
    <col customWidth="1" min="50" max="50" width="9.5"/>
    <col customWidth="1" min="51" max="51" width="114.0"/>
  </cols>
  <sheetData>
    <row r="1" ht="15.75" customHeight="1">
      <c r="A1" s="118" t="s">
        <v>153</v>
      </c>
      <c r="B1" s="37"/>
      <c r="C1" s="38"/>
      <c r="D1" s="38"/>
      <c r="E1" s="38"/>
      <c r="F1" s="38"/>
      <c r="G1" s="39"/>
      <c r="H1" s="39"/>
      <c r="I1" s="39"/>
      <c r="J1" s="39"/>
      <c r="K1" s="99"/>
      <c r="L1" s="99"/>
      <c r="M1" s="9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40"/>
    </row>
    <row r="2" ht="15.75" customHeight="1">
      <c r="A2" s="40"/>
      <c r="B2" s="37"/>
      <c r="C2" s="38"/>
      <c r="D2" s="38"/>
      <c r="E2" s="38"/>
      <c r="F2" s="38"/>
      <c r="G2" s="39"/>
      <c r="H2" s="39"/>
      <c r="I2" s="39"/>
      <c r="J2" s="39"/>
      <c r="K2" s="99"/>
      <c r="L2" s="99"/>
      <c r="M2" s="9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40"/>
    </row>
    <row r="3" ht="15.75" customHeight="1">
      <c r="A3" s="42" t="s">
        <v>60</v>
      </c>
      <c r="B3" s="43" t="s">
        <v>61</v>
      </c>
      <c r="C3" s="44" t="s">
        <v>62</v>
      </c>
      <c r="D3" s="45"/>
      <c r="E3" s="45"/>
      <c r="F3" s="46"/>
      <c r="G3" s="47" t="s">
        <v>63</v>
      </c>
      <c r="H3" s="45"/>
      <c r="I3" s="45"/>
      <c r="J3" s="46"/>
      <c r="K3" s="119" t="s">
        <v>64</v>
      </c>
      <c r="L3" s="45"/>
      <c r="M3" s="45"/>
      <c r="N3" s="46"/>
      <c r="O3" s="49" t="s">
        <v>154</v>
      </c>
      <c r="P3" s="45"/>
      <c r="Q3" s="45"/>
      <c r="R3" s="46"/>
      <c r="S3" s="50" t="s">
        <v>66</v>
      </c>
      <c r="T3" s="45"/>
      <c r="U3" s="45"/>
      <c r="V3" s="46"/>
      <c r="W3" s="51" t="s">
        <v>67</v>
      </c>
      <c r="X3" s="45"/>
      <c r="Y3" s="45"/>
      <c r="Z3" s="46"/>
      <c r="AA3" s="52" t="s">
        <v>68</v>
      </c>
      <c r="AB3" s="45"/>
      <c r="AC3" s="45"/>
      <c r="AD3" s="46"/>
      <c r="AE3" s="53" t="s">
        <v>69</v>
      </c>
      <c r="AF3" s="45"/>
      <c r="AG3" s="45"/>
      <c r="AH3" s="46"/>
      <c r="AI3" s="54" t="s">
        <v>70</v>
      </c>
      <c r="AJ3" s="45"/>
      <c r="AK3" s="45"/>
      <c r="AL3" s="46"/>
      <c r="AM3" s="55" t="s">
        <v>71</v>
      </c>
      <c r="AN3" s="45"/>
      <c r="AO3" s="45"/>
      <c r="AP3" s="46"/>
      <c r="AQ3" s="56"/>
      <c r="AR3" s="57" t="s">
        <v>72</v>
      </c>
      <c r="AS3" s="43" t="s">
        <v>73</v>
      </c>
      <c r="AT3" s="43" t="s">
        <v>74</v>
      </c>
      <c r="AU3" s="42" t="s">
        <v>75</v>
      </c>
      <c r="AV3" s="42" t="s">
        <v>76</v>
      </c>
      <c r="AW3" s="42" t="s">
        <v>77</v>
      </c>
      <c r="AX3" s="42" t="s">
        <v>78</v>
      </c>
      <c r="AY3" s="42" t="s">
        <v>79</v>
      </c>
    </row>
    <row r="4" ht="15.75" customHeight="1">
      <c r="A4" s="42"/>
      <c r="B4" s="43"/>
      <c r="C4" s="56" t="s">
        <v>80</v>
      </c>
      <c r="D4" s="56" t="s">
        <v>81</v>
      </c>
      <c r="E4" s="56" t="s">
        <v>82</v>
      </c>
      <c r="F4" s="56" t="s">
        <v>83</v>
      </c>
      <c r="G4" s="56" t="s">
        <v>80</v>
      </c>
      <c r="H4" s="56" t="s">
        <v>81</v>
      </c>
      <c r="I4" s="56" t="s">
        <v>82</v>
      </c>
      <c r="J4" s="56" t="s">
        <v>83</v>
      </c>
      <c r="K4" s="57" t="s">
        <v>80</v>
      </c>
      <c r="L4" s="57" t="s">
        <v>81</v>
      </c>
      <c r="M4" s="57" t="s">
        <v>82</v>
      </c>
      <c r="N4" s="56" t="s">
        <v>83</v>
      </c>
      <c r="O4" s="56" t="s">
        <v>80</v>
      </c>
      <c r="P4" s="56" t="s">
        <v>81</v>
      </c>
      <c r="Q4" s="56" t="s">
        <v>82</v>
      </c>
      <c r="R4" s="56" t="s">
        <v>83</v>
      </c>
      <c r="S4" s="56" t="s">
        <v>80</v>
      </c>
      <c r="T4" s="56" t="s">
        <v>81</v>
      </c>
      <c r="U4" s="56" t="s">
        <v>82</v>
      </c>
      <c r="V4" s="56" t="s">
        <v>83</v>
      </c>
      <c r="W4" s="56" t="s">
        <v>80</v>
      </c>
      <c r="X4" s="56" t="s">
        <v>81</v>
      </c>
      <c r="Y4" s="56" t="s">
        <v>82</v>
      </c>
      <c r="Z4" s="56" t="s">
        <v>83</v>
      </c>
      <c r="AA4" s="58" t="s">
        <v>80</v>
      </c>
      <c r="AB4" s="59" t="s">
        <v>81</v>
      </c>
      <c r="AC4" s="59" t="s">
        <v>82</v>
      </c>
      <c r="AD4" s="59" t="s">
        <v>83</v>
      </c>
      <c r="AE4" s="58" t="s">
        <v>80</v>
      </c>
      <c r="AF4" s="59" t="s">
        <v>81</v>
      </c>
      <c r="AG4" s="59" t="s">
        <v>82</v>
      </c>
      <c r="AH4" s="59" t="s">
        <v>83</v>
      </c>
      <c r="AI4" s="58" t="s">
        <v>80</v>
      </c>
      <c r="AJ4" s="59" t="s">
        <v>81</v>
      </c>
      <c r="AK4" s="59" t="s">
        <v>82</v>
      </c>
      <c r="AL4" s="59" t="s">
        <v>83</v>
      </c>
      <c r="AM4" s="58" t="s">
        <v>80</v>
      </c>
      <c r="AN4" s="59" t="s">
        <v>81</v>
      </c>
      <c r="AO4" s="59" t="s">
        <v>82</v>
      </c>
      <c r="AP4" s="59" t="s">
        <v>83</v>
      </c>
      <c r="AQ4" s="60"/>
      <c r="AR4" s="61"/>
      <c r="AS4" s="43"/>
      <c r="AT4" s="43"/>
      <c r="AU4" s="42"/>
      <c r="AV4" s="42"/>
      <c r="AW4" s="42"/>
      <c r="AX4" s="42"/>
      <c r="AY4" s="80"/>
    </row>
    <row r="5" ht="15.75" customHeight="1">
      <c r="A5" s="42">
        <v>1.0</v>
      </c>
      <c r="B5" s="87" t="s">
        <v>155</v>
      </c>
      <c r="C5" s="64">
        <v>28.0</v>
      </c>
      <c r="D5" s="66">
        <v>36.0</v>
      </c>
      <c r="E5" s="56">
        <f t="shared" ref="E5:E31" si="1">C5+D5</f>
        <v>64</v>
      </c>
      <c r="F5" s="56" t="str">
        <f t="shared" ref="F5:F31" si="2">VLOOKUP(E5,$B$43:$C$51,2)</f>
        <v>C</v>
      </c>
      <c r="G5" s="64">
        <v>18.0</v>
      </c>
      <c r="H5" s="65">
        <v>21.0</v>
      </c>
      <c r="I5" s="56">
        <f t="shared" ref="I5:I31" si="3">G5+H5</f>
        <v>39</v>
      </c>
      <c r="J5" s="56" t="str">
        <f t="shared" ref="J5:J31" si="4">VLOOKUP(I5,$B$43:$C$51,2)</f>
        <v>F</v>
      </c>
      <c r="K5" s="120">
        <v>21.0</v>
      </c>
      <c r="L5" s="120">
        <v>30.1</v>
      </c>
      <c r="M5" s="57">
        <f t="shared" ref="M5:M31" si="5">K5+L5</f>
        <v>51.1</v>
      </c>
      <c r="N5" s="56" t="str">
        <f t="shared" ref="N5:N31" si="6">VLOOKUP(M5,$B$43:$C$51,2)</f>
        <v>D</v>
      </c>
      <c r="O5" s="66">
        <v>28.0</v>
      </c>
      <c r="P5" s="66">
        <v>42.0</v>
      </c>
      <c r="Q5" s="56">
        <f t="shared" ref="Q5:Q31" si="7">O5+P5</f>
        <v>70</v>
      </c>
      <c r="R5" s="56" t="str">
        <f t="shared" ref="R5:R31" si="8">VLOOKUP(Q5,$B$43:$C$51,2)</f>
        <v>B</v>
      </c>
      <c r="S5" s="66">
        <v>20.0</v>
      </c>
      <c r="T5" s="66">
        <v>37.0</v>
      </c>
      <c r="U5" s="56">
        <f t="shared" ref="U5:U31" si="9">S5+T5</f>
        <v>57</v>
      </c>
      <c r="V5" s="56" t="str">
        <f t="shared" ref="V5:V31" si="10">VLOOKUP(U5,$B$43:$C$51,2)</f>
        <v>D</v>
      </c>
      <c r="W5" s="64">
        <v>24.0</v>
      </c>
      <c r="X5" s="66">
        <v>42.0</v>
      </c>
      <c r="Y5" s="56">
        <f t="shared" ref="Y5:Y31" si="11">W5+X5</f>
        <v>66</v>
      </c>
      <c r="Z5" s="56" t="str">
        <f t="shared" ref="Z5:Z31" si="12">VLOOKUP(Y5,$B$43:$C$51,2)</f>
        <v>C</v>
      </c>
      <c r="AA5" s="67">
        <v>27.0</v>
      </c>
      <c r="AB5" s="68">
        <v>36.0</v>
      </c>
      <c r="AC5" s="59">
        <f t="shared" ref="AC5:AC30" si="13">AA5+AB5</f>
        <v>63</v>
      </c>
      <c r="AD5" s="56" t="str">
        <f t="shared" ref="AD5:AD31" si="14">VLOOKUP(AC5,$B$43:$C$51,2)</f>
        <v>C</v>
      </c>
      <c r="AE5" s="64">
        <v>27.0</v>
      </c>
      <c r="AF5" s="65">
        <v>55.0</v>
      </c>
      <c r="AG5" s="59">
        <f t="shared" ref="AG5:AG30" si="15">AE5+AF5</f>
        <v>82</v>
      </c>
      <c r="AH5" s="56" t="str">
        <f t="shared" ref="AH5:AH31" si="16">VLOOKUP(AG5,$B$43:$C$51,2)</f>
        <v>A</v>
      </c>
      <c r="AI5" s="64">
        <v>25.0</v>
      </c>
      <c r="AJ5" s="68">
        <v>53.0</v>
      </c>
      <c r="AK5" s="59">
        <f t="shared" ref="AK5:AK31" si="17">AI5+AJ5</f>
        <v>78</v>
      </c>
      <c r="AL5" s="56" t="str">
        <f t="shared" ref="AL5:AL31" si="18">VLOOKUP(AK5,$B$43:$C$51,2)</f>
        <v>B</v>
      </c>
      <c r="AM5" s="64">
        <v>20.0</v>
      </c>
      <c r="AN5" s="68">
        <v>47.0</v>
      </c>
      <c r="AO5" s="59">
        <f t="shared" ref="AO5:AO22" si="19">AM5+AN5</f>
        <v>67</v>
      </c>
      <c r="AP5" s="56" t="str">
        <f t="shared" ref="AP5:AP31" si="20">VLOOKUP(AO5,$B$43:$C$51,2)</f>
        <v>C</v>
      </c>
      <c r="AQ5" s="59"/>
      <c r="AR5" s="57">
        <f t="shared" ref="AR5:AR31" si="21">AVERAGE(E5,I5,M5,Q5,U5,Y5,AC5,AG5,AK5,AO5)</f>
        <v>63.71</v>
      </c>
      <c r="AS5" s="72">
        <f t="shared" ref="AS5:AS31" si="22">RANK(AR5,$AR$5:$AR$32)</f>
        <v>19</v>
      </c>
      <c r="AT5" s="73" t="s">
        <v>85</v>
      </c>
      <c r="AU5" s="73" t="s">
        <v>86</v>
      </c>
      <c r="AV5" s="73" t="s">
        <v>85</v>
      </c>
      <c r="AW5" s="73" t="s">
        <v>86</v>
      </c>
      <c r="AX5" s="73" t="s">
        <v>85</v>
      </c>
      <c r="AY5" s="121" t="s">
        <v>156</v>
      </c>
    </row>
    <row r="6" ht="15.75" customHeight="1">
      <c r="A6" s="42">
        <v>2.0</v>
      </c>
      <c r="B6" s="94" t="s">
        <v>157</v>
      </c>
      <c r="C6" s="75">
        <v>29.0</v>
      </c>
      <c r="D6" s="66">
        <v>31.0</v>
      </c>
      <c r="E6" s="56">
        <f t="shared" si="1"/>
        <v>60</v>
      </c>
      <c r="F6" s="56" t="str">
        <f t="shared" si="2"/>
        <v>C</v>
      </c>
      <c r="G6" s="75">
        <v>6.0</v>
      </c>
      <c r="H6" s="76">
        <v>13.0</v>
      </c>
      <c r="I6" s="56">
        <f t="shared" si="3"/>
        <v>19</v>
      </c>
      <c r="J6" s="56" t="str">
        <f t="shared" si="4"/>
        <v>U</v>
      </c>
      <c r="K6" s="120">
        <v>17.8</v>
      </c>
      <c r="L6" s="120">
        <v>24.0</v>
      </c>
      <c r="M6" s="57">
        <f t="shared" si="5"/>
        <v>41.8</v>
      </c>
      <c r="N6" s="56" t="str">
        <f t="shared" si="6"/>
        <v>E</v>
      </c>
      <c r="O6" s="66">
        <v>25.0</v>
      </c>
      <c r="P6" s="66">
        <v>27.0</v>
      </c>
      <c r="Q6" s="56">
        <f t="shared" si="7"/>
        <v>52</v>
      </c>
      <c r="R6" s="56" t="str">
        <f t="shared" si="8"/>
        <v>D</v>
      </c>
      <c r="S6" s="66">
        <v>19.0</v>
      </c>
      <c r="T6" s="66">
        <v>37.0</v>
      </c>
      <c r="U6" s="56">
        <f t="shared" si="9"/>
        <v>56</v>
      </c>
      <c r="V6" s="56" t="str">
        <f t="shared" si="10"/>
        <v>D</v>
      </c>
      <c r="W6" s="75">
        <v>22.0</v>
      </c>
      <c r="X6" s="66">
        <v>28.0</v>
      </c>
      <c r="Y6" s="56">
        <f t="shared" si="11"/>
        <v>50</v>
      </c>
      <c r="Z6" s="56" t="str">
        <f t="shared" si="12"/>
        <v>D</v>
      </c>
      <c r="AA6" s="67">
        <v>17.0</v>
      </c>
      <c r="AB6" s="68">
        <v>31.0</v>
      </c>
      <c r="AC6" s="59">
        <f t="shared" si="13"/>
        <v>48</v>
      </c>
      <c r="AD6" s="56" t="str">
        <f t="shared" si="14"/>
        <v>E</v>
      </c>
      <c r="AE6" s="75">
        <v>27.0</v>
      </c>
      <c r="AF6" s="76">
        <v>44.0</v>
      </c>
      <c r="AG6" s="59">
        <f t="shared" si="15"/>
        <v>71</v>
      </c>
      <c r="AH6" s="56" t="str">
        <f t="shared" si="16"/>
        <v>B</v>
      </c>
      <c r="AI6" s="67">
        <v>28.0</v>
      </c>
      <c r="AJ6" s="68">
        <v>27.0</v>
      </c>
      <c r="AK6" s="59">
        <f t="shared" si="17"/>
        <v>55</v>
      </c>
      <c r="AL6" s="56" t="str">
        <f t="shared" si="18"/>
        <v>D</v>
      </c>
      <c r="AM6" s="75">
        <v>19.0</v>
      </c>
      <c r="AN6" s="68">
        <v>45.0</v>
      </c>
      <c r="AO6" s="59">
        <f t="shared" si="19"/>
        <v>64</v>
      </c>
      <c r="AP6" s="56" t="str">
        <f t="shared" si="20"/>
        <v>C</v>
      </c>
      <c r="AQ6" s="59"/>
      <c r="AR6" s="57">
        <f t="shared" si="21"/>
        <v>51.68</v>
      </c>
      <c r="AS6" s="72">
        <f t="shared" si="22"/>
        <v>25</v>
      </c>
      <c r="AT6" s="73" t="s">
        <v>87</v>
      </c>
      <c r="AU6" s="73" t="s">
        <v>85</v>
      </c>
      <c r="AV6" s="73" t="s">
        <v>85</v>
      </c>
      <c r="AW6" s="73" t="s">
        <v>85</v>
      </c>
      <c r="AX6" s="73" t="s">
        <v>87</v>
      </c>
      <c r="AY6" s="121" t="s">
        <v>158</v>
      </c>
    </row>
    <row r="7" ht="15.75" customHeight="1">
      <c r="A7" s="42">
        <v>3.0</v>
      </c>
      <c r="B7" s="94" t="s">
        <v>159</v>
      </c>
      <c r="C7" s="75">
        <v>24.0</v>
      </c>
      <c r="D7" s="66">
        <v>39.0</v>
      </c>
      <c r="E7" s="56">
        <f t="shared" si="1"/>
        <v>63</v>
      </c>
      <c r="F7" s="56" t="str">
        <f t="shared" si="2"/>
        <v>C</v>
      </c>
      <c r="G7" s="75">
        <v>14.0</v>
      </c>
      <c r="H7" s="76">
        <v>20.0</v>
      </c>
      <c r="I7" s="56">
        <f t="shared" si="3"/>
        <v>34</v>
      </c>
      <c r="J7" s="56" t="str">
        <f t="shared" si="4"/>
        <v>F</v>
      </c>
      <c r="K7" s="120">
        <v>20.2</v>
      </c>
      <c r="L7" s="120">
        <v>28.8</v>
      </c>
      <c r="M7" s="57">
        <f t="shared" si="5"/>
        <v>49</v>
      </c>
      <c r="N7" s="56" t="str">
        <f t="shared" si="6"/>
        <v>E</v>
      </c>
      <c r="O7" s="66">
        <v>29.0</v>
      </c>
      <c r="P7" s="66">
        <v>33.0</v>
      </c>
      <c r="Q7" s="56">
        <f t="shared" si="7"/>
        <v>62</v>
      </c>
      <c r="R7" s="56" t="str">
        <f t="shared" si="8"/>
        <v>C</v>
      </c>
      <c r="S7" s="66">
        <v>25.0</v>
      </c>
      <c r="T7" s="66">
        <v>47.0</v>
      </c>
      <c r="U7" s="56">
        <f t="shared" si="9"/>
        <v>72</v>
      </c>
      <c r="V7" s="56" t="str">
        <f t="shared" si="10"/>
        <v>B</v>
      </c>
      <c r="W7" s="75">
        <v>39.0</v>
      </c>
      <c r="X7" s="66">
        <v>54.0</v>
      </c>
      <c r="Y7" s="56">
        <f t="shared" si="11"/>
        <v>93</v>
      </c>
      <c r="Z7" s="56" t="str">
        <f t="shared" si="12"/>
        <v>A*</v>
      </c>
      <c r="AA7" s="67">
        <v>28.0</v>
      </c>
      <c r="AB7" s="68">
        <v>36.0</v>
      </c>
      <c r="AC7" s="59">
        <f t="shared" si="13"/>
        <v>64</v>
      </c>
      <c r="AD7" s="56" t="str">
        <f t="shared" si="14"/>
        <v>C</v>
      </c>
      <c r="AE7" s="75">
        <v>28.0</v>
      </c>
      <c r="AF7" s="76">
        <v>50.0</v>
      </c>
      <c r="AG7" s="59">
        <f t="shared" si="15"/>
        <v>78</v>
      </c>
      <c r="AH7" s="56" t="str">
        <f t="shared" si="16"/>
        <v>B</v>
      </c>
      <c r="AI7" s="67">
        <v>43.0</v>
      </c>
      <c r="AJ7" s="68">
        <v>29.0</v>
      </c>
      <c r="AK7" s="59">
        <f t="shared" si="17"/>
        <v>72</v>
      </c>
      <c r="AL7" s="56" t="str">
        <f t="shared" si="18"/>
        <v>B</v>
      </c>
      <c r="AM7" s="75">
        <v>20.0</v>
      </c>
      <c r="AN7" s="68">
        <v>45.0</v>
      </c>
      <c r="AO7" s="59">
        <f t="shared" si="19"/>
        <v>65</v>
      </c>
      <c r="AP7" s="56" t="str">
        <f t="shared" si="20"/>
        <v>C</v>
      </c>
      <c r="AQ7" s="59"/>
      <c r="AR7" s="57">
        <f t="shared" si="21"/>
        <v>65.2</v>
      </c>
      <c r="AS7" s="72">
        <f t="shared" si="22"/>
        <v>16</v>
      </c>
      <c r="AT7" s="73" t="s">
        <v>85</v>
      </c>
      <c r="AU7" s="73" t="s">
        <v>87</v>
      </c>
      <c r="AV7" s="73" t="s">
        <v>87</v>
      </c>
      <c r="AW7" s="73" t="s">
        <v>86</v>
      </c>
      <c r="AX7" s="73" t="s">
        <v>87</v>
      </c>
      <c r="AY7" s="121" t="s">
        <v>160</v>
      </c>
    </row>
    <row r="8" ht="15.75" customHeight="1">
      <c r="A8" s="42">
        <v>4.0</v>
      </c>
      <c r="B8" s="94" t="s">
        <v>161</v>
      </c>
      <c r="C8" s="75">
        <v>32.0</v>
      </c>
      <c r="D8" s="66">
        <v>40.0</v>
      </c>
      <c r="E8" s="56">
        <f t="shared" si="1"/>
        <v>72</v>
      </c>
      <c r="F8" s="56" t="str">
        <f t="shared" si="2"/>
        <v>B</v>
      </c>
      <c r="G8" s="75">
        <v>14.0</v>
      </c>
      <c r="H8" s="76">
        <v>32.0</v>
      </c>
      <c r="I8" s="56">
        <f t="shared" si="3"/>
        <v>46</v>
      </c>
      <c r="J8" s="56" t="str">
        <f t="shared" si="4"/>
        <v>E</v>
      </c>
      <c r="K8" s="120">
        <v>25.0</v>
      </c>
      <c r="L8" s="120">
        <v>30.0</v>
      </c>
      <c r="M8" s="57">
        <f t="shared" si="5"/>
        <v>55</v>
      </c>
      <c r="N8" s="56" t="str">
        <f t="shared" si="6"/>
        <v>D</v>
      </c>
      <c r="O8" s="66">
        <v>28.0</v>
      </c>
      <c r="P8" s="66">
        <v>47.0</v>
      </c>
      <c r="Q8" s="56">
        <f t="shared" si="7"/>
        <v>75</v>
      </c>
      <c r="R8" s="56" t="str">
        <f t="shared" si="8"/>
        <v>B</v>
      </c>
      <c r="S8" s="66">
        <v>37.0</v>
      </c>
      <c r="T8" s="66">
        <v>50.0</v>
      </c>
      <c r="U8" s="56">
        <f t="shared" si="9"/>
        <v>87</v>
      </c>
      <c r="V8" s="56" t="str">
        <f t="shared" si="10"/>
        <v>A</v>
      </c>
      <c r="W8" s="75">
        <v>26.0</v>
      </c>
      <c r="X8" s="66">
        <v>45.0</v>
      </c>
      <c r="Y8" s="56">
        <f t="shared" si="11"/>
        <v>71</v>
      </c>
      <c r="Z8" s="56" t="str">
        <f t="shared" si="12"/>
        <v>B</v>
      </c>
      <c r="AA8" s="67">
        <v>29.0</v>
      </c>
      <c r="AB8" s="68">
        <v>43.0</v>
      </c>
      <c r="AC8" s="59">
        <f t="shared" si="13"/>
        <v>72</v>
      </c>
      <c r="AD8" s="56" t="str">
        <f t="shared" si="14"/>
        <v>B</v>
      </c>
      <c r="AE8" s="75">
        <v>32.0</v>
      </c>
      <c r="AF8" s="76">
        <v>45.0</v>
      </c>
      <c r="AG8" s="59">
        <f t="shared" si="15"/>
        <v>77</v>
      </c>
      <c r="AH8" s="56" t="str">
        <f t="shared" si="16"/>
        <v>B</v>
      </c>
      <c r="AI8" s="67">
        <v>27.0</v>
      </c>
      <c r="AJ8" s="68">
        <v>47.0</v>
      </c>
      <c r="AK8" s="59">
        <f t="shared" si="17"/>
        <v>74</v>
      </c>
      <c r="AL8" s="56" t="str">
        <f t="shared" si="18"/>
        <v>B</v>
      </c>
      <c r="AM8" s="75">
        <v>15.0</v>
      </c>
      <c r="AN8" s="68">
        <v>46.0</v>
      </c>
      <c r="AO8" s="59">
        <f t="shared" si="19"/>
        <v>61</v>
      </c>
      <c r="AP8" s="56" t="str">
        <f t="shared" si="20"/>
        <v>C</v>
      </c>
      <c r="AQ8" s="59"/>
      <c r="AR8" s="57">
        <f t="shared" si="21"/>
        <v>69</v>
      </c>
      <c r="AS8" s="72">
        <f t="shared" si="22"/>
        <v>11</v>
      </c>
      <c r="AT8" s="73" t="s">
        <v>85</v>
      </c>
      <c r="AU8" s="73" t="s">
        <v>86</v>
      </c>
      <c r="AV8" s="73" t="s">
        <v>85</v>
      </c>
      <c r="AW8" s="73" t="s">
        <v>86</v>
      </c>
      <c r="AX8" s="73" t="s">
        <v>86</v>
      </c>
      <c r="AY8" s="122" t="s">
        <v>162</v>
      </c>
    </row>
    <row r="9" ht="15.75" customHeight="1">
      <c r="A9" s="42">
        <v>5.0</v>
      </c>
      <c r="B9" s="94" t="s">
        <v>163</v>
      </c>
      <c r="C9" s="75">
        <v>29.0</v>
      </c>
      <c r="D9" s="66">
        <v>42.0</v>
      </c>
      <c r="E9" s="56">
        <f t="shared" si="1"/>
        <v>71</v>
      </c>
      <c r="F9" s="56" t="str">
        <f t="shared" si="2"/>
        <v>B</v>
      </c>
      <c r="G9" s="75">
        <v>21.0</v>
      </c>
      <c r="H9" s="76">
        <v>38.0</v>
      </c>
      <c r="I9" s="56">
        <f t="shared" si="3"/>
        <v>59</v>
      </c>
      <c r="J9" s="56" t="str">
        <f t="shared" si="4"/>
        <v>D</v>
      </c>
      <c r="K9" s="120">
        <v>25.0</v>
      </c>
      <c r="L9" s="120">
        <v>30.6</v>
      </c>
      <c r="M9" s="57">
        <f t="shared" si="5"/>
        <v>55.6</v>
      </c>
      <c r="N9" s="56" t="str">
        <f t="shared" si="6"/>
        <v>D</v>
      </c>
      <c r="O9" s="66">
        <v>24.0</v>
      </c>
      <c r="P9" s="66">
        <v>38.0</v>
      </c>
      <c r="Q9" s="56">
        <f t="shared" si="7"/>
        <v>62</v>
      </c>
      <c r="R9" s="56" t="str">
        <f t="shared" si="8"/>
        <v>C</v>
      </c>
      <c r="S9" s="66">
        <v>31.0</v>
      </c>
      <c r="T9" s="66">
        <v>44.0</v>
      </c>
      <c r="U9" s="56">
        <f t="shared" si="9"/>
        <v>75</v>
      </c>
      <c r="V9" s="56" t="str">
        <f t="shared" si="10"/>
        <v>B</v>
      </c>
      <c r="W9" s="75">
        <v>32.0</v>
      </c>
      <c r="X9" s="66">
        <v>43.0</v>
      </c>
      <c r="Y9" s="56">
        <f t="shared" si="11"/>
        <v>75</v>
      </c>
      <c r="Z9" s="56" t="str">
        <f t="shared" si="12"/>
        <v>B</v>
      </c>
      <c r="AA9" s="67">
        <v>27.0</v>
      </c>
      <c r="AB9" s="68">
        <v>50.0</v>
      </c>
      <c r="AC9" s="59">
        <f t="shared" si="13"/>
        <v>77</v>
      </c>
      <c r="AD9" s="56" t="str">
        <f t="shared" si="14"/>
        <v>B</v>
      </c>
      <c r="AE9" s="75">
        <v>35.0</v>
      </c>
      <c r="AF9" s="76">
        <v>39.0</v>
      </c>
      <c r="AG9" s="59">
        <f t="shared" si="15"/>
        <v>74</v>
      </c>
      <c r="AH9" s="56" t="str">
        <f t="shared" si="16"/>
        <v>B</v>
      </c>
      <c r="AI9" s="67">
        <v>28.0</v>
      </c>
      <c r="AJ9" s="68">
        <v>34.0</v>
      </c>
      <c r="AK9" s="59">
        <f t="shared" si="17"/>
        <v>62</v>
      </c>
      <c r="AL9" s="56" t="str">
        <f t="shared" si="18"/>
        <v>C</v>
      </c>
      <c r="AM9" s="75">
        <v>17.6</v>
      </c>
      <c r="AN9" s="68">
        <v>38.0</v>
      </c>
      <c r="AO9" s="59">
        <f t="shared" si="19"/>
        <v>55.6</v>
      </c>
      <c r="AP9" s="56" t="str">
        <f t="shared" si="20"/>
        <v>D</v>
      </c>
      <c r="AQ9" s="59"/>
      <c r="AR9" s="57">
        <f t="shared" si="21"/>
        <v>66.62</v>
      </c>
      <c r="AS9" s="72">
        <f t="shared" si="22"/>
        <v>14</v>
      </c>
      <c r="AT9" s="73" t="s">
        <v>86</v>
      </c>
      <c r="AU9" s="73" t="s">
        <v>85</v>
      </c>
      <c r="AV9" s="73" t="s">
        <v>85</v>
      </c>
      <c r="AW9" s="73" t="s">
        <v>86</v>
      </c>
      <c r="AX9" s="73" t="s">
        <v>85</v>
      </c>
      <c r="AY9" s="122" t="s">
        <v>164</v>
      </c>
    </row>
    <row r="10" ht="15.75" customHeight="1">
      <c r="A10" s="42">
        <v>6.0</v>
      </c>
      <c r="B10" s="94" t="s">
        <v>165</v>
      </c>
      <c r="C10" s="75">
        <v>25.0</v>
      </c>
      <c r="D10" s="66">
        <v>39.0</v>
      </c>
      <c r="E10" s="56">
        <f t="shared" si="1"/>
        <v>64</v>
      </c>
      <c r="F10" s="56" t="str">
        <f t="shared" si="2"/>
        <v>C</v>
      </c>
      <c r="G10" s="75">
        <v>27.0</v>
      </c>
      <c r="H10" s="76">
        <v>45.0</v>
      </c>
      <c r="I10" s="56">
        <f t="shared" si="3"/>
        <v>72</v>
      </c>
      <c r="J10" s="56" t="str">
        <f t="shared" si="4"/>
        <v>B</v>
      </c>
      <c r="K10" s="120">
        <v>32.2</v>
      </c>
      <c r="L10" s="120">
        <v>39.6</v>
      </c>
      <c r="M10" s="57">
        <f t="shared" si="5"/>
        <v>71.8</v>
      </c>
      <c r="N10" s="56" t="str">
        <f t="shared" si="6"/>
        <v>B</v>
      </c>
      <c r="O10" s="66">
        <v>26.0</v>
      </c>
      <c r="P10" s="66">
        <v>38.0</v>
      </c>
      <c r="Q10" s="56">
        <f t="shared" si="7"/>
        <v>64</v>
      </c>
      <c r="R10" s="56" t="str">
        <f t="shared" si="8"/>
        <v>C</v>
      </c>
      <c r="S10" s="66">
        <v>33.0</v>
      </c>
      <c r="T10" s="66">
        <v>48.0</v>
      </c>
      <c r="U10" s="56">
        <f t="shared" si="9"/>
        <v>81</v>
      </c>
      <c r="V10" s="56" t="str">
        <f t="shared" si="10"/>
        <v>A</v>
      </c>
      <c r="W10" s="75">
        <v>27.0</v>
      </c>
      <c r="X10" s="66">
        <v>41.0</v>
      </c>
      <c r="Y10" s="56">
        <f t="shared" si="11"/>
        <v>68</v>
      </c>
      <c r="Z10" s="56" t="str">
        <f t="shared" si="12"/>
        <v>C</v>
      </c>
      <c r="AA10" s="67">
        <v>24.0</v>
      </c>
      <c r="AB10" s="68">
        <v>54.0</v>
      </c>
      <c r="AC10" s="59">
        <f t="shared" si="13"/>
        <v>78</v>
      </c>
      <c r="AD10" s="56" t="str">
        <f t="shared" si="14"/>
        <v>B</v>
      </c>
      <c r="AE10" s="75">
        <v>28.0</v>
      </c>
      <c r="AF10" s="76">
        <v>50.0</v>
      </c>
      <c r="AG10" s="59">
        <f t="shared" si="15"/>
        <v>78</v>
      </c>
      <c r="AH10" s="56" t="str">
        <f t="shared" si="16"/>
        <v>B</v>
      </c>
      <c r="AI10" s="67">
        <v>25.0</v>
      </c>
      <c r="AJ10" s="68">
        <v>48.0</v>
      </c>
      <c r="AK10" s="59">
        <f t="shared" si="17"/>
        <v>73</v>
      </c>
      <c r="AL10" s="56" t="str">
        <f t="shared" si="18"/>
        <v>B</v>
      </c>
      <c r="AM10" s="75">
        <v>18.8</v>
      </c>
      <c r="AN10" s="68">
        <v>44.0</v>
      </c>
      <c r="AO10" s="59">
        <f t="shared" si="19"/>
        <v>62.8</v>
      </c>
      <c r="AP10" s="56" t="str">
        <f t="shared" si="20"/>
        <v>C</v>
      </c>
      <c r="AQ10" s="59"/>
      <c r="AR10" s="57">
        <f t="shared" si="21"/>
        <v>71.26</v>
      </c>
      <c r="AS10" s="72">
        <f t="shared" si="22"/>
        <v>6</v>
      </c>
      <c r="AT10" s="73" t="s">
        <v>86</v>
      </c>
      <c r="AU10" s="73" t="s">
        <v>86</v>
      </c>
      <c r="AV10" s="73" t="s">
        <v>85</v>
      </c>
      <c r="AW10" s="73" t="s">
        <v>85</v>
      </c>
      <c r="AX10" s="73" t="s">
        <v>86</v>
      </c>
      <c r="AY10" s="121" t="s">
        <v>166</v>
      </c>
    </row>
    <row r="11" ht="15.75" customHeight="1">
      <c r="A11" s="42">
        <v>7.0</v>
      </c>
      <c r="B11" s="94" t="s">
        <v>167</v>
      </c>
      <c r="C11" s="75">
        <v>32.0</v>
      </c>
      <c r="D11" s="66">
        <v>41.0</v>
      </c>
      <c r="E11" s="56">
        <f t="shared" si="1"/>
        <v>73</v>
      </c>
      <c r="F11" s="56" t="str">
        <f t="shared" si="2"/>
        <v>B</v>
      </c>
      <c r="G11" s="75">
        <v>34.0</v>
      </c>
      <c r="H11" s="76">
        <v>52.0</v>
      </c>
      <c r="I11" s="56">
        <f t="shared" si="3"/>
        <v>86</v>
      </c>
      <c r="J11" s="56" t="str">
        <f t="shared" si="4"/>
        <v>A</v>
      </c>
      <c r="K11" s="120">
        <v>37.6</v>
      </c>
      <c r="L11" s="120">
        <v>54.6</v>
      </c>
      <c r="M11" s="57">
        <f t="shared" si="5"/>
        <v>92.2</v>
      </c>
      <c r="N11" s="56" t="str">
        <f t="shared" si="6"/>
        <v>A*</v>
      </c>
      <c r="O11" s="66">
        <v>31.0</v>
      </c>
      <c r="P11" s="66">
        <v>50.0</v>
      </c>
      <c r="Q11" s="56">
        <f t="shared" si="7"/>
        <v>81</v>
      </c>
      <c r="R11" s="56" t="str">
        <f t="shared" si="8"/>
        <v>A</v>
      </c>
      <c r="S11" s="66">
        <v>38.0</v>
      </c>
      <c r="T11" s="66">
        <v>51.0</v>
      </c>
      <c r="U11" s="56">
        <f t="shared" si="9"/>
        <v>89</v>
      </c>
      <c r="V11" s="56" t="str">
        <f t="shared" si="10"/>
        <v>A</v>
      </c>
      <c r="W11" s="75">
        <v>35.0</v>
      </c>
      <c r="X11" s="66">
        <v>55.0</v>
      </c>
      <c r="Y11" s="56">
        <f t="shared" si="11"/>
        <v>90</v>
      </c>
      <c r="Z11" s="56" t="str">
        <f t="shared" si="12"/>
        <v>A*</v>
      </c>
      <c r="AA11" s="67">
        <v>33.0</v>
      </c>
      <c r="AB11" s="68">
        <v>56.0</v>
      </c>
      <c r="AC11" s="59">
        <f t="shared" si="13"/>
        <v>89</v>
      </c>
      <c r="AD11" s="56" t="str">
        <f t="shared" si="14"/>
        <v>A</v>
      </c>
      <c r="AE11" s="75">
        <v>29.0</v>
      </c>
      <c r="AF11" s="76">
        <v>53.0</v>
      </c>
      <c r="AG11" s="59">
        <f t="shared" si="15"/>
        <v>82</v>
      </c>
      <c r="AH11" s="56" t="str">
        <f t="shared" si="16"/>
        <v>A</v>
      </c>
      <c r="AI11" s="67">
        <v>27.0</v>
      </c>
      <c r="AJ11" s="68">
        <v>53.0</v>
      </c>
      <c r="AK11" s="59">
        <f t="shared" si="17"/>
        <v>80</v>
      </c>
      <c r="AL11" s="56" t="str">
        <f t="shared" si="18"/>
        <v>A</v>
      </c>
      <c r="AM11" s="75">
        <v>24.0</v>
      </c>
      <c r="AN11" s="68">
        <v>38.0</v>
      </c>
      <c r="AO11" s="59">
        <f t="shared" si="19"/>
        <v>62</v>
      </c>
      <c r="AP11" s="56" t="str">
        <f t="shared" si="20"/>
        <v>C</v>
      </c>
      <c r="AQ11" s="59"/>
      <c r="AR11" s="57">
        <f t="shared" si="21"/>
        <v>82.42</v>
      </c>
      <c r="AS11" s="72">
        <f t="shared" si="22"/>
        <v>2</v>
      </c>
      <c r="AT11" s="73" t="s">
        <v>85</v>
      </c>
      <c r="AU11" s="73" t="s">
        <v>87</v>
      </c>
      <c r="AV11" s="73" t="s">
        <v>85</v>
      </c>
      <c r="AW11" s="73" t="s">
        <v>87</v>
      </c>
      <c r="AX11" s="73" t="s">
        <v>87</v>
      </c>
      <c r="AY11" s="121" t="s">
        <v>168</v>
      </c>
    </row>
    <row r="12" ht="15.75" customHeight="1">
      <c r="A12" s="42">
        <v>8.0</v>
      </c>
      <c r="B12" s="94" t="s">
        <v>169</v>
      </c>
      <c r="C12" s="75">
        <v>34.0</v>
      </c>
      <c r="D12" s="66">
        <v>44.0</v>
      </c>
      <c r="E12" s="56">
        <f t="shared" si="1"/>
        <v>78</v>
      </c>
      <c r="F12" s="56" t="str">
        <f t="shared" si="2"/>
        <v>B</v>
      </c>
      <c r="G12" s="75">
        <v>32.0</v>
      </c>
      <c r="H12" s="76">
        <v>51.0</v>
      </c>
      <c r="I12" s="56">
        <f t="shared" si="3"/>
        <v>83</v>
      </c>
      <c r="J12" s="56" t="str">
        <f t="shared" si="4"/>
        <v>A</v>
      </c>
      <c r="K12" s="120">
        <v>34.2</v>
      </c>
      <c r="L12" s="120">
        <v>54.0</v>
      </c>
      <c r="M12" s="57">
        <f t="shared" si="5"/>
        <v>88.2</v>
      </c>
      <c r="N12" s="56" t="str">
        <f t="shared" si="6"/>
        <v>A</v>
      </c>
      <c r="O12" s="66">
        <v>34.0</v>
      </c>
      <c r="P12" s="66">
        <v>40.0</v>
      </c>
      <c r="Q12" s="56">
        <f t="shared" si="7"/>
        <v>74</v>
      </c>
      <c r="R12" s="56" t="str">
        <f t="shared" si="8"/>
        <v>B</v>
      </c>
      <c r="S12" s="66">
        <v>39.0</v>
      </c>
      <c r="T12" s="66">
        <v>55.0</v>
      </c>
      <c r="U12" s="56">
        <f t="shared" si="9"/>
        <v>94</v>
      </c>
      <c r="V12" s="56" t="str">
        <f t="shared" si="10"/>
        <v>A*</v>
      </c>
      <c r="W12" s="75">
        <v>32.0</v>
      </c>
      <c r="X12" s="66">
        <v>55.0</v>
      </c>
      <c r="Y12" s="56">
        <f t="shared" si="11"/>
        <v>87</v>
      </c>
      <c r="Z12" s="56" t="str">
        <f t="shared" si="12"/>
        <v>A</v>
      </c>
      <c r="AA12" s="67">
        <v>36.0</v>
      </c>
      <c r="AB12" s="68">
        <v>58.0</v>
      </c>
      <c r="AC12" s="59">
        <f t="shared" si="13"/>
        <v>94</v>
      </c>
      <c r="AD12" s="56" t="str">
        <f t="shared" si="14"/>
        <v>A*</v>
      </c>
      <c r="AE12" s="75">
        <v>33.0</v>
      </c>
      <c r="AF12" s="76">
        <v>57.0</v>
      </c>
      <c r="AG12" s="59">
        <f t="shared" si="15"/>
        <v>90</v>
      </c>
      <c r="AH12" s="56" t="str">
        <f t="shared" si="16"/>
        <v>A*</v>
      </c>
      <c r="AI12" s="67">
        <v>31.0</v>
      </c>
      <c r="AJ12" s="68">
        <v>51.0</v>
      </c>
      <c r="AK12" s="59">
        <f t="shared" si="17"/>
        <v>82</v>
      </c>
      <c r="AL12" s="56" t="str">
        <f t="shared" si="18"/>
        <v>A</v>
      </c>
      <c r="AM12" s="64">
        <v>20.0</v>
      </c>
      <c r="AN12" s="123">
        <v>36.0</v>
      </c>
      <c r="AO12" s="59">
        <f t="shared" si="19"/>
        <v>56</v>
      </c>
      <c r="AP12" s="56" t="str">
        <f t="shared" si="20"/>
        <v>D</v>
      </c>
      <c r="AQ12" s="59"/>
      <c r="AR12" s="57">
        <f t="shared" si="21"/>
        <v>82.62</v>
      </c>
      <c r="AS12" s="72">
        <f t="shared" si="22"/>
        <v>1</v>
      </c>
      <c r="AT12" s="73" t="s">
        <v>86</v>
      </c>
      <c r="AU12" s="73" t="s">
        <v>86</v>
      </c>
      <c r="AV12" s="73" t="s">
        <v>86</v>
      </c>
      <c r="AW12" s="73" t="s">
        <v>86</v>
      </c>
      <c r="AX12" s="73" t="s">
        <v>86</v>
      </c>
      <c r="AY12" s="121" t="s">
        <v>170</v>
      </c>
    </row>
    <row r="13" ht="15.75" customHeight="1">
      <c r="A13" s="42">
        <v>9.0</v>
      </c>
      <c r="B13" s="94" t="s">
        <v>171</v>
      </c>
      <c r="C13" s="75">
        <v>22.0</v>
      </c>
      <c r="D13" s="66">
        <v>40.0</v>
      </c>
      <c r="E13" s="56">
        <f t="shared" si="1"/>
        <v>62</v>
      </c>
      <c r="F13" s="56" t="str">
        <f t="shared" si="2"/>
        <v>C</v>
      </c>
      <c r="G13" s="75">
        <v>26.0</v>
      </c>
      <c r="H13" s="76">
        <v>36.0</v>
      </c>
      <c r="I13" s="56">
        <f t="shared" si="3"/>
        <v>62</v>
      </c>
      <c r="J13" s="56" t="str">
        <f t="shared" si="4"/>
        <v>C</v>
      </c>
      <c r="K13" s="120">
        <v>22.6</v>
      </c>
      <c r="L13" s="120">
        <v>39.6</v>
      </c>
      <c r="M13" s="57">
        <f t="shared" si="5"/>
        <v>62.2</v>
      </c>
      <c r="N13" s="56" t="str">
        <f t="shared" si="6"/>
        <v>C</v>
      </c>
      <c r="O13" s="66">
        <v>28.0</v>
      </c>
      <c r="P13" s="66">
        <v>30.0</v>
      </c>
      <c r="Q13" s="56">
        <f t="shared" si="7"/>
        <v>58</v>
      </c>
      <c r="R13" s="56" t="str">
        <f t="shared" si="8"/>
        <v>D</v>
      </c>
      <c r="S13" s="66">
        <v>24.0</v>
      </c>
      <c r="T13" s="66">
        <v>39.0</v>
      </c>
      <c r="U13" s="56">
        <f t="shared" si="9"/>
        <v>63</v>
      </c>
      <c r="V13" s="56" t="str">
        <f t="shared" si="10"/>
        <v>C</v>
      </c>
      <c r="W13" s="75">
        <v>25.0</v>
      </c>
      <c r="X13" s="66">
        <v>41.0</v>
      </c>
      <c r="Y13" s="56">
        <f t="shared" si="11"/>
        <v>66</v>
      </c>
      <c r="Z13" s="56" t="str">
        <f t="shared" si="12"/>
        <v>C</v>
      </c>
      <c r="AA13" s="67">
        <v>16.0</v>
      </c>
      <c r="AB13" s="68">
        <v>54.0</v>
      </c>
      <c r="AC13" s="59">
        <f t="shared" si="13"/>
        <v>70</v>
      </c>
      <c r="AD13" s="56" t="str">
        <f t="shared" si="14"/>
        <v>B</v>
      </c>
      <c r="AE13" s="75">
        <v>32.0</v>
      </c>
      <c r="AF13" s="76">
        <v>50.0</v>
      </c>
      <c r="AG13" s="59">
        <f t="shared" si="15"/>
        <v>82</v>
      </c>
      <c r="AH13" s="56" t="str">
        <f t="shared" si="16"/>
        <v>A</v>
      </c>
      <c r="AI13" s="67">
        <v>27.0</v>
      </c>
      <c r="AJ13" s="68">
        <v>52.0</v>
      </c>
      <c r="AK13" s="59">
        <f t="shared" si="17"/>
        <v>79</v>
      </c>
      <c r="AL13" s="56" t="str">
        <f t="shared" si="18"/>
        <v>B</v>
      </c>
      <c r="AM13" s="64">
        <v>20.0</v>
      </c>
      <c r="AN13" s="123">
        <v>35.0</v>
      </c>
      <c r="AO13" s="59">
        <f t="shared" si="19"/>
        <v>55</v>
      </c>
      <c r="AP13" s="56" t="str">
        <f t="shared" si="20"/>
        <v>D</v>
      </c>
      <c r="AQ13" s="59"/>
      <c r="AR13" s="57">
        <f t="shared" si="21"/>
        <v>65.92</v>
      </c>
      <c r="AS13" s="72">
        <f t="shared" si="22"/>
        <v>15</v>
      </c>
      <c r="AT13" s="73" t="s">
        <v>85</v>
      </c>
      <c r="AU13" s="73" t="s">
        <v>86</v>
      </c>
      <c r="AV13" s="73" t="s">
        <v>85</v>
      </c>
      <c r="AW13" s="73" t="s">
        <v>86</v>
      </c>
      <c r="AX13" s="73" t="s">
        <v>86</v>
      </c>
      <c r="AY13" s="121" t="s">
        <v>172</v>
      </c>
    </row>
    <row r="14" ht="15.75" customHeight="1">
      <c r="A14" s="42">
        <v>10.0</v>
      </c>
      <c r="B14" s="94" t="s">
        <v>173</v>
      </c>
      <c r="C14" s="75">
        <v>24.0</v>
      </c>
      <c r="D14" s="66">
        <v>30.0</v>
      </c>
      <c r="E14" s="56">
        <f t="shared" si="1"/>
        <v>54</v>
      </c>
      <c r="F14" s="56" t="str">
        <f t="shared" si="2"/>
        <v>D</v>
      </c>
      <c r="G14" s="75">
        <v>21.0</v>
      </c>
      <c r="H14" s="76">
        <v>35.0</v>
      </c>
      <c r="I14" s="56">
        <f t="shared" si="3"/>
        <v>56</v>
      </c>
      <c r="J14" s="56" t="str">
        <f t="shared" si="4"/>
        <v>D</v>
      </c>
      <c r="K14" s="120">
        <v>17.0</v>
      </c>
      <c r="L14" s="120">
        <v>36.0</v>
      </c>
      <c r="M14" s="57">
        <f t="shared" si="5"/>
        <v>53</v>
      </c>
      <c r="N14" s="56" t="str">
        <f t="shared" si="6"/>
        <v>D</v>
      </c>
      <c r="O14" s="66">
        <v>30.0</v>
      </c>
      <c r="P14" s="66">
        <v>43.0</v>
      </c>
      <c r="Q14" s="56">
        <f t="shared" si="7"/>
        <v>73</v>
      </c>
      <c r="R14" s="56" t="str">
        <f t="shared" si="8"/>
        <v>B</v>
      </c>
      <c r="S14" s="66">
        <v>25.0</v>
      </c>
      <c r="T14" s="66">
        <v>41.0</v>
      </c>
      <c r="U14" s="56">
        <f t="shared" si="9"/>
        <v>66</v>
      </c>
      <c r="V14" s="56" t="str">
        <f t="shared" si="10"/>
        <v>C</v>
      </c>
      <c r="W14" s="75">
        <v>27.0</v>
      </c>
      <c r="X14" s="66">
        <v>53.0</v>
      </c>
      <c r="Y14" s="56">
        <f t="shared" si="11"/>
        <v>80</v>
      </c>
      <c r="Z14" s="56" t="str">
        <f t="shared" si="12"/>
        <v>A</v>
      </c>
      <c r="AA14" s="67">
        <v>16.0</v>
      </c>
      <c r="AB14" s="68">
        <v>31.0</v>
      </c>
      <c r="AC14" s="59">
        <f t="shared" si="13"/>
        <v>47</v>
      </c>
      <c r="AD14" s="56" t="str">
        <f t="shared" si="14"/>
        <v>E</v>
      </c>
      <c r="AE14" s="75">
        <v>29.0</v>
      </c>
      <c r="AF14" s="76">
        <v>51.0</v>
      </c>
      <c r="AG14" s="59">
        <f t="shared" si="15"/>
        <v>80</v>
      </c>
      <c r="AH14" s="56" t="str">
        <f t="shared" si="16"/>
        <v>A</v>
      </c>
      <c r="AI14" s="67">
        <v>26.0</v>
      </c>
      <c r="AJ14" s="68">
        <v>50.0</v>
      </c>
      <c r="AK14" s="59">
        <f t="shared" si="17"/>
        <v>76</v>
      </c>
      <c r="AL14" s="56" t="str">
        <f t="shared" si="18"/>
        <v>B</v>
      </c>
      <c r="AM14" s="83">
        <v>21.0</v>
      </c>
      <c r="AN14" s="123">
        <v>37.0</v>
      </c>
      <c r="AO14" s="59">
        <f t="shared" si="19"/>
        <v>58</v>
      </c>
      <c r="AP14" s="56" t="str">
        <f t="shared" si="20"/>
        <v>D</v>
      </c>
      <c r="AQ14" s="59"/>
      <c r="AR14" s="57">
        <f t="shared" si="21"/>
        <v>64.3</v>
      </c>
      <c r="AS14" s="72">
        <f t="shared" si="22"/>
        <v>17</v>
      </c>
      <c r="AT14" s="73" t="s">
        <v>87</v>
      </c>
      <c r="AU14" s="73" t="s">
        <v>85</v>
      </c>
      <c r="AV14" s="73" t="s">
        <v>85</v>
      </c>
      <c r="AW14" s="73" t="s">
        <v>86</v>
      </c>
      <c r="AX14" s="73" t="s">
        <v>87</v>
      </c>
      <c r="AY14" s="121" t="s">
        <v>174</v>
      </c>
    </row>
    <row r="15" ht="15.75" customHeight="1">
      <c r="A15" s="42">
        <v>11.0</v>
      </c>
      <c r="B15" s="94" t="s">
        <v>175</v>
      </c>
      <c r="C15" s="75">
        <v>31.0</v>
      </c>
      <c r="D15" s="66">
        <v>40.0</v>
      </c>
      <c r="E15" s="56">
        <f t="shared" si="1"/>
        <v>71</v>
      </c>
      <c r="F15" s="56" t="str">
        <f t="shared" si="2"/>
        <v>B</v>
      </c>
      <c r="G15" s="86">
        <v>18.0</v>
      </c>
      <c r="H15" s="85">
        <v>43.0</v>
      </c>
      <c r="I15" s="56">
        <f t="shared" si="3"/>
        <v>61</v>
      </c>
      <c r="J15" s="56" t="str">
        <f t="shared" si="4"/>
        <v>C</v>
      </c>
      <c r="K15" s="120">
        <v>33.2</v>
      </c>
      <c r="L15" s="120">
        <v>54.0</v>
      </c>
      <c r="M15" s="57">
        <f t="shared" si="5"/>
        <v>87.2</v>
      </c>
      <c r="N15" s="56" t="str">
        <f t="shared" si="6"/>
        <v>A</v>
      </c>
      <c r="O15" s="66">
        <v>29.0</v>
      </c>
      <c r="P15" s="66">
        <v>31.0</v>
      </c>
      <c r="Q15" s="56">
        <f t="shared" si="7"/>
        <v>60</v>
      </c>
      <c r="R15" s="56" t="str">
        <f t="shared" si="8"/>
        <v>C</v>
      </c>
      <c r="S15" s="66">
        <v>32.0</v>
      </c>
      <c r="T15" s="66">
        <v>44.0</v>
      </c>
      <c r="U15" s="56">
        <f t="shared" si="9"/>
        <v>76</v>
      </c>
      <c r="V15" s="56" t="str">
        <f t="shared" si="10"/>
        <v>B</v>
      </c>
      <c r="W15" s="75">
        <v>26.0</v>
      </c>
      <c r="X15" s="66">
        <v>46.0</v>
      </c>
      <c r="Y15" s="56">
        <f t="shared" si="11"/>
        <v>72</v>
      </c>
      <c r="Z15" s="56" t="str">
        <f t="shared" si="12"/>
        <v>B</v>
      </c>
      <c r="AA15" s="67">
        <v>39.0</v>
      </c>
      <c r="AB15" s="68">
        <v>53.0</v>
      </c>
      <c r="AC15" s="59">
        <f t="shared" si="13"/>
        <v>92</v>
      </c>
      <c r="AD15" s="56" t="str">
        <f t="shared" si="14"/>
        <v>A*</v>
      </c>
      <c r="AE15" s="75">
        <v>28.0</v>
      </c>
      <c r="AF15" s="76">
        <v>50.0</v>
      </c>
      <c r="AG15" s="59">
        <f t="shared" si="15"/>
        <v>78</v>
      </c>
      <c r="AH15" s="56" t="str">
        <f t="shared" si="16"/>
        <v>B</v>
      </c>
      <c r="AI15" s="67">
        <v>30.0</v>
      </c>
      <c r="AJ15" s="68">
        <v>53.0</v>
      </c>
      <c r="AK15" s="59">
        <f t="shared" si="17"/>
        <v>83</v>
      </c>
      <c r="AL15" s="56" t="str">
        <f t="shared" si="18"/>
        <v>A</v>
      </c>
      <c r="AM15" s="64">
        <v>20.0</v>
      </c>
      <c r="AN15" s="123">
        <v>49.0</v>
      </c>
      <c r="AO15" s="59">
        <f t="shared" si="19"/>
        <v>69</v>
      </c>
      <c r="AP15" s="56" t="str">
        <f t="shared" si="20"/>
        <v>C</v>
      </c>
      <c r="AQ15" s="59"/>
      <c r="AR15" s="57">
        <f t="shared" si="21"/>
        <v>74.92</v>
      </c>
      <c r="AS15" s="72">
        <f t="shared" si="22"/>
        <v>4</v>
      </c>
      <c r="AT15" s="73" t="s">
        <v>87</v>
      </c>
      <c r="AU15" s="73" t="s">
        <v>85</v>
      </c>
      <c r="AV15" s="73" t="s">
        <v>85</v>
      </c>
      <c r="AW15" s="73" t="s">
        <v>85</v>
      </c>
      <c r="AX15" s="73" t="s">
        <v>90</v>
      </c>
      <c r="AY15" s="122" t="s">
        <v>176</v>
      </c>
    </row>
    <row r="16" ht="15.75" customHeight="1">
      <c r="A16" s="42">
        <v>12.0</v>
      </c>
      <c r="B16" s="94" t="s">
        <v>177</v>
      </c>
      <c r="C16" s="75">
        <v>33.0</v>
      </c>
      <c r="D16" s="66">
        <v>36.0</v>
      </c>
      <c r="E16" s="56">
        <f t="shared" si="1"/>
        <v>69</v>
      </c>
      <c r="F16" s="56" t="str">
        <f t="shared" si="2"/>
        <v>C</v>
      </c>
      <c r="G16" s="75">
        <v>18.0</v>
      </c>
      <c r="H16" s="76">
        <v>20.0</v>
      </c>
      <c r="I16" s="56">
        <f t="shared" si="3"/>
        <v>38</v>
      </c>
      <c r="J16" s="56" t="str">
        <f t="shared" si="4"/>
        <v>F</v>
      </c>
      <c r="K16" s="120">
        <v>10.8</v>
      </c>
      <c r="L16" s="120">
        <v>30.6</v>
      </c>
      <c r="M16" s="57">
        <f t="shared" si="5"/>
        <v>41.4</v>
      </c>
      <c r="N16" s="56" t="str">
        <f t="shared" si="6"/>
        <v>E</v>
      </c>
      <c r="O16" s="66">
        <v>24.0</v>
      </c>
      <c r="P16" s="66">
        <v>37.0</v>
      </c>
      <c r="Q16" s="56">
        <f t="shared" si="7"/>
        <v>61</v>
      </c>
      <c r="R16" s="56" t="str">
        <f t="shared" si="8"/>
        <v>C</v>
      </c>
      <c r="S16" s="66">
        <v>22.0</v>
      </c>
      <c r="T16" s="66">
        <v>43.0</v>
      </c>
      <c r="U16" s="56">
        <f t="shared" si="9"/>
        <v>65</v>
      </c>
      <c r="V16" s="56" t="str">
        <f t="shared" si="10"/>
        <v>C</v>
      </c>
      <c r="W16" s="75">
        <v>24.0</v>
      </c>
      <c r="X16" s="66">
        <v>36.0</v>
      </c>
      <c r="Y16" s="56">
        <f t="shared" si="11"/>
        <v>60</v>
      </c>
      <c r="Z16" s="56" t="str">
        <f t="shared" si="12"/>
        <v>C</v>
      </c>
      <c r="AA16" s="67">
        <v>37.0</v>
      </c>
      <c r="AB16" s="68">
        <v>44.0</v>
      </c>
      <c r="AC16" s="59">
        <f t="shared" si="13"/>
        <v>81</v>
      </c>
      <c r="AD16" s="56" t="str">
        <f t="shared" si="14"/>
        <v>A</v>
      </c>
      <c r="AE16" s="75">
        <v>24.0</v>
      </c>
      <c r="AF16" s="76">
        <v>40.0</v>
      </c>
      <c r="AG16" s="59">
        <f t="shared" si="15"/>
        <v>64</v>
      </c>
      <c r="AH16" s="56" t="str">
        <f t="shared" si="16"/>
        <v>C</v>
      </c>
      <c r="AI16" s="67">
        <v>31.0</v>
      </c>
      <c r="AJ16" s="68">
        <v>30.0</v>
      </c>
      <c r="AK16" s="59">
        <f t="shared" si="17"/>
        <v>61</v>
      </c>
      <c r="AL16" s="56" t="str">
        <f t="shared" si="18"/>
        <v>C</v>
      </c>
      <c r="AM16" s="64">
        <v>25.0</v>
      </c>
      <c r="AN16" s="123">
        <v>56.0</v>
      </c>
      <c r="AO16" s="59">
        <f t="shared" si="19"/>
        <v>81</v>
      </c>
      <c r="AP16" s="56" t="str">
        <f t="shared" si="20"/>
        <v>A</v>
      </c>
      <c r="AQ16" s="59"/>
      <c r="AR16" s="57">
        <f t="shared" si="21"/>
        <v>62.14</v>
      </c>
      <c r="AS16" s="72">
        <f t="shared" si="22"/>
        <v>20</v>
      </c>
      <c r="AT16" s="73" t="s">
        <v>87</v>
      </c>
      <c r="AU16" s="73" t="s">
        <v>85</v>
      </c>
      <c r="AV16" s="73" t="s">
        <v>87</v>
      </c>
      <c r="AW16" s="73" t="s">
        <v>86</v>
      </c>
      <c r="AX16" s="73" t="s">
        <v>87</v>
      </c>
      <c r="AY16" s="121" t="s">
        <v>178</v>
      </c>
    </row>
    <row r="17" ht="15.75" customHeight="1">
      <c r="A17" s="42">
        <v>13.0</v>
      </c>
      <c r="B17" s="94" t="s">
        <v>179</v>
      </c>
      <c r="C17" s="75">
        <v>32.0</v>
      </c>
      <c r="D17" s="66">
        <v>44.0</v>
      </c>
      <c r="E17" s="56">
        <f t="shared" si="1"/>
        <v>76</v>
      </c>
      <c r="F17" s="56" t="str">
        <f t="shared" si="2"/>
        <v>B</v>
      </c>
      <c r="G17" s="75">
        <v>20.0</v>
      </c>
      <c r="H17" s="76">
        <v>39.0</v>
      </c>
      <c r="I17" s="56">
        <f t="shared" si="3"/>
        <v>59</v>
      </c>
      <c r="J17" s="56" t="str">
        <f t="shared" si="4"/>
        <v>D</v>
      </c>
      <c r="K17" s="120">
        <v>25.4</v>
      </c>
      <c r="L17" s="120">
        <v>48.0</v>
      </c>
      <c r="M17" s="57">
        <f t="shared" si="5"/>
        <v>73.4</v>
      </c>
      <c r="N17" s="56" t="str">
        <f t="shared" si="6"/>
        <v>B</v>
      </c>
      <c r="O17" s="66">
        <v>16.0</v>
      </c>
      <c r="P17" s="66">
        <v>34.0</v>
      </c>
      <c r="Q17" s="56">
        <f t="shared" si="7"/>
        <v>50</v>
      </c>
      <c r="R17" s="56" t="str">
        <f t="shared" si="8"/>
        <v>D</v>
      </c>
      <c r="S17" s="66">
        <v>25.0</v>
      </c>
      <c r="T17" s="66">
        <v>32.0</v>
      </c>
      <c r="U17" s="56">
        <f t="shared" si="9"/>
        <v>57</v>
      </c>
      <c r="V17" s="56" t="str">
        <f t="shared" si="10"/>
        <v>D</v>
      </c>
      <c r="W17" s="64">
        <v>33.0</v>
      </c>
      <c r="X17" s="66">
        <v>55.0</v>
      </c>
      <c r="Y17" s="56">
        <f t="shared" si="11"/>
        <v>88</v>
      </c>
      <c r="Z17" s="56" t="str">
        <f t="shared" si="12"/>
        <v>A</v>
      </c>
      <c r="AA17" s="67">
        <v>26.0</v>
      </c>
      <c r="AB17" s="68">
        <v>52.0</v>
      </c>
      <c r="AC17" s="59">
        <f t="shared" si="13"/>
        <v>78</v>
      </c>
      <c r="AD17" s="56" t="str">
        <f t="shared" si="14"/>
        <v>B</v>
      </c>
      <c r="AE17" s="75">
        <v>31.0</v>
      </c>
      <c r="AF17" s="76">
        <v>46.0</v>
      </c>
      <c r="AG17" s="59">
        <f t="shared" si="15"/>
        <v>77</v>
      </c>
      <c r="AH17" s="56" t="str">
        <f t="shared" si="16"/>
        <v>B</v>
      </c>
      <c r="AI17" s="67">
        <v>23.0</v>
      </c>
      <c r="AJ17" s="68">
        <v>47.0</v>
      </c>
      <c r="AK17" s="59">
        <f t="shared" si="17"/>
        <v>70</v>
      </c>
      <c r="AL17" s="56" t="str">
        <f t="shared" si="18"/>
        <v>B</v>
      </c>
      <c r="AM17" s="75">
        <v>21.0</v>
      </c>
      <c r="AN17" s="68">
        <v>45.0</v>
      </c>
      <c r="AO17" s="59">
        <f t="shared" si="19"/>
        <v>66</v>
      </c>
      <c r="AP17" s="56" t="str">
        <f t="shared" si="20"/>
        <v>C</v>
      </c>
      <c r="AQ17" s="59"/>
      <c r="AR17" s="57">
        <f t="shared" si="21"/>
        <v>69.44</v>
      </c>
      <c r="AS17" s="72">
        <f t="shared" si="22"/>
        <v>10</v>
      </c>
      <c r="AT17" s="73" t="s">
        <v>85</v>
      </c>
      <c r="AU17" s="73" t="s">
        <v>86</v>
      </c>
      <c r="AV17" s="73" t="s">
        <v>86</v>
      </c>
      <c r="AW17" s="73" t="s">
        <v>85</v>
      </c>
      <c r="AX17" s="73" t="s">
        <v>86</v>
      </c>
      <c r="AY17" s="122" t="s">
        <v>180</v>
      </c>
    </row>
    <row r="18" ht="15.75" customHeight="1">
      <c r="A18" s="42">
        <v>14.0</v>
      </c>
      <c r="B18" s="94" t="s">
        <v>181</v>
      </c>
      <c r="C18" s="75">
        <v>25.0</v>
      </c>
      <c r="D18" s="66">
        <v>29.0</v>
      </c>
      <c r="E18" s="56">
        <f t="shared" si="1"/>
        <v>54</v>
      </c>
      <c r="F18" s="56" t="str">
        <f t="shared" si="2"/>
        <v>D</v>
      </c>
      <c r="G18" s="86">
        <v>12.0</v>
      </c>
      <c r="H18" s="85">
        <v>11.0</v>
      </c>
      <c r="I18" s="56">
        <f t="shared" si="3"/>
        <v>23</v>
      </c>
      <c r="J18" s="56" t="str">
        <f t="shared" si="4"/>
        <v>G</v>
      </c>
      <c r="K18" s="120">
        <v>7.2</v>
      </c>
      <c r="L18" s="120">
        <v>21.0</v>
      </c>
      <c r="M18" s="57">
        <f t="shared" si="5"/>
        <v>28.2</v>
      </c>
      <c r="N18" s="56" t="str">
        <f t="shared" si="6"/>
        <v>G</v>
      </c>
      <c r="O18" s="66">
        <v>14.0</v>
      </c>
      <c r="P18" s="66">
        <v>33.0</v>
      </c>
      <c r="Q18" s="56">
        <f t="shared" si="7"/>
        <v>47</v>
      </c>
      <c r="R18" s="56" t="str">
        <f t="shared" si="8"/>
        <v>E</v>
      </c>
      <c r="S18" s="66">
        <v>28.0</v>
      </c>
      <c r="T18" s="66">
        <v>23.0</v>
      </c>
      <c r="U18" s="56">
        <f t="shared" si="9"/>
        <v>51</v>
      </c>
      <c r="V18" s="56" t="str">
        <f t="shared" si="10"/>
        <v>D</v>
      </c>
      <c r="W18" s="64">
        <v>14.0</v>
      </c>
      <c r="X18" s="66">
        <v>26.0</v>
      </c>
      <c r="Y18" s="56">
        <f t="shared" si="11"/>
        <v>40</v>
      </c>
      <c r="Z18" s="56" t="str">
        <f t="shared" si="12"/>
        <v>E</v>
      </c>
      <c r="AA18" s="67">
        <v>25.0</v>
      </c>
      <c r="AB18" s="68">
        <v>23.0</v>
      </c>
      <c r="AC18" s="59">
        <f t="shared" si="13"/>
        <v>48</v>
      </c>
      <c r="AD18" s="56" t="str">
        <f t="shared" si="14"/>
        <v>E</v>
      </c>
      <c r="AE18" s="64">
        <v>32.0</v>
      </c>
      <c r="AF18" s="64">
        <v>46.0</v>
      </c>
      <c r="AG18" s="59">
        <f t="shared" si="15"/>
        <v>78</v>
      </c>
      <c r="AH18" s="56" t="str">
        <f t="shared" si="16"/>
        <v>B</v>
      </c>
      <c r="AI18" s="67">
        <v>19.0</v>
      </c>
      <c r="AJ18" s="68">
        <v>29.0</v>
      </c>
      <c r="AK18" s="59">
        <f t="shared" si="17"/>
        <v>48</v>
      </c>
      <c r="AL18" s="56" t="str">
        <f t="shared" si="18"/>
        <v>E</v>
      </c>
      <c r="AM18" s="75">
        <v>24.0</v>
      </c>
      <c r="AN18" s="68">
        <v>46.0</v>
      </c>
      <c r="AO18" s="59">
        <f t="shared" si="19"/>
        <v>70</v>
      </c>
      <c r="AP18" s="56" t="str">
        <f t="shared" si="20"/>
        <v>B</v>
      </c>
      <c r="AQ18" s="59"/>
      <c r="AR18" s="57">
        <f t="shared" si="21"/>
        <v>48.72</v>
      </c>
      <c r="AS18" s="72">
        <f t="shared" si="22"/>
        <v>26</v>
      </c>
      <c r="AT18" s="73" t="s">
        <v>85</v>
      </c>
      <c r="AU18" s="73" t="s">
        <v>85</v>
      </c>
      <c r="AV18" s="73" t="s">
        <v>85</v>
      </c>
      <c r="AW18" s="73" t="s">
        <v>85</v>
      </c>
      <c r="AX18" s="73" t="s">
        <v>86</v>
      </c>
      <c r="AY18" s="124" t="s">
        <v>182</v>
      </c>
    </row>
    <row r="19" ht="15.75" customHeight="1">
      <c r="A19" s="42">
        <v>15.0</v>
      </c>
      <c r="B19" s="94" t="s">
        <v>183</v>
      </c>
      <c r="C19" s="86">
        <v>37.0</v>
      </c>
      <c r="D19" s="66">
        <v>46.0</v>
      </c>
      <c r="E19" s="56">
        <f t="shared" si="1"/>
        <v>83</v>
      </c>
      <c r="F19" s="56" t="str">
        <f t="shared" si="2"/>
        <v>A</v>
      </c>
      <c r="G19" s="125">
        <v>26.0</v>
      </c>
      <c r="H19" s="126">
        <v>52.0</v>
      </c>
      <c r="I19" s="56">
        <f t="shared" si="3"/>
        <v>78</v>
      </c>
      <c r="J19" s="56" t="str">
        <f t="shared" si="4"/>
        <v>B</v>
      </c>
      <c r="K19" s="120">
        <v>30.6</v>
      </c>
      <c r="L19" s="120">
        <v>47.4</v>
      </c>
      <c r="M19" s="57">
        <f t="shared" si="5"/>
        <v>78</v>
      </c>
      <c r="N19" s="56" t="str">
        <f t="shared" si="6"/>
        <v>B</v>
      </c>
      <c r="O19" s="66">
        <v>35.0</v>
      </c>
      <c r="P19" s="66">
        <v>47.0</v>
      </c>
      <c r="Q19" s="56">
        <f t="shared" si="7"/>
        <v>82</v>
      </c>
      <c r="R19" s="56" t="str">
        <f t="shared" si="8"/>
        <v>A</v>
      </c>
      <c r="S19" s="66">
        <v>39.0</v>
      </c>
      <c r="T19" s="66">
        <v>56.0</v>
      </c>
      <c r="U19" s="56">
        <f t="shared" si="9"/>
        <v>95</v>
      </c>
      <c r="V19" s="56" t="str">
        <f t="shared" si="10"/>
        <v>A*</v>
      </c>
      <c r="W19" s="83">
        <v>31.0</v>
      </c>
      <c r="X19" s="66">
        <v>54.0</v>
      </c>
      <c r="Y19" s="56">
        <f t="shared" si="11"/>
        <v>85</v>
      </c>
      <c r="Z19" s="56" t="str">
        <f t="shared" si="12"/>
        <v>A</v>
      </c>
      <c r="AA19" s="67">
        <v>34.0</v>
      </c>
      <c r="AB19" s="68">
        <v>50.0</v>
      </c>
      <c r="AC19" s="59">
        <f t="shared" si="13"/>
        <v>84</v>
      </c>
      <c r="AD19" s="56" t="str">
        <f t="shared" si="14"/>
        <v>A</v>
      </c>
      <c r="AE19" s="83">
        <v>28.0</v>
      </c>
      <c r="AF19" s="83">
        <v>43.0</v>
      </c>
      <c r="AG19" s="59">
        <f t="shared" si="15"/>
        <v>71</v>
      </c>
      <c r="AH19" s="56" t="str">
        <f t="shared" si="16"/>
        <v>B</v>
      </c>
      <c r="AI19" s="67">
        <v>34.0</v>
      </c>
      <c r="AJ19" s="68">
        <v>56.0</v>
      </c>
      <c r="AK19" s="59">
        <f t="shared" si="17"/>
        <v>90</v>
      </c>
      <c r="AL19" s="56" t="str">
        <f t="shared" si="18"/>
        <v>A*</v>
      </c>
      <c r="AM19" s="75">
        <v>22.0</v>
      </c>
      <c r="AN19" s="68">
        <v>51.0</v>
      </c>
      <c r="AO19" s="59">
        <f t="shared" si="19"/>
        <v>73</v>
      </c>
      <c r="AP19" s="56" t="str">
        <f t="shared" si="20"/>
        <v>B</v>
      </c>
      <c r="AQ19" s="59"/>
      <c r="AR19" s="57">
        <f t="shared" si="21"/>
        <v>81.9</v>
      </c>
      <c r="AS19" s="72">
        <f t="shared" si="22"/>
        <v>3</v>
      </c>
      <c r="AT19" s="73" t="s">
        <v>86</v>
      </c>
      <c r="AU19" s="73" t="s">
        <v>85</v>
      </c>
      <c r="AV19" s="73" t="s">
        <v>85</v>
      </c>
      <c r="AW19" s="73" t="s">
        <v>86</v>
      </c>
      <c r="AX19" s="73" t="s">
        <v>86</v>
      </c>
      <c r="AY19" s="124" t="s">
        <v>184</v>
      </c>
    </row>
    <row r="20" ht="15.75" customHeight="1">
      <c r="A20" s="42">
        <v>16.0</v>
      </c>
      <c r="B20" s="94" t="s">
        <v>185</v>
      </c>
      <c r="C20" s="75">
        <v>25.0</v>
      </c>
      <c r="D20" s="66">
        <v>34.0</v>
      </c>
      <c r="E20" s="56">
        <f t="shared" si="1"/>
        <v>59</v>
      </c>
      <c r="F20" s="56" t="str">
        <f t="shared" si="2"/>
        <v>D</v>
      </c>
      <c r="G20" s="75">
        <v>12.0</v>
      </c>
      <c r="H20" s="76">
        <v>28.0</v>
      </c>
      <c r="I20" s="56">
        <f t="shared" si="3"/>
        <v>40</v>
      </c>
      <c r="J20" s="56" t="str">
        <f t="shared" si="4"/>
        <v>E</v>
      </c>
      <c r="K20" s="120">
        <v>19.8</v>
      </c>
      <c r="L20" s="120">
        <v>42.0</v>
      </c>
      <c r="M20" s="57">
        <f t="shared" si="5"/>
        <v>61.8</v>
      </c>
      <c r="N20" s="56" t="str">
        <f t="shared" si="6"/>
        <v>C</v>
      </c>
      <c r="O20" s="66">
        <v>22.0</v>
      </c>
      <c r="P20" s="66">
        <v>21.0</v>
      </c>
      <c r="Q20" s="56">
        <f t="shared" si="7"/>
        <v>43</v>
      </c>
      <c r="R20" s="56" t="str">
        <f t="shared" si="8"/>
        <v>E</v>
      </c>
      <c r="S20" s="66">
        <v>21.0</v>
      </c>
      <c r="T20" s="66">
        <v>45.0</v>
      </c>
      <c r="U20" s="56">
        <f t="shared" si="9"/>
        <v>66</v>
      </c>
      <c r="V20" s="56" t="str">
        <f t="shared" si="10"/>
        <v>C</v>
      </c>
      <c r="W20" s="64">
        <v>22.0</v>
      </c>
      <c r="X20" s="66">
        <v>45.0</v>
      </c>
      <c r="Y20" s="56">
        <f t="shared" si="11"/>
        <v>67</v>
      </c>
      <c r="Z20" s="56" t="str">
        <f t="shared" si="12"/>
        <v>C</v>
      </c>
      <c r="AA20" s="67">
        <v>20.0</v>
      </c>
      <c r="AB20" s="68">
        <v>20.0</v>
      </c>
      <c r="AC20" s="59">
        <f t="shared" si="13"/>
        <v>40</v>
      </c>
      <c r="AD20" s="56" t="str">
        <f t="shared" si="14"/>
        <v>E</v>
      </c>
      <c r="AE20" s="64">
        <v>23.0</v>
      </c>
      <c r="AF20" s="64">
        <v>50.0</v>
      </c>
      <c r="AG20" s="59">
        <f t="shared" si="15"/>
        <v>73</v>
      </c>
      <c r="AH20" s="56" t="str">
        <f t="shared" si="16"/>
        <v>B</v>
      </c>
      <c r="AI20" s="67">
        <v>27.0</v>
      </c>
      <c r="AJ20" s="68">
        <v>46.0</v>
      </c>
      <c r="AK20" s="59">
        <f t="shared" si="17"/>
        <v>73</v>
      </c>
      <c r="AL20" s="56" t="str">
        <f t="shared" si="18"/>
        <v>B</v>
      </c>
      <c r="AM20" s="75">
        <v>25.0</v>
      </c>
      <c r="AN20" s="68">
        <v>48.0</v>
      </c>
      <c r="AO20" s="59">
        <f t="shared" si="19"/>
        <v>73</v>
      </c>
      <c r="AP20" s="56" t="str">
        <f t="shared" si="20"/>
        <v>B</v>
      </c>
      <c r="AQ20" s="59"/>
      <c r="AR20" s="57">
        <f t="shared" si="21"/>
        <v>59.58</v>
      </c>
      <c r="AS20" s="72">
        <f t="shared" si="22"/>
        <v>23</v>
      </c>
      <c r="AT20" s="73" t="s">
        <v>85</v>
      </c>
      <c r="AU20" s="73" t="s">
        <v>85</v>
      </c>
      <c r="AV20" s="73" t="s">
        <v>87</v>
      </c>
      <c r="AW20" s="73" t="s">
        <v>85</v>
      </c>
      <c r="AX20" s="73" t="s">
        <v>85</v>
      </c>
      <c r="AY20" s="121" t="s">
        <v>186</v>
      </c>
    </row>
    <row r="21" ht="15.75" customHeight="1">
      <c r="A21" s="42">
        <v>17.0</v>
      </c>
      <c r="B21" s="94" t="s">
        <v>187</v>
      </c>
      <c r="C21" s="75">
        <v>33.0</v>
      </c>
      <c r="D21" s="66">
        <v>39.0</v>
      </c>
      <c r="E21" s="56">
        <f t="shared" si="1"/>
        <v>72</v>
      </c>
      <c r="F21" s="56" t="str">
        <f t="shared" si="2"/>
        <v>B</v>
      </c>
      <c r="G21" s="75">
        <v>19.0</v>
      </c>
      <c r="H21" s="76">
        <v>43.0</v>
      </c>
      <c r="I21" s="56">
        <f t="shared" si="3"/>
        <v>62</v>
      </c>
      <c r="J21" s="56" t="str">
        <f t="shared" si="4"/>
        <v>C</v>
      </c>
      <c r="K21" s="120">
        <v>13.2</v>
      </c>
      <c r="L21" s="120">
        <v>38.4</v>
      </c>
      <c r="M21" s="57">
        <f t="shared" si="5"/>
        <v>51.6</v>
      </c>
      <c r="N21" s="56" t="str">
        <f t="shared" si="6"/>
        <v>D</v>
      </c>
      <c r="O21" s="66">
        <v>32.0</v>
      </c>
      <c r="P21" s="66">
        <v>45.0</v>
      </c>
      <c r="Q21" s="56">
        <f t="shared" si="7"/>
        <v>77</v>
      </c>
      <c r="R21" s="56" t="str">
        <f t="shared" si="8"/>
        <v>B</v>
      </c>
      <c r="S21" s="66">
        <v>25.0</v>
      </c>
      <c r="T21" s="66">
        <v>39.0</v>
      </c>
      <c r="U21" s="56">
        <f t="shared" si="9"/>
        <v>64</v>
      </c>
      <c r="V21" s="56" t="str">
        <f t="shared" si="10"/>
        <v>C</v>
      </c>
      <c r="W21" s="64">
        <v>29.0</v>
      </c>
      <c r="X21" s="66">
        <v>39.0</v>
      </c>
      <c r="Y21" s="56">
        <f t="shared" si="11"/>
        <v>68</v>
      </c>
      <c r="Z21" s="56" t="str">
        <f t="shared" si="12"/>
        <v>C</v>
      </c>
      <c r="AA21" s="67">
        <v>28.0</v>
      </c>
      <c r="AB21" s="68">
        <v>43.0</v>
      </c>
      <c r="AC21" s="59">
        <f t="shared" si="13"/>
        <v>71</v>
      </c>
      <c r="AD21" s="56" t="str">
        <f t="shared" si="14"/>
        <v>B</v>
      </c>
      <c r="AE21" s="75">
        <v>28.0</v>
      </c>
      <c r="AF21" s="76">
        <v>47.0</v>
      </c>
      <c r="AG21" s="59">
        <f t="shared" si="15"/>
        <v>75</v>
      </c>
      <c r="AH21" s="56" t="str">
        <f t="shared" si="16"/>
        <v>B</v>
      </c>
      <c r="AI21" s="67">
        <v>29.0</v>
      </c>
      <c r="AJ21" s="68">
        <v>45.0</v>
      </c>
      <c r="AK21" s="59">
        <f t="shared" si="17"/>
        <v>74</v>
      </c>
      <c r="AL21" s="56" t="str">
        <f t="shared" si="18"/>
        <v>B</v>
      </c>
      <c r="AM21" s="75">
        <v>26.7</v>
      </c>
      <c r="AN21" s="68">
        <v>54.0</v>
      </c>
      <c r="AO21" s="59">
        <f t="shared" si="19"/>
        <v>80.7</v>
      </c>
      <c r="AP21" s="56" t="str">
        <f t="shared" si="20"/>
        <v>A</v>
      </c>
      <c r="AQ21" s="59"/>
      <c r="AR21" s="57">
        <f t="shared" si="21"/>
        <v>69.53</v>
      </c>
      <c r="AS21" s="72">
        <f t="shared" si="22"/>
        <v>9</v>
      </c>
      <c r="AT21" s="73" t="s">
        <v>85</v>
      </c>
      <c r="AU21" s="73" t="s">
        <v>85</v>
      </c>
      <c r="AV21" s="73" t="s">
        <v>85</v>
      </c>
      <c r="AW21" s="73" t="s">
        <v>85</v>
      </c>
      <c r="AX21" s="73" t="s">
        <v>86</v>
      </c>
      <c r="AY21" s="121" t="s">
        <v>188</v>
      </c>
    </row>
    <row r="22" ht="15.75" customHeight="1">
      <c r="A22" s="42">
        <v>18.0</v>
      </c>
      <c r="B22" s="94" t="s">
        <v>189</v>
      </c>
      <c r="C22" s="75">
        <v>25.0</v>
      </c>
      <c r="D22" s="66">
        <v>30.0</v>
      </c>
      <c r="E22" s="56">
        <f t="shared" si="1"/>
        <v>55</v>
      </c>
      <c r="F22" s="56" t="str">
        <f t="shared" si="2"/>
        <v>D</v>
      </c>
      <c r="G22" s="75">
        <v>17.0</v>
      </c>
      <c r="H22" s="76">
        <v>39.0</v>
      </c>
      <c r="I22" s="56">
        <f t="shared" si="3"/>
        <v>56</v>
      </c>
      <c r="J22" s="56" t="str">
        <f t="shared" si="4"/>
        <v>D</v>
      </c>
      <c r="K22" s="120">
        <v>23.8</v>
      </c>
      <c r="L22" s="120">
        <v>39.6</v>
      </c>
      <c r="M22" s="57">
        <f t="shared" si="5"/>
        <v>63.4</v>
      </c>
      <c r="N22" s="56" t="str">
        <f t="shared" si="6"/>
        <v>C</v>
      </c>
      <c r="O22" s="66">
        <v>22.0</v>
      </c>
      <c r="P22" s="66">
        <v>40.0</v>
      </c>
      <c r="Q22" s="56">
        <f t="shared" si="7"/>
        <v>62</v>
      </c>
      <c r="R22" s="56" t="str">
        <f t="shared" si="8"/>
        <v>C</v>
      </c>
      <c r="S22" s="66">
        <v>29.0</v>
      </c>
      <c r="T22" s="66">
        <v>52.0</v>
      </c>
      <c r="U22" s="56">
        <f t="shared" si="9"/>
        <v>81</v>
      </c>
      <c r="V22" s="56" t="str">
        <f t="shared" si="10"/>
        <v>A</v>
      </c>
      <c r="W22" s="64">
        <v>21.0</v>
      </c>
      <c r="X22" s="66">
        <v>46.0</v>
      </c>
      <c r="Y22" s="56">
        <f t="shared" si="11"/>
        <v>67</v>
      </c>
      <c r="Z22" s="56" t="str">
        <f t="shared" si="12"/>
        <v>C</v>
      </c>
      <c r="AA22" s="67">
        <v>29.0</v>
      </c>
      <c r="AB22" s="68">
        <v>42.0</v>
      </c>
      <c r="AC22" s="59">
        <f t="shared" si="13"/>
        <v>71</v>
      </c>
      <c r="AD22" s="56" t="str">
        <f t="shared" si="14"/>
        <v>B</v>
      </c>
      <c r="AE22" s="75">
        <v>29.0</v>
      </c>
      <c r="AF22" s="76">
        <v>53.0</v>
      </c>
      <c r="AG22" s="59">
        <f t="shared" si="15"/>
        <v>82</v>
      </c>
      <c r="AH22" s="56" t="str">
        <f t="shared" si="16"/>
        <v>A</v>
      </c>
      <c r="AI22" s="67">
        <v>32.0</v>
      </c>
      <c r="AJ22" s="68">
        <v>40.0</v>
      </c>
      <c r="AK22" s="59">
        <f t="shared" si="17"/>
        <v>72</v>
      </c>
      <c r="AL22" s="56" t="str">
        <f t="shared" si="18"/>
        <v>B</v>
      </c>
      <c r="AM22" s="75">
        <v>16.0</v>
      </c>
      <c r="AN22" s="68">
        <v>45.0</v>
      </c>
      <c r="AO22" s="59">
        <f t="shared" si="19"/>
        <v>61</v>
      </c>
      <c r="AP22" s="56" t="str">
        <f t="shared" si="20"/>
        <v>C</v>
      </c>
      <c r="AQ22" s="59"/>
      <c r="AR22" s="57">
        <f t="shared" si="21"/>
        <v>67.04</v>
      </c>
      <c r="AS22" s="72">
        <f t="shared" si="22"/>
        <v>13</v>
      </c>
      <c r="AT22" s="73" t="s">
        <v>85</v>
      </c>
      <c r="AU22" s="73" t="s">
        <v>86</v>
      </c>
      <c r="AV22" s="73" t="s">
        <v>85</v>
      </c>
      <c r="AW22" s="73" t="s">
        <v>86</v>
      </c>
      <c r="AX22" s="73" t="s">
        <v>86</v>
      </c>
      <c r="AY22" s="121" t="s">
        <v>190</v>
      </c>
    </row>
    <row r="23" ht="15.75" customHeight="1">
      <c r="A23" s="42">
        <v>19.0</v>
      </c>
      <c r="B23" s="94" t="s">
        <v>191</v>
      </c>
      <c r="C23" s="75">
        <v>28.0</v>
      </c>
      <c r="D23" s="66">
        <v>48.0</v>
      </c>
      <c r="E23" s="56">
        <f t="shared" si="1"/>
        <v>76</v>
      </c>
      <c r="F23" s="56" t="str">
        <f t="shared" si="2"/>
        <v>B</v>
      </c>
      <c r="G23" s="75">
        <v>24.0</v>
      </c>
      <c r="H23" s="76">
        <v>46.0</v>
      </c>
      <c r="I23" s="56">
        <f t="shared" si="3"/>
        <v>70</v>
      </c>
      <c r="J23" s="56" t="str">
        <f t="shared" si="4"/>
        <v>B</v>
      </c>
      <c r="K23" s="120">
        <v>35.4</v>
      </c>
      <c r="L23" s="120">
        <v>52.0</v>
      </c>
      <c r="M23" s="57">
        <f t="shared" si="5"/>
        <v>87.4</v>
      </c>
      <c r="N23" s="56" t="str">
        <f t="shared" si="6"/>
        <v>A</v>
      </c>
      <c r="O23" s="66">
        <v>32.0</v>
      </c>
      <c r="P23" s="66">
        <v>44.0</v>
      </c>
      <c r="Q23" s="56">
        <f t="shared" si="7"/>
        <v>76</v>
      </c>
      <c r="R23" s="56" t="str">
        <f t="shared" si="8"/>
        <v>B</v>
      </c>
      <c r="S23" s="66">
        <v>33.0</v>
      </c>
      <c r="T23" s="66">
        <v>42.0</v>
      </c>
      <c r="U23" s="56">
        <f t="shared" si="9"/>
        <v>75</v>
      </c>
      <c r="V23" s="56" t="str">
        <f t="shared" si="10"/>
        <v>B</v>
      </c>
      <c r="W23" s="64">
        <v>32.0</v>
      </c>
      <c r="X23" s="66">
        <v>53.0</v>
      </c>
      <c r="Y23" s="56">
        <f t="shared" si="11"/>
        <v>85</v>
      </c>
      <c r="Z23" s="56" t="str">
        <f t="shared" si="12"/>
        <v>A</v>
      </c>
      <c r="AA23" s="67">
        <v>28.0</v>
      </c>
      <c r="AB23" s="68">
        <v>46.0</v>
      </c>
      <c r="AC23" s="59">
        <f t="shared" si="13"/>
        <v>74</v>
      </c>
      <c r="AD23" s="56" t="str">
        <f t="shared" si="14"/>
        <v>B</v>
      </c>
      <c r="AE23" s="75">
        <v>28.0</v>
      </c>
      <c r="AF23" s="76">
        <v>43.0</v>
      </c>
      <c r="AG23" s="59">
        <f t="shared" si="15"/>
        <v>71</v>
      </c>
      <c r="AH23" s="56" t="str">
        <f t="shared" si="16"/>
        <v>B</v>
      </c>
      <c r="AI23" s="67">
        <v>26.0</v>
      </c>
      <c r="AJ23" s="68">
        <v>40.0</v>
      </c>
      <c r="AK23" s="59">
        <f t="shared" si="17"/>
        <v>66</v>
      </c>
      <c r="AL23" s="56" t="str">
        <f t="shared" si="18"/>
        <v>C</v>
      </c>
      <c r="AM23" s="75">
        <v>21.0</v>
      </c>
      <c r="AN23" s="68">
        <v>35.0</v>
      </c>
      <c r="AO23" s="68">
        <v>56.0</v>
      </c>
      <c r="AP23" s="56" t="str">
        <f t="shared" si="20"/>
        <v>D</v>
      </c>
      <c r="AQ23" s="59"/>
      <c r="AR23" s="57">
        <f t="shared" si="21"/>
        <v>73.64</v>
      </c>
      <c r="AS23" s="72">
        <f t="shared" si="22"/>
        <v>5</v>
      </c>
      <c r="AT23" s="73" t="s">
        <v>85</v>
      </c>
      <c r="AU23" s="73" t="s">
        <v>85</v>
      </c>
      <c r="AV23" s="73" t="s">
        <v>85</v>
      </c>
      <c r="AW23" s="73" t="s">
        <v>85</v>
      </c>
      <c r="AX23" s="73" t="s">
        <v>85</v>
      </c>
      <c r="AY23" s="121" t="s">
        <v>192</v>
      </c>
    </row>
    <row r="24" ht="15.75" customHeight="1">
      <c r="A24" s="42">
        <v>20.0</v>
      </c>
      <c r="B24" s="94" t="s">
        <v>193</v>
      </c>
      <c r="C24" s="75">
        <v>28.0</v>
      </c>
      <c r="D24" s="66">
        <v>38.0</v>
      </c>
      <c r="E24" s="56">
        <f t="shared" si="1"/>
        <v>66</v>
      </c>
      <c r="F24" s="56" t="str">
        <f t="shared" si="2"/>
        <v>C</v>
      </c>
      <c r="G24" s="75">
        <v>19.0</v>
      </c>
      <c r="H24" s="76">
        <v>39.0</v>
      </c>
      <c r="I24" s="56">
        <f t="shared" si="3"/>
        <v>58</v>
      </c>
      <c r="J24" s="56" t="str">
        <f t="shared" si="4"/>
        <v>D</v>
      </c>
      <c r="K24" s="120">
        <v>20.8</v>
      </c>
      <c r="L24" s="120">
        <v>47.4</v>
      </c>
      <c r="M24" s="57">
        <f t="shared" si="5"/>
        <v>68.2</v>
      </c>
      <c r="N24" s="56" t="str">
        <f t="shared" si="6"/>
        <v>C</v>
      </c>
      <c r="O24" s="66">
        <v>16.0</v>
      </c>
      <c r="P24" s="66">
        <v>39.0</v>
      </c>
      <c r="Q24" s="56">
        <f t="shared" si="7"/>
        <v>55</v>
      </c>
      <c r="R24" s="56" t="str">
        <f t="shared" si="8"/>
        <v>D</v>
      </c>
      <c r="S24" s="66">
        <v>32.0</v>
      </c>
      <c r="T24" s="66">
        <v>46.0</v>
      </c>
      <c r="U24" s="56">
        <f t="shared" si="9"/>
        <v>78</v>
      </c>
      <c r="V24" s="56" t="str">
        <f t="shared" si="10"/>
        <v>B</v>
      </c>
      <c r="W24" s="75">
        <v>28.0</v>
      </c>
      <c r="X24" s="66">
        <v>52.0</v>
      </c>
      <c r="Y24" s="56">
        <f t="shared" si="11"/>
        <v>80</v>
      </c>
      <c r="Z24" s="56" t="str">
        <f t="shared" si="12"/>
        <v>A</v>
      </c>
      <c r="AA24" s="67">
        <v>33.0</v>
      </c>
      <c r="AB24" s="68">
        <v>49.0</v>
      </c>
      <c r="AC24" s="59">
        <f t="shared" si="13"/>
        <v>82</v>
      </c>
      <c r="AD24" s="56" t="str">
        <f t="shared" si="14"/>
        <v>A</v>
      </c>
      <c r="AE24" s="75">
        <v>32.0</v>
      </c>
      <c r="AF24" s="76">
        <v>46.0</v>
      </c>
      <c r="AG24" s="59">
        <f t="shared" si="15"/>
        <v>78</v>
      </c>
      <c r="AH24" s="56" t="str">
        <f t="shared" si="16"/>
        <v>B</v>
      </c>
      <c r="AI24" s="67">
        <v>29.0</v>
      </c>
      <c r="AJ24" s="68">
        <v>41.0</v>
      </c>
      <c r="AK24" s="59">
        <f t="shared" si="17"/>
        <v>70</v>
      </c>
      <c r="AL24" s="56" t="str">
        <f t="shared" si="18"/>
        <v>B</v>
      </c>
      <c r="AM24" s="75">
        <v>19.0</v>
      </c>
      <c r="AN24" s="68">
        <v>48.0</v>
      </c>
      <c r="AO24" s="59">
        <f t="shared" ref="AO24:AO31" si="23">AM24+AN24</f>
        <v>67</v>
      </c>
      <c r="AP24" s="56" t="str">
        <f t="shared" si="20"/>
        <v>C</v>
      </c>
      <c r="AQ24" s="59"/>
      <c r="AR24" s="57">
        <f t="shared" si="21"/>
        <v>70.22</v>
      </c>
      <c r="AS24" s="72">
        <f t="shared" si="22"/>
        <v>7</v>
      </c>
      <c r="AT24" s="73" t="s">
        <v>85</v>
      </c>
      <c r="AU24" s="73" t="s">
        <v>86</v>
      </c>
      <c r="AV24" s="73" t="s">
        <v>85</v>
      </c>
      <c r="AW24" s="73" t="s">
        <v>86</v>
      </c>
      <c r="AX24" s="73" t="s">
        <v>86</v>
      </c>
      <c r="AY24" s="121" t="s">
        <v>194</v>
      </c>
    </row>
    <row r="25" ht="15.75" customHeight="1">
      <c r="A25" s="42">
        <v>21.0</v>
      </c>
      <c r="B25" s="94" t="s">
        <v>195</v>
      </c>
      <c r="C25" s="75">
        <v>31.0</v>
      </c>
      <c r="D25" s="66">
        <v>26.0</v>
      </c>
      <c r="E25" s="56">
        <f t="shared" si="1"/>
        <v>57</v>
      </c>
      <c r="F25" s="56" t="str">
        <f t="shared" si="2"/>
        <v>D</v>
      </c>
      <c r="G25" s="75">
        <v>17.0</v>
      </c>
      <c r="H25" s="76">
        <v>33.0</v>
      </c>
      <c r="I25" s="56">
        <f t="shared" si="3"/>
        <v>50</v>
      </c>
      <c r="J25" s="56" t="str">
        <f t="shared" si="4"/>
        <v>D</v>
      </c>
      <c r="K25" s="120">
        <v>16.6</v>
      </c>
      <c r="L25" s="120">
        <v>21.0</v>
      </c>
      <c r="M25" s="57">
        <f t="shared" si="5"/>
        <v>37.6</v>
      </c>
      <c r="N25" s="56" t="str">
        <f t="shared" si="6"/>
        <v>F</v>
      </c>
      <c r="O25" s="66">
        <v>26.0</v>
      </c>
      <c r="P25" s="66">
        <v>44.0</v>
      </c>
      <c r="Q25" s="56">
        <f t="shared" si="7"/>
        <v>70</v>
      </c>
      <c r="R25" s="56" t="str">
        <f t="shared" si="8"/>
        <v>B</v>
      </c>
      <c r="S25" s="66">
        <v>21.0</v>
      </c>
      <c r="T25" s="66">
        <v>39.0</v>
      </c>
      <c r="U25" s="56">
        <f t="shared" si="9"/>
        <v>60</v>
      </c>
      <c r="V25" s="56" t="str">
        <f t="shared" si="10"/>
        <v>C</v>
      </c>
      <c r="W25" s="75">
        <v>28.0</v>
      </c>
      <c r="X25" s="66">
        <v>36.0</v>
      </c>
      <c r="Y25" s="56">
        <f t="shared" si="11"/>
        <v>64</v>
      </c>
      <c r="Z25" s="56" t="str">
        <f t="shared" si="12"/>
        <v>C</v>
      </c>
      <c r="AA25" s="67">
        <v>28.0</v>
      </c>
      <c r="AB25" s="68">
        <v>44.0</v>
      </c>
      <c r="AC25" s="59">
        <f t="shared" si="13"/>
        <v>72</v>
      </c>
      <c r="AD25" s="56" t="str">
        <f t="shared" si="14"/>
        <v>B</v>
      </c>
      <c r="AE25" s="75">
        <v>21.0</v>
      </c>
      <c r="AF25" s="76">
        <v>39.0</v>
      </c>
      <c r="AG25" s="59">
        <f t="shared" si="15"/>
        <v>60</v>
      </c>
      <c r="AH25" s="56" t="str">
        <f t="shared" si="16"/>
        <v>C</v>
      </c>
      <c r="AI25" s="67">
        <v>25.0</v>
      </c>
      <c r="AJ25" s="68">
        <v>46.0</v>
      </c>
      <c r="AK25" s="59">
        <f t="shared" si="17"/>
        <v>71</v>
      </c>
      <c r="AL25" s="56" t="str">
        <f t="shared" si="18"/>
        <v>B</v>
      </c>
      <c r="AM25" s="75">
        <v>21.0</v>
      </c>
      <c r="AN25" s="68">
        <v>47.0</v>
      </c>
      <c r="AO25" s="59">
        <f t="shared" si="23"/>
        <v>68</v>
      </c>
      <c r="AP25" s="56" t="str">
        <f t="shared" si="20"/>
        <v>C</v>
      </c>
      <c r="AQ25" s="59"/>
      <c r="AR25" s="57">
        <f t="shared" si="21"/>
        <v>60.96</v>
      </c>
      <c r="AS25" s="72">
        <f t="shared" si="22"/>
        <v>22</v>
      </c>
      <c r="AT25" s="73" t="s">
        <v>85</v>
      </c>
      <c r="AU25" s="73" t="s">
        <v>85</v>
      </c>
      <c r="AV25" s="73" t="s">
        <v>85</v>
      </c>
      <c r="AW25" s="73" t="s">
        <v>86</v>
      </c>
      <c r="AX25" s="73" t="s">
        <v>87</v>
      </c>
      <c r="AY25" s="121" t="s">
        <v>196</v>
      </c>
    </row>
    <row r="26" ht="15.75" customHeight="1">
      <c r="A26" s="42">
        <v>22.0</v>
      </c>
      <c r="B26" s="94" t="s">
        <v>197</v>
      </c>
      <c r="C26" s="75">
        <v>31.0</v>
      </c>
      <c r="D26" s="66">
        <v>44.0</v>
      </c>
      <c r="E26" s="56">
        <f t="shared" si="1"/>
        <v>75</v>
      </c>
      <c r="F26" s="56" t="str">
        <f t="shared" si="2"/>
        <v>B</v>
      </c>
      <c r="G26" s="75">
        <v>16.0</v>
      </c>
      <c r="H26" s="76">
        <v>44.0</v>
      </c>
      <c r="I26" s="56">
        <f t="shared" si="3"/>
        <v>60</v>
      </c>
      <c r="J26" s="56" t="str">
        <f t="shared" si="4"/>
        <v>C</v>
      </c>
      <c r="K26" s="120">
        <v>20.8</v>
      </c>
      <c r="L26" s="120">
        <v>40.8</v>
      </c>
      <c r="M26" s="57">
        <f t="shared" si="5"/>
        <v>61.6</v>
      </c>
      <c r="N26" s="56" t="str">
        <f t="shared" si="6"/>
        <v>C</v>
      </c>
      <c r="O26" s="66">
        <v>28.0</v>
      </c>
      <c r="P26" s="66">
        <v>30.0</v>
      </c>
      <c r="Q26" s="56">
        <f t="shared" si="7"/>
        <v>58</v>
      </c>
      <c r="R26" s="56" t="str">
        <f t="shared" si="8"/>
        <v>D</v>
      </c>
      <c r="S26" s="66">
        <v>28.0</v>
      </c>
      <c r="T26" s="66">
        <v>40.0</v>
      </c>
      <c r="U26" s="56">
        <f t="shared" si="9"/>
        <v>68</v>
      </c>
      <c r="V26" s="56" t="str">
        <f t="shared" si="10"/>
        <v>C</v>
      </c>
      <c r="W26" s="75">
        <v>32.0</v>
      </c>
      <c r="X26" s="66">
        <v>39.0</v>
      </c>
      <c r="Y26" s="56">
        <f t="shared" si="11"/>
        <v>71</v>
      </c>
      <c r="Z26" s="56" t="str">
        <f t="shared" si="12"/>
        <v>B</v>
      </c>
      <c r="AA26" s="67">
        <v>30.0</v>
      </c>
      <c r="AB26" s="68">
        <v>38.0</v>
      </c>
      <c r="AC26" s="59">
        <f t="shared" si="13"/>
        <v>68</v>
      </c>
      <c r="AD26" s="56" t="str">
        <f t="shared" si="14"/>
        <v>C</v>
      </c>
      <c r="AE26" s="75">
        <v>29.0</v>
      </c>
      <c r="AF26" s="76">
        <v>52.0</v>
      </c>
      <c r="AG26" s="59">
        <f t="shared" si="15"/>
        <v>81</v>
      </c>
      <c r="AH26" s="56" t="str">
        <f t="shared" si="16"/>
        <v>A</v>
      </c>
      <c r="AI26" s="67">
        <v>31.0</v>
      </c>
      <c r="AJ26" s="68">
        <v>45.0</v>
      </c>
      <c r="AK26" s="59">
        <f t="shared" si="17"/>
        <v>76</v>
      </c>
      <c r="AL26" s="56" t="str">
        <f t="shared" si="18"/>
        <v>B</v>
      </c>
      <c r="AM26" s="75">
        <v>25.5</v>
      </c>
      <c r="AN26" s="68">
        <v>56.0</v>
      </c>
      <c r="AO26" s="59">
        <f t="shared" si="23"/>
        <v>81.5</v>
      </c>
      <c r="AP26" s="56" t="str">
        <f t="shared" si="20"/>
        <v>A</v>
      </c>
      <c r="AQ26" s="59"/>
      <c r="AR26" s="57">
        <f t="shared" si="21"/>
        <v>70.01</v>
      </c>
      <c r="AS26" s="72">
        <f t="shared" si="22"/>
        <v>8</v>
      </c>
      <c r="AT26" s="73" t="s">
        <v>85</v>
      </c>
      <c r="AU26" s="73" t="s">
        <v>85</v>
      </c>
      <c r="AV26" s="73" t="s">
        <v>85</v>
      </c>
      <c r="AW26" s="73" t="s">
        <v>86</v>
      </c>
      <c r="AX26" s="73" t="s">
        <v>86</v>
      </c>
      <c r="AY26" s="121" t="s">
        <v>198</v>
      </c>
    </row>
    <row r="27" ht="15.75" customHeight="1">
      <c r="A27" s="42">
        <v>23.0</v>
      </c>
      <c r="B27" s="94" t="s">
        <v>199</v>
      </c>
      <c r="C27" s="75">
        <v>30.0</v>
      </c>
      <c r="D27" s="66">
        <v>40.0</v>
      </c>
      <c r="E27" s="56">
        <f t="shared" si="1"/>
        <v>70</v>
      </c>
      <c r="F27" s="56" t="str">
        <f t="shared" si="2"/>
        <v>B</v>
      </c>
      <c r="G27" s="75">
        <v>14.0</v>
      </c>
      <c r="H27" s="76">
        <v>36.0</v>
      </c>
      <c r="I27" s="56">
        <f t="shared" si="3"/>
        <v>50</v>
      </c>
      <c r="J27" s="56" t="str">
        <f t="shared" si="4"/>
        <v>D</v>
      </c>
      <c r="K27" s="120">
        <v>23.6</v>
      </c>
      <c r="L27" s="120">
        <v>42.6</v>
      </c>
      <c r="M27" s="57">
        <f t="shared" si="5"/>
        <v>66.2</v>
      </c>
      <c r="N27" s="56" t="str">
        <f t="shared" si="6"/>
        <v>C</v>
      </c>
      <c r="O27" s="66">
        <v>32.0</v>
      </c>
      <c r="P27" s="66">
        <v>31.0</v>
      </c>
      <c r="Q27" s="56">
        <f t="shared" si="7"/>
        <v>63</v>
      </c>
      <c r="R27" s="56" t="str">
        <f t="shared" si="8"/>
        <v>C</v>
      </c>
      <c r="S27" s="66">
        <v>24.0</v>
      </c>
      <c r="T27" s="66">
        <v>36.0</v>
      </c>
      <c r="U27" s="56">
        <f t="shared" si="9"/>
        <v>60</v>
      </c>
      <c r="V27" s="56" t="str">
        <f t="shared" si="10"/>
        <v>C</v>
      </c>
      <c r="W27" s="75">
        <v>27.0</v>
      </c>
      <c r="X27" s="66">
        <v>38.0</v>
      </c>
      <c r="Y27" s="56">
        <f t="shared" si="11"/>
        <v>65</v>
      </c>
      <c r="Z27" s="56" t="str">
        <f t="shared" si="12"/>
        <v>C</v>
      </c>
      <c r="AA27" s="67">
        <v>39.0</v>
      </c>
      <c r="AB27" s="68">
        <v>50.0</v>
      </c>
      <c r="AC27" s="59">
        <f t="shared" si="13"/>
        <v>89</v>
      </c>
      <c r="AD27" s="56" t="str">
        <f t="shared" si="14"/>
        <v>A</v>
      </c>
      <c r="AE27" s="75">
        <v>31.0</v>
      </c>
      <c r="AF27" s="76">
        <v>49.0</v>
      </c>
      <c r="AG27" s="59">
        <f t="shared" si="15"/>
        <v>80</v>
      </c>
      <c r="AH27" s="56" t="str">
        <f t="shared" si="16"/>
        <v>A</v>
      </c>
      <c r="AI27" s="67">
        <v>25.0</v>
      </c>
      <c r="AJ27" s="68">
        <v>40.0</v>
      </c>
      <c r="AK27" s="59">
        <f t="shared" si="17"/>
        <v>65</v>
      </c>
      <c r="AL27" s="56" t="str">
        <f t="shared" si="18"/>
        <v>C</v>
      </c>
      <c r="AM27" s="75">
        <v>20.7</v>
      </c>
      <c r="AN27" s="68">
        <v>47.0</v>
      </c>
      <c r="AO27" s="59">
        <f t="shared" si="23"/>
        <v>67.7</v>
      </c>
      <c r="AP27" s="56" t="str">
        <f t="shared" si="20"/>
        <v>C</v>
      </c>
      <c r="AQ27" s="59"/>
      <c r="AR27" s="57">
        <f t="shared" si="21"/>
        <v>67.59</v>
      </c>
      <c r="AS27" s="72">
        <f t="shared" si="22"/>
        <v>12</v>
      </c>
      <c r="AT27" s="73" t="s">
        <v>86</v>
      </c>
      <c r="AU27" s="73" t="s">
        <v>85</v>
      </c>
      <c r="AV27" s="73" t="s">
        <v>86</v>
      </c>
      <c r="AW27" s="73" t="s">
        <v>85</v>
      </c>
      <c r="AX27" s="73" t="s">
        <v>86</v>
      </c>
      <c r="AY27" s="121" t="s">
        <v>200</v>
      </c>
    </row>
    <row r="28" ht="15.75" customHeight="1">
      <c r="A28" s="42">
        <v>24.0</v>
      </c>
      <c r="B28" s="94" t="s">
        <v>201</v>
      </c>
      <c r="C28" s="75">
        <v>19.0</v>
      </c>
      <c r="D28" s="66">
        <v>43.0</v>
      </c>
      <c r="E28" s="56">
        <f t="shared" si="1"/>
        <v>62</v>
      </c>
      <c r="F28" s="56" t="str">
        <f t="shared" si="2"/>
        <v>C</v>
      </c>
      <c r="G28" s="75">
        <v>8.0</v>
      </c>
      <c r="H28" s="76">
        <v>32.0</v>
      </c>
      <c r="I28" s="56">
        <f t="shared" si="3"/>
        <v>40</v>
      </c>
      <c r="J28" s="56" t="str">
        <f t="shared" si="4"/>
        <v>E</v>
      </c>
      <c r="K28" s="120">
        <v>12.0</v>
      </c>
      <c r="L28" s="120">
        <v>25.8</v>
      </c>
      <c r="M28" s="57">
        <f t="shared" si="5"/>
        <v>37.8</v>
      </c>
      <c r="N28" s="56" t="str">
        <f t="shared" si="6"/>
        <v>F</v>
      </c>
      <c r="O28" s="66">
        <v>28.0</v>
      </c>
      <c r="P28" s="66">
        <v>25.0</v>
      </c>
      <c r="Q28" s="56">
        <f t="shared" si="7"/>
        <v>53</v>
      </c>
      <c r="R28" s="56" t="str">
        <f t="shared" si="8"/>
        <v>D</v>
      </c>
      <c r="S28" s="66">
        <v>14.0</v>
      </c>
      <c r="T28" s="66">
        <v>26.0</v>
      </c>
      <c r="U28" s="56">
        <f t="shared" si="9"/>
        <v>40</v>
      </c>
      <c r="V28" s="56" t="str">
        <f t="shared" si="10"/>
        <v>E</v>
      </c>
      <c r="W28" s="75">
        <v>22.0</v>
      </c>
      <c r="X28" s="66">
        <v>49.0</v>
      </c>
      <c r="Y28" s="56">
        <f t="shared" si="11"/>
        <v>71</v>
      </c>
      <c r="Z28" s="56" t="str">
        <f t="shared" si="12"/>
        <v>B</v>
      </c>
      <c r="AA28" s="67">
        <v>9.0</v>
      </c>
      <c r="AB28" s="68">
        <v>37.0</v>
      </c>
      <c r="AC28" s="59">
        <f t="shared" si="13"/>
        <v>46</v>
      </c>
      <c r="AD28" s="56" t="str">
        <f t="shared" si="14"/>
        <v>E</v>
      </c>
      <c r="AE28" s="75">
        <v>24.0</v>
      </c>
      <c r="AF28" s="76">
        <v>43.0</v>
      </c>
      <c r="AG28" s="59">
        <f t="shared" si="15"/>
        <v>67</v>
      </c>
      <c r="AH28" s="56" t="str">
        <f t="shared" si="16"/>
        <v>C</v>
      </c>
      <c r="AI28" s="67">
        <v>20.0</v>
      </c>
      <c r="AJ28" s="68">
        <v>23.0</v>
      </c>
      <c r="AK28" s="59">
        <f t="shared" si="17"/>
        <v>43</v>
      </c>
      <c r="AL28" s="56" t="str">
        <f t="shared" si="18"/>
        <v>E</v>
      </c>
      <c r="AM28" s="75">
        <v>22.0</v>
      </c>
      <c r="AN28" s="68">
        <v>46.0</v>
      </c>
      <c r="AO28" s="59">
        <f t="shared" si="23"/>
        <v>68</v>
      </c>
      <c r="AP28" s="56" t="str">
        <f t="shared" si="20"/>
        <v>C</v>
      </c>
      <c r="AQ28" s="59"/>
      <c r="AR28" s="57">
        <f t="shared" si="21"/>
        <v>52.78</v>
      </c>
      <c r="AS28" s="72">
        <f t="shared" si="22"/>
        <v>24</v>
      </c>
      <c r="AT28" s="73" t="s">
        <v>87</v>
      </c>
      <c r="AU28" s="73" t="s">
        <v>85</v>
      </c>
      <c r="AV28" s="73" t="s">
        <v>87</v>
      </c>
      <c r="AW28" s="73" t="s">
        <v>85</v>
      </c>
      <c r="AX28" s="73" t="s">
        <v>87</v>
      </c>
      <c r="AY28" s="121" t="s">
        <v>202</v>
      </c>
    </row>
    <row r="29" ht="15.75" customHeight="1">
      <c r="A29" s="42">
        <v>25.0</v>
      </c>
      <c r="B29" s="94" t="s">
        <v>203</v>
      </c>
      <c r="C29" s="75">
        <v>29.0</v>
      </c>
      <c r="D29" s="66">
        <v>35.0</v>
      </c>
      <c r="E29" s="56">
        <f t="shared" si="1"/>
        <v>64</v>
      </c>
      <c r="F29" s="56" t="str">
        <f t="shared" si="2"/>
        <v>C</v>
      </c>
      <c r="G29" s="75">
        <v>19.0</v>
      </c>
      <c r="H29" s="76">
        <v>36.0</v>
      </c>
      <c r="I29" s="56">
        <f t="shared" si="3"/>
        <v>55</v>
      </c>
      <c r="J29" s="56" t="str">
        <f t="shared" si="4"/>
        <v>D</v>
      </c>
      <c r="K29" s="120">
        <v>16.4</v>
      </c>
      <c r="L29" s="120">
        <v>35.4</v>
      </c>
      <c r="M29" s="57">
        <f t="shared" si="5"/>
        <v>51.8</v>
      </c>
      <c r="N29" s="56" t="str">
        <f t="shared" si="6"/>
        <v>D</v>
      </c>
      <c r="O29" s="66">
        <v>26.0</v>
      </c>
      <c r="P29" s="66">
        <v>21.0</v>
      </c>
      <c r="Q29" s="56">
        <f t="shared" si="7"/>
        <v>47</v>
      </c>
      <c r="R29" s="56" t="str">
        <f t="shared" si="8"/>
        <v>E</v>
      </c>
      <c r="S29" s="66">
        <v>28.0</v>
      </c>
      <c r="T29" s="66">
        <v>31.0</v>
      </c>
      <c r="U29" s="56">
        <f t="shared" si="9"/>
        <v>59</v>
      </c>
      <c r="V29" s="56" t="str">
        <f t="shared" si="10"/>
        <v>D</v>
      </c>
      <c r="W29" s="75">
        <v>23.0</v>
      </c>
      <c r="X29" s="66">
        <v>39.0</v>
      </c>
      <c r="Y29" s="56">
        <f t="shared" si="11"/>
        <v>62</v>
      </c>
      <c r="Z29" s="56" t="str">
        <f t="shared" si="12"/>
        <v>C</v>
      </c>
      <c r="AA29" s="67">
        <v>22.0</v>
      </c>
      <c r="AB29" s="68">
        <v>49.0</v>
      </c>
      <c r="AC29" s="59">
        <f t="shared" si="13"/>
        <v>71</v>
      </c>
      <c r="AD29" s="56" t="str">
        <f t="shared" si="14"/>
        <v>B</v>
      </c>
      <c r="AE29" s="75">
        <v>28.0</v>
      </c>
      <c r="AF29" s="76">
        <v>37.0</v>
      </c>
      <c r="AG29" s="59">
        <f t="shared" si="15"/>
        <v>65</v>
      </c>
      <c r="AH29" s="56" t="str">
        <f t="shared" si="16"/>
        <v>C</v>
      </c>
      <c r="AI29" s="67">
        <v>20.0</v>
      </c>
      <c r="AJ29" s="68">
        <v>41.0</v>
      </c>
      <c r="AK29" s="59">
        <f t="shared" si="17"/>
        <v>61</v>
      </c>
      <c r="AL29" s="56" t="str">
        <f t="shared" si="18"/>
        <v>C</v>
      </c>
      <c r="AM29" s="75">
        <v>27.0</v>
      </c>
      <c r="AN29" s="68">
        <v>53.0</v>
      </c>
      <c r="AO29" s="59">
        <f t="shared" si="23"/>
        <v>80</v>
      </c>
      <c r="AP29" s="56" t="str">
        <f t="shared" si="20"/>
        <v>A</v>
      </c>
      <c r="AQ29" s="59"/>
      <c r="AR29" s="57">
        <f t="shared" si="21"/>
        <v>61.58</v>
      </c>
      <c r="AS29" s="72">
        <f t="shared" si="22"/>
        <v>21</v>
      </c>
      <c r="AT29" s="73" t="s">
        <v>87</v>
      </c>
      <c r="AU29" s="73" t="s">
        <v>85</v>
      </c>
      <c r="AV29" s="73" t="s">
        <v>87</v>
      </c>
      <c r="AW29" s="73" t="s">
        <v>85</v>
      </c>
      <c r="AX29" s="73" t="s">
        <v>87</v>
      </c>
      <c r="AY29" s="121" t="s">
        <v>204</v>
      </c>
    </row>
    <row r="30" ht="15.75" customHeight="1">
      <c r="A30" s="42">
        <v>26.0</v>
      </c>
      <c r="B30" s="94" t="s">
        <v>205</v>
      </c>
      <c r="C30" s="75">
        <v>31.0</v>
      </c>
      <c r="D30" s="66">
        <v>42.0</v>
      </c>
      <c r="E30" s="56">
        <f t="shared" si="1"/>
        <v>73</v>
      </c>
      <c r="F30" s="56" t="str">
        <f t="shared" si="2"/>
        <v>B</v>
      </c>
      <c r="G30" s="75">
        <v>23.0</v>
      </c>
      <c r="H30" s="76">
        <v>23.0</v>
      </c>
      <c r="I30" s="56">
        <f t="shared" si="3"/>
        <v>46</v>
      </c>
      <c r="J30" s="56" t="str">
        <f t="shared" si="4"/>
        <v>E</v>
      </c>
      <c r="K30" s="120">
        <v>13.8</v>
      </c>
      <c r="L30" s="120">
        <v>30.0</v>
      </c>
      <c r="M30" s="57">
        <f t="shared" si="5"/>
        <v>43.8</v>
      </c>
      <c r="N30" s="56" t="str">
        <f t="shared" si="6"/>
        <v>E</v>
      </c>
      <c r="O30" s="66">
        <v>28.0</v>
      </c>
      <c r="P30" s="66">
        <v>37.0</v>
      </c>
      <c r="Q30" s="56">
        <f t="shared" si="7"/>
        <v>65</v>
      </c>
      <c r="R30" s="56" t="str">
        <f t="shared" si="8"/>
        <v>C</v>
      </c>
      <c r="S30" s="66">
        <v>34.0</v>
      </c>
      <c r="T30" s="66">
        <v>37.0</v>
      </c>
      <c r="U30" s="56">
        <f t="shared" si="9"/>
        <v>71</v>
      </c>
      <c r="V30" s="56" t="str">
        <f t="shared" si="10"/>
        <v>B</v>
      </c>
      <c r="W30" s="75">
        <v>24.0</v>
      </c>
      <c r="X30" s="66">
        <v>44.0</v>
      </c>
      <c r="Y30" s="56">
        <f t="shared" si="11"/>
        <v>68</v>
      </c>
      <c r="Z30" s="56" t="str">
        <f t="shared" si="12"/>
        <v>C</v>
      </c>
      <c r="AA30" s="67">
        <v>21.0</v>
      </c>
      <c r="AB30" s="68">
        <v>32.0</v>
      </c>
      <c r="AC30" s="59">
        <f t="shared" si="13"/>
        <v>53</v>
      </c>
      <c r="AD30" s="56" t="str">
        <f t="shared" si="14"/>
        <v>D</v>
      </c>
      <c r="AE30" s="75">
        <v>26.0</v>
      </c>
      <c r="AF30" s="76">
        <v>53.0</v>
      </c>
      <c r="AG30" s="59">
        <f t="shared" si="15"/>
        <v>79</v>
      </c>
      <c r="AH30" s="56" t="str">
        <f t="shared" si="16"/>
        <v>B</v>
      </c>
      <c r="AI30" s="67">
        <v>27.0</v>
      </c>
      <c r="AJ30" s="68">
        <v>44.0</v>
      </c>
      <c r="AK30" s="59">
        <f t="shared" si="17"/>
        <v>71</v>
      </c>
      <c r="AL30" s="56" t="str">
        <f t="shared" si="18"/>
        <v>B</v>
      </c>
      <c r="AM30" s="75">
        <v>21.0</v>
      </c>
      <c r="AN30" s="68">
        <v>49.0</v>
      </c>
      <c r="AO30" s="59">
        <f t="shared" si="23"/>
        <v>70</v>
      </c>
      <c r="AP30" s="56" t="str">
        <f t="shared" si="20"/>
        <v>B</v>
      </c>
      <c r="AQ30" s="59"/>
      <c r="AR30" s="57">
        <f t="shared" si="21"/>
        <v>63.98</v>
      </c>
      <c r="AS30" s="72">
        <f t="shared" si="22"/>
        <v>18</v>
      </c>
      <c r="AT30" s="73" t="s">
        <v>85</v>
      </c>
      <c r="AU30" s="73" t="s">
        <v>85</v>
      </c>
      <c r="AV30" s="73" t="s">
        <v>85</v>
      </c>
      <c r="AW30" s="73" t="s">
        <v>85</v>
      </c>
      <c r="AX30" s="73" t="s">
        <v>85</v>
      </c>
      <c r="AY30" s="121" t="s">
        <v>206</v>
      </c>
    </row>
    <row r="31" ht="15.75" customHeight="1">
      <c r="A31" s="42">
        <v>27.0</v>
      </c>
      <c r="B31" s="86" t="s">
        <v>207</v>
      </c>
      <c r="C31" s="66">
        <v>18.0</v>
      </c>
      <c r="D31" s="66">
        <v>20.0</v>
      </c>
      <c r="E31" s="56">
        <f t="shared" si="1"/>
        <v>38</v>
      </c>
      <c r="F31" s="77" t="str">
        <f t="shared" si="2"/>
        <v>F</v>
      </c>
      <c r="G31" s="66">
        <v>3.0</v>
      </c>
      <c r="H31" s="66">
        <v>14.0</v>
      </c>
      <c r="I31" s="56">
        <f t="shared" si="3"/>
        <v>17</v>
      </c>
      <c r="J31" s="56" t="str">
        <f t="shared" si="4"/>
        <v>U</v>
      </c>
      <c r="K31" s="120">
        <v>8.0</v>
      </c>
      <c r="L31" s="120">
        <v>24.0</v>
      </c>
      <c r="M31" s="57">
        <f t="shared" si="5"/>
        <v>32</v>
      </c>
      <c r="N31" s="56" t="str">
        <f t="shared" si="6"/>
        <v>F</v>
      </c>
      <c r="O31" s="66">
        <v>10.0</v>
      </c>
      <c r="P31" s="66">
        <v>15.0</v>
      </c>
      <c r="Q31" s="56">
        <f t="shared" si="7"/>
        <v>25</v>
      </c>
      <c r="R31" s="56" t="str">
        <f t="shared" si="8"/>
        <v>G</v>
      </c>
      <c r="S31" s="66">
        <v>25.0</v>
      </c>
      <c r="T31" s="66">
        <v>26.0</v>
      </c>
      <c r="U31" s="56">
        <f t="shared" si="9"/>
        <v>51</v>
      </c>
      <c r="V31" s="56" t="str">
        <f t="shared" si="10"/>
        <v>D</v>
      </c>
      <c r="W31" s="127">
        <v>26.0</v>
      </c>
      <c r="X31" s="66">
        <v>29.0</v>
      </c>
      <c r="Y31" s="56">
        <f t="shared" si="11"/>
        <v>55</v>
      </c>
      <c r="Z31" s="56" t="str">
        <f t="shared" si="12"/>
        <v>D</v>
      </c>
      <c r="AA31" s="67">
        <v>7.0</v>
      </c>
      <c r="AB31" s="68">
        <v>22.0</v>
      </c>
      <c r="AC31" s="59"/>
      <c r="AD31" s="56" t="str">
        <f t="shared" si="14"/>
        <v>U</v>
      </c>
      <c r="AE31" s="67">
        <v>29.0</v>
      </c>
      <c r="AF31" s="68">
        <v>43.0</v>
      </c>
      <c r="AG31" s="68">
        <v>72.0</v>
      </c>
      <c r="AH31" s="56" t="str">
        <f t="shared" si="16"/>
        <v>B</v>
      </c>
      <c r="AI31" s="67">
        <v>17.0</v>
      </c>
      <c r="AJ31" s="68">
        <v>16.0</v>
      </c>
      <c r="AK31" s="59">
        <f t="shared" si="17"/>
        <v>33</v>
      </c>
      <c r="AL31" s="56" t="str">
        <f t="shared" si="18"/>
        <v>F</v>
      </c>
      <c r="AM31" s="67">
        <v>21.0</v>
      </c>
      <c r="AN31" s="68">
        <v>46.0</v>
      </c>
      <c r="AO31" s="59">
        <f t="shared" si="23"/>
        <v>67</v>
      </c>
      <c r="AP31" s="56" t="str">
        <f t="shared" si="20"/>
        <v>C</v>
      </c>
      <c r="AQ31" s="59"/>
      <c r="AR31" s="57">
        <f t="shared" si="21"/>
        <v>43.33333333</v>
      </c>
      <c r="AS31" s="72">
        <f t="shared" si="22"/>
        <v>27</v>
      </c>
      <c r="AT31" s="73" t="s">
        <v>87</v>
      </c>
      <c r="AU31" s="73" t="s">
        <v>85</v>
      </c>
      <c r="AV31" s="73" t="s">
        <v>85</v>
      </c>
      <c r="AW31" s="73" t="s">
        <v>86</v>
      </c>
      <c r="AX31" s="73" t="s">
        <v>86</v>
      </c>
      <c r="AY31" s="121" t="s">
        <v>208</v>
      </c>
    </row>
    <row r="32" ht="15.75" customHeight="1">
      <c r="A32" s="121"/>
      <c r="B32" s="94"/>
      <c r="C32" s="56"/>
      <c r="D32" s="56"/>
      <c r="E32" s="56"/>
      <c r="F32" s="56"/>
      <c r="G32" s="56"/>
      <c r="H32" s="56"/>
      <c r="I32" s="56"/>
      <c r="J32" s="56"/>
      <c r="K32" s="57"/>
      <c r="L32" s="57"/>
      <c r="M32" s="57"/>
      <c r="N32" s="56"/>
      <c r="O32" s="56"/>
      <c r="P32" s="56"/>
      <c r="Q32" s="56"/>
      <c r="R32" s="56"/>
      <c r="S32" s="56"/>
      <c r="T32" s="56"/>
      <c r="U32" s="56"/>
      <c r="V32" s="56"/>
      <c r="W32" s="56"/>
      <c r="X32" s="56"/>
      <c r="Y32" s="56"/>
      <c r="Z32" s="56"/>
      <c r="AA32" s="58"/>
      <c r="AB32" s="59"/>
      <c r="AC32" s="59"/>
      <c r="AD32" s="56"/>
      <c r="AE32" s="58"/>
      <c r="AF32" s="59"/>
      <c r="AG32" s="59"/>
      <c r="AH32" s="56"/>
      <c r="AI32" s="67"/>
      <c r="AJ32" s="59"/>
      <c r="AK32" s="59"/>
      <c r="AL32" s="56"/>
      <c r="AM32" s="58"/>
      <c r="AN32" s="59"/>
      <c r="AO32" s="59"/>
      <c r="AP32" s="56"/>
      <c r="AQ32" s="59"/>
      <c r="AR32" s="57"/>
      <c r="AS32" s="72"/>
      <c r="AT32" s="42"/>
      <c r="AU32" s="42"/>
      <c r="AV32" s="42"/>
      <c r="AW32" s="42"/>
      <c r="AX32" s="42"/>
      <c r="AY32" s="42"/>
    </row>
    <row r="33" ht="15.75" customHeight="1">
      <c r="A33" s="40"/>
      <c r="B33" s="97"/>
      <c r="C33" s="98"/>
      <c r="D33" s="38"/>
      <c r="E33" s="38"/>
      <c r="F33" s="98"/>
      <c r="G33" s="39"/>
      <c r="H33" s="39"/>
      <c r="I33" s="39"/>
      <c r="J33" s="39"/>
      <c r="K33" s="99"/>
      <c r="L33" s="99"/>
      <c r="M33" s="99"/>
      <c r="N33" s="39"/>
      <c r="O33" s="39"/>
      <c r="P33" s="39"/>
      <c r="Q33" s="39"/>
      <c r="R33" s="39"/>
      <c r="S33" s="39"/>
      <c r="T33" s="39"/>
      <c r="U33" s="37"/>
      <c r="V33" s="37"/>
      <c r="W33" s="40"/>
      <c r="X33" s="40"/>
      <c r="Y33" s="40"/>
      <c r="Z33" s="99"/>
      <c r="AO33" s="128"/>
      <c r="AQ33" s="100"/>
      <c r="AR33" s="99"/>
      <c r="AS33" s="39"/>
      <c r="AT33" s="40"/>
      <c r="AU33" s="40"/>
      <c r="AV33" s="40"/>
      <c r="AW33" s="40"/>
      <c r="AX33" s="40"/>
      <c r="AY33" s="40"/>
    </row>
    <row r="34" ht="15.75" customHeight="1">
      <c r="C34" s="98"/>
      <c r="D34" s="38"/>
      <c r="E34" s="38"/>
      <c r="F34" s="98"/>
      <c r="G34" s="39"/>
      <c r="H34" s="39"/>
      <c r="I34" s="39"/>
      <c r="J34" s="39"/>
      <c r="K34" s="99"/>
      <c r="L34" s="99"/>
      <c r="M34" s="99"/>
      <c r="N34" s="39"/>
      <c r="O34" s="39"/>
      <c r="P34" s="39"/>
      <c r="Q34" s="39"/>
      <c r="R34" s="39"/>
      <c r="S34" s="39"/>
      <c r="T34" s="39"/>
      <c r="AR34" s="61"/>
      <c r="AY34" s="129" t="s">
        <v>209</v>
      </c>
    </row>
    <row r="35" ht="15.75" customHeight="1">
      <c r="B35" s="101" t="s">
        <v>33</v>
      </c>
      <c r="C35" s="102"/>
      <c r="D35" s="103"/>
      <c r="E35" s="33">
        <f>AVERAGE(E5:E31)</f>
        <v>65.96296296</v>
      </c>
      <c r="F35" s="104"/>
      <c r="G35" s="33"/>
      <c r="H35" s="105"/>
      <c r="I35" s="33">
        <f>AVERAGE(I5:I31)</f>
        <v>52.55555556</v>
      </c>
      <c r="J35" s="105"/>
      <c r="K35" s="33"/>
      <c r="L35" s="33"/>
      <c r="M35" s="33">
        <f>AVERAGE(M5:M31)</f>
        <v>58.93703704</v>
      </c>
      <c r="N35" s="105"/>
      <c r="O35" s="33"/>
      <c r="P35" s="105"/>
      <c r="Q35" s="33">
        <f>AVERAGE(Q5:Q31)</f>
        <v>61.66666667</v>
      </c>
      <c r="R35" s="105"/>
      <c r="S35" s="33"/>
      <c r="T35" s="105"/>
      <c r="U35" s="33">
        <f>AVERAGE(U5:U31)</f>
        <v>68.77777778</v>
      </c>
      <c r="V35" s="101"/>
      <c r="W35" s="33"/>
      <c r="X35" s="101"/>
      <c r="Y35" s="33">
        <f>AVERAGE(Y5:Y31)</f>
        <v>70.88888889</v>
      </c>
      <c r="Z35" s="101"/>
      <c r="AA35" s="101"/>
      <c r="AB35" s="101"/>
      <c r="AC35" s="33">
        <f>AVERAGE(AC5:AC31)</f>
        <v>70.07692308</v>
      </c>
      <c r="AD35" s="101"/>
      <c r="AE35" s="101"/>
      <c r="AF35" s="101"/>
      <c r="AG35" s="33">
        <f>AVERAGE(AG5:AG31)</f>
        <v>75.74074074</v>
      </c>
      <c r="AH35" s="101"/>
      <c r="AI35" s="101"/>
      <c r="AJ35" s="101"/>
      <c r="AK35" s="33">
        <f>AVERAGE(AK5:AK31)</f>
        <v>68.81481481</v>
      </c>
      <c r="AL35" s="101"/>
      <c r="AM35" s="101"/>
      <c r="AN35" s="101"/>
      <c r="AO35" s="33">
        <f>AVERAGE(AO5:AO31)</f>
        <v>66.86296296</v>
      </c>
      <c r="AP35" s="101"/>
      <c r="AQ35" s="101"/>
      <c r="AR35" s="106"/>
      <c r="AS35" s="101"/>
      <c r="AT35" s="101"/>
      <c r="AU35" s="101"/>
    </row>
    <row r="36" ht="15.75" customHeight="1">
      <c r="B36" s="101" t="s">
        <v>34</v>
      </c>
      <c r="C36" s="104"/>
      <c r="D36" s="103"/>
      <c r="E36" s="105">
        <f>COUNT(E5:E31)</f>
        <v>27</v>
      </c>
      <c r="F36" s="104"/>
      <c r="G36" s="105"/>
      <c r="H36" s="105"/>
      <c r="I36" s="105">
        <f>COUNT(I5:I31)</f>
        <v>27</v>
      </c>
      <c r="J36" s="105"/>
      <c r="K36" s="33"/>
      <c r="L36" s="33"/>
      <c r="M36" s="33">
        <f>COUNT(M5:M31)</f>
        <v>27</v>
      </c>
      <c r="N36" s="105"/>
      <c r="O36" s="105"/>
      <c r="P36" s="105"/>
      <c r="Q36" s="105">
        <f>COUNT(Q5:Q31)</f>
        <v>27</v>
      </c>
      <c r="R36" s="105"/>
      <c r="S36" s="105"/>
      <c r="T36" s="105"/>
      <c r="U36" s="105">
        <f>COUNT(U5:U31)</f>
        <v>27</v>
      </c>
      <c r="V36" s="101"/>
      <c r="W36" s="105"/>
      <c r="X36" s="101"/>
      <c r="Y36" s="105">
        <f>COUNT(Y5:Y31)</f>
        <v>27</v>
      </c>
      <c r="Z36" s="101"/>
      <c r="AA36" s="101"/>
      <c r="AB36" s="101"/>
      <c r="AC36" s="105">
        <f>COUNT(AC5:AC31)</f>
        <v>26</v>
      </c>
      <c r="AD36" s="101"/>
      <c r="AE36" s="101"/>
      <c r="AF36" s="101"/>
      <c r="AG36" s="105">
        <f>COUNT(AG5:AG31)</f>
        <v>27</v>
      </c>
      <c r="AH36" s="101"/>
      <c r="AI36" s="101"/>
      <c r="AJ36" s="101"/>
      <c r="AK36" s="105">
        <f>COUNT(AK5:AK31)</f>
        <v>27</v>
      </c>
      <c r="AL36" s="101"/>
      <c r="AM36" s="101"/>
      <c r="AN36" s="101"/>
      <c r="AO36" s="105">
        <f>COUNT(AO5:AO31)</f>
        <v>27</v>
      </c>
      <c r="AP36" s="101"/>
      <c r="AQ36" s="101"/>
      <c r="AR36" s="106"/>
      <c r="AS36" s="101"/>
      <c r="AT36" s="101"/>
      <c r="AU36" s="101"/>
    </row>
    <row r="37" ht="15.75" customHeight="1">
      <c r="B37" s="101" t="s">
        <v>35</v>
      </c>
      <c r="C37" s="104"/>
      <c r="D37" s="103"/>
      <c r="E37" s="105">
        <f>COUNTIF(E5:E31,"&gt;49")</f>
        <v>26</v>
      </c>
      <c r="F37" s="104"/>
      <c r="G37" s="105"/>
      <c r="H37" s="105"/>
      <c r="I37" s="105">
        <f>COUNTIF(I5:I31,"&gt;49")</f>
        <v>17</v>
      </c>
      <c r="J37" s="105"/>
      <c r="K37" s="33"/>
      <c r="L37" s="33"/>
      <c r="M37" s="33">
        <f>COUNTIF(M5:M31,"&gt;49")</f>
        <v>19</v>
      </c>
      <c r="N37" s="105"/>
      <c r="O37" s="105"/>
      <c r="P37" s="105"/>
      <c r="Q37" s="105">
        <f>COUNTIF(Q5:Q31,"&gt;49")</f>
        <v>23</v>
      </c>
      <c r="R37" s="105"/>
      <c r="S37" s="105"/>
      <c r="T37" s="105"/>
      <c r="U37" s="105">
        <f>COUNTIF(U5:U31,"&gt;49")</f>
        <v>26</v>
      </c>
      <c r="V37" s="101"/>
      <c r="W37" s="105"/>
      <c r="X37" s="101"/>
      <c r="Y37" s="105">
        <f>COUNTIF(Y5:Y31,"&gt;49")</f>
        <v>26</v>
      </c>
      <c r="Z37" s="101"/>
      <c r="AA37" s="101"/>
      <c r="AB37" s="101"/>
      <c r="AC37" s="105">
        <f>COUNTIF(AC5:AC31,"&gt;49")</f>
        <v>21</v>
      </c>
      <c r="AD37" s="101"/>
      <c r="AE37" s="101"/>
      <c r="AF37" s="101"/>
      <c r="AG37" s="105">
        <f>COUNTIF(AG5:AG31,"&gt;49")</f>
        <v>27</v>
      </c>
      <c r="AH37" s="101"/>
      <c r="AI37" s="101"/>
      <c r="AJ37" s="101"/>
      <c r="AK37" s="105">
        <f>COUNTIF(AK5:AK31,"&gt;49")</f>
        <v>24</v>
      </c>
      <c r="AL37" s="101"/>
      <c r="AM37" s="101"/>
      <c r="AN37" s="101"/>
      <c r="AO37" s="105">
        <f>COUNTIF(AO5:AO31,"&gt;49")</f>
        <v>27</v>
      </c>
      <c r="AP37" s="101"/>
      <c r="AQ37" s="101"/>
      <c r="AR37" s="106"/>
      <c r="AS37" s="101"/>
      <c r="AT37" s="101"/>
      <c r="AU37" s="101"/>
    </row>
    <row r="38" ht="15.75" customHeight="1">
      <c r="B38" s="101" t="s">
        <v>36</v>
      </c>
      <c r="C38" s="104"/>
      <c r="D38" s="103"/>
      <c r="E38" s="105">
        <f>COUNTIF(E5:E31,"&lt;50")</f>
        <v>1</v>
      </c>
      <c r="F38" s="104"/>
      <c r="G38" s="105"/>
      <c r="H38" s="105"/>
      <c r="I38" s="105">
        <f>COUNTIF(I5:I31,"&lt;50")</f>
        <v>10</v>
      </c>
      <c r="J38" s="105"/>
      <c r="K38" s="33"/>
      <c r="L38" s="33"/>
      <c r="M38" s="33">
        <f>COUNTIF(M5:M31,"&lt;50")</f>
        <v>8</v>
      </c>
      <c r="N38" s="105"/>
      <c r="O38" s="105"/>
      <c r="P38" s="105"/>
      <c r="Q38" s="105">
        <f>COUNTIF(Q5:Q31,"&lt;50")</f>
        <v>4</v>
      </c>
      <c r="R38" s="105"/>
      <c r="S38" s="105"/>
      <c r="T38" s="105"/>
      <c r="U38" s="105">
        <f>COUNTIF(U5:U31,"&lt;50")</f>
        <v>1</v>
      </c>
      <c r="V38" s="101"/>
      <c r="W38" s="105"/>
      <c r="X38" s="101"/>
      <c r="Y38" s="105">
        <f>COUNTIF(Y5:Y31,"&lt;50")</f>
        <v>1</v>
      </c>
      <c r="Z38" s="101"/>
      <c r="AA38" s="101"/>
      <c r="AB38" s="101"/>
      <c r="AC38" s="105">
        <f>COUNTIF(AC5:AC31,"&lt;50")</f>
        <v>5</v>
      </c>
      <c r="AD38" s="101"/>
      <c r="AE38" s="101"/>
      <c r="AF38" s="101"/>
      <c r="AG38" s="105">
        <f>COUNTIF(AG5:AG31,"&lt;50")</f>
        <v>0</v>
      </c>
      <c r="AH38" s="101"/>
      <c r="AI38" s="101"/>
      <c r="AJ38" s="101"/>
      <c r="AK38" s="105">
        <f>COUNTIF(AK5:AK31,"&lt;50")</f>
        <v>3</v>
      </c>
      <c r="AL38" s="101"/>
      <c r="AM38" s="101"/>
      <c r="AN38" s="101"/>
      <c r="AO38" s="105">
        <f>COUNTIF(AO5:AO31,"&lt;50")</f>
        <v>0</v>
      </c>
      <c r="AP38" s="101"/>
      <c r="AQ38" s="101"/>
      <c r="AR38" s="106"/>
      <c r="AS38" s="101"/>
      <c r="AT38" s="101"/>
      <c r="AU38" s="101"/>
    </row>
    <row r="39" ht="15.75" customHeight="1">
      <c r="B39" s="31" t="s">
        <v>37</v>
      </c>
      <c r="C39" s="107"/>
      <c r="D39" s="108"/>
      <c r="E39" s="32">
        <f>E37*100/E36</f>
        <v>96.2962963</v>
      </c>
      <c r="F39" s="109"/>
      <c r="G39" s="32"/>
      <c r="H39" s="110"/>
      <c r="I39" s="32">
        <f>I37*100/I36</f>
        <v>62.96296296</v>
      </c>
      <c r="J39" s="110"/>
      <c r="K39" s="32"/>
      <c r="L39" s="32"/>
      <c r="M39" s="32">
        <f>M37*100/M36</f>
        <v>70.37037037</v>
      </c>
      <c r="N39" s="110"/>
      <c r="O39" s="32"/>
      <c r="P39" s="110"/>
      <c r="Q39" s="32">
        <f>Q37*100/Q36</f>
        <v>85.18518519</v>
      </c>
      <c r="R39" s="110"/>
      <c r="S39" s="32"/>
      <c r="T39" s="110"/>
      <c r="U39" s="32">
        <f>U37*100/U36</f>
        <v>96.2962963</v>
      </c>
      <c r="V39" s="31"/>
      <c r="W39" s="32"/>
      <c r="X39" s="31"/>
      <c r="Y39" s="32">
        <f>Y37*100/Y36</f>
        <v>96.2962963</v>
      </c>
      <c r="Z39" s="31"/>
      <c r="AA39" s="31"/>
      <c r="AB39" s="31"/>
      <c r="AC39" s="32">
        <f>AC37*100/AC36</f>
        <v>80.76923077</v>
      </c>
      <c r="AD39" s="31"/>
      <c r="AE39" s="31"/>
      <c r="AF39" s="31"/>
      <c r="AG39" s="32">
        <f>AG37*100/AG36</f>
        <v>100</v>
      </c>
      <c r="AH39" s="31"/>
      <c r="AI39" s="31"/>
      <c r="AJ39" s="31"/>
      <c r="AK39" s="32">
        <f>AK37*100/AK36</f>
        <v>88.88888889</v>
      </c>
      <c r="AL39" s="31"/>
      <c r="AM39" s="31"/>
      <c r="AN39" s="31"/>
      <c r="AO39" s="32">
        <f>AO37*100/AO36</f>
        <v>100</v>
      </c>
      <c r="AP39" s="31"/>
      <c r="AQ39" s="31"/>
      <c r="AR39" s="111"/>
      <c r="AS39" s="31"/>
      <c r="AT39" s="31"/>
      <c r="AU39" s="31"/>
    </row>
    <row r="40" ht="15.75" customHeight="1">
      <c r="C40" s="98"/>
      <c r="D40" s="38"/>
      <c r="E40" s="38"/>
      <c r="F40" s="98"/>
      <c r="G40" s="39"/>
      <c r="H40" s="39"/>
      <c r="I40" s="39"/>
      <c r="J40" s="39"/>
      <c r="K40" s="99"/>
      <c r="L40" s="99"/>
      <c r="M40" s="99"/>
      <c r="N40" s="39"/>
      <c r="O40" s="39"/>
      <c r="P40" s="39"/>
      <c r="Q40" s="39"/>
      <c r="R40" s="39"/>
      <c r="S40" s="39"/>
      <c r="T40" s="39"/>
      <c r="AR40" s="61"/>
    </row>
    <row r="41" ht="15.75" customHeight="1">
      <c r="C41" s="98"/>
      <c r="D41" s="38"/>
      <c r="E41" s="38"/>
      <c r="F41" s="98"/>
      <c r="G41" s="39"/>
      <c r="H41" s="39"/>
      <c r="I41" s="39"/>
      <c r="J41" s="39"/>
      <c r="K41" s="99"/>
      <c r="L41" s="99"/>
      <c r="M41" s="99"/>
      <c r="N41" s="39"/>
      <c r="O41" s="39"/>
      <c r="P41" s="39"/>
      <c r="Q41" s="39"/>
      <c r="R41" s="39"/>
      <c r="S41" s="39"/>
      <c r="T41" s="39"/>
      <c r="AR41" s="61"/>
    </row>
    <row r="42" ht="15.75" customHeight="1">
      <c r="C42" s="98"/>
      <c r="D42" s="38"/>
      <c r="E42" s="38"/>
      <c r="F42" s="98"/>
      <c r="G42" s="39"/>
      <c r="H42" s="39"/>
      <c r="I42" s="39"/>
      <c r="J42" s="39"/>
      <c r="K42" s="99"/>
      <c r="L42" s="99"/>
      <c r="M42" s="99"/>
      <c r="N42" s="39"/>
      <c r="O42" s="39"/>
      <c r="P42" s="39"/>
      <c r="Q42" s="39"/>
      <c r="R42" s="39"/>
      <c r="S42" s="39"/>
      <c r="T42" s="39"/>
      <c r="AR42" s="61"/>
    </row>
    <row r="43" ht="15.75" customHeight="1">
      <c r="A43" s="26" t="s">
        <v>139</v>
      </c>
      <c r="B43" s="26">
        <v>0.0</v>
      </c>
      <c r="C43" s="113" t="s">
        <v>140</v>
      </c>
      <c r="D43" s="38"/>
      <c r="E43" s="38"/>
      <c r="F43" s="98"/>
      <c r="G43" s="39"/>
      <c r="H43" s="39"/>
      <c r="I43" s="39"/>
      <c r="J43" s="39"/>
      <c r="K43" s="99"/>
      <c r="L43" s="99"/>
      <c r="M43" s="99"/>
      <c r="N43" s="39"/>
      <c r="O43" s="39"/>
      <c r="P43" s="39"/>
      <c r="Q43" s="39"/>
      <c r="R43" s="39"/>
      <c r="S43" s="39"/>
      <c r="T43" s="39"/>
      <c r="AR43" s="61"/>
    </row>
    <row r="44" ht="15.75" customHeight="1">
      <c r="A44" s="26" t="s">
        <v>141</v>
      </c>
      <c r="B44" s="26">
        <v>20.0</v>
      </c>
      <c r="C44" s="113" t="s">
        <v>142</v>
      </c>
      <c r="D44" s="38"/>
      <c r="E44" s="38"/>
      <c r="F44" s="98"/>
      <c r="G44" s="39"/>
      <c r="H44" s="39"/>
      <c r="I44" s="39"/>
      <c r="J44" s="39"/>
      <c r="K44" s="99"/>
      <c r="L44" s="99"/>
      <c r="M44" s="99"/>
      <c r="N44" s="39"/>
      <c r="O44" s="39"/>
      <c r="P44" s="39"/>
      <c r="Q44" s="39"/>
      <c r="R44" s="39"/>
      <c r="S44" s="39"/>
      <c r="T44" s="39"/>
      <c r="AR44" s="61"/>
    </row>
    <row r="45" ht="15.75" customHeight="1">
      <c r="A45" s="114" t="s">
        <v>143</v>
      </c>
      <c r="B45" s="115">
        <v>30.0</v>
      </c>
      <c r="C45" s="114" t="s">
        <v>144</v>
      </c>
      <c r="D45" s="38"/>
      <c r="E45" s="38"/>
      <c r="F45" s="98"/>
      <c r="G45" s="39"/>
      <c r="H45" s="39"/>
      <c r="I45" s="39"/>
      <c r="J45" s="39"/>
      <c r="K45" s="99"/>
      <c r="L45" s="99"/>
      <c r="M45" s="99"/>
      <c r="N45" s="39"/>
      <c r="O45" s="39"/>
      <c r="P45" s="39"/>
      <c r="Q45" s="39"/>
      <c r="R45" s="39"/>
      <c r="S45" s="39"/>
      <c r="T45" s="39"/>
      <c r="AR45" s="61"/>
    </row>
    <row r="46" ht="15.75" customHeight="1">
      <c r="A46" s="114" t="s">
        <v>145</v>
      </c>
      <c r="B46" s="115">
        <v>40.0</v>
      </c>
      <c r="C46" s="114" t="s">
        <v>146</v>
      </c>
      <c r="D46" s="38"/>
      <c r="E46" s="38"/>
      <c r="F46" s="98"/>
      <c r="G46" s="39"/>
      <c r="H46" s="39"/>
      <c r="I46" s="39"/>
      <c r="J46" s="39"/>
      <c r="K46" s="99"/>
      <c r="L46" s="99"/>
      <c r="M46" s="99"/>
      <c r="N46" s="39"/>
      <c r="O46" s="39"/>
      <c r="P46" s="39"/>
      <c r="Q46" s="39"/>
      <c r="R46" s="39"/>
      <c r="S46" s="39"/>
      <c r="T46" s="39"/>
      <c r="AR46" s="61"/>
    </row>
    <row r="47" ht="15.75" customHeight="1">
      <c r="A47" s="114" t="s">
        <v>147</v>
      </c>
      <c r="B47" s="115">
        <v>50.0</v>
      </c>
      <c r="C47" s="114" t="s">
        <v>93</v>
      </c>
      <c r="D47" s="38"/>
      <c r="E47" s="38"/>
      <c r="F47" s="98"/>
      <c r="G47" s="39"/>
      <c r="H47" s="39"/>
      <c r="I47" s="39"/>
      <c r="J47" s="39"/>
      <c r="K47" s="99"/>
      <c r="L47" s="99"/>
      <c r="M47" s="99"/>
      <c r="N47" s="39"/>
      <c r="O47" s="39"/>
      <c r="P47" s="39"/>
      <c r="Q47" s="39"/>
      <c r="R47" s="39"/>
      <c r="S47" s="39"/>
      <c r="T47" s="39"/>
      <c r="AR47" s="61"/>
    </row>
    <row r="48" ht="15.75" customHeight="1">
      <c r="A48" s="114" t="s">
        <v>148</v>
      </c>
      <c r="B48" s="115">
        <v>60.0</v>
      </c>
      <c r="C48" s="114" t="s">
        <v>90</v>
      </c>
      <c r="D48" s="38"/>
      <c r="E48" s="38"/>
      <c r="F48" s="98"/>
      <c r="G48" s="39"/>
      <c r="H48" s="39"/>
      <c r="I48" s="39"/>
      <c r="J48" s="39"/>
      <c r="K48" s="99"/>
      <c r="L48" s="99"/>
      <c r="M48" s="99"/>
      <c r="N48" s="39"/>
      <c r="O48" s="39"/>
      <c r="P48" s="39"/>
      <c r="Q48" s="39"/>
      <c r="R48" s="39"/>
      <c r="S48" s="39"/>
      <c r="T48" s="39"/>
      <c r="AR48" s="61"/>
    </row>
    <row r="49" ht="15.75" customHeight="1">
      <c r="A49" s="114" t="s">
        <v>149</v>
      </c>
      <c r="B49" s="115">
        <v>70.0</v>
      </c>
      <c r="C49" s="114" t="s">
        <v>87</v>
      </c>
      <c r="D49" s="38"/>
      <c r="E49" s="38"/>
      <c r="F49" s="98"/>
      <c r="G49" s="39"/>
      <c r="H49" s="39"/>
      <c r="I49" s="39"/>
      <c r="J49" s="39"/>
      <c r="K49" s="99"/>
      <c r="L49" s="99"/>
      <c r="M49" s="99"/>
      <c r="N49" s="39"/>
      <c r="O49" s="39"/>
      <c r="P49" s="39"/>
      <c r="Q49" s="39"/>
      <c r="R49" s="39"/>
      <c r="S49" s="39"/>
      <c r="T49" s="39"/>
      <c r="AR49" s="61"/>
    </row>
    <row r="50" ht="15.75" customHeight="1">
      <c r="A50" s="116" t="s">
        <v>150</v>
      </c>
      <c r="B50" s="117">
        <v>80.0</v>
      </c>
      <c r="C50" s="116" t="s">
        <v>85</v>
      </c>
      <c r="D50" s="38"/>
      <c r="E50" s="38"/>
      <c r="F50" s="98"/>
      <c r="G50" s="39"/>
      <c r="H50" s="39"/>
      <c r="I50" s="39"/>
      <c r="J50" s="39"/>
      <c r="K50" s="99"/>
      <c r="L50" s="99"/>
      <c r="M50" s="99"/>
      <c r="N50" s="39"/>
      <c r="O50" s="39"/>
      <c r="P50" s="39"/>
      <c r="Q50" s="39"/>
      <c r="R50" s="39"/>
      <c r="S50" s="39"/>
      <c r="T50" s="39"/>
      <c r="AR50" s="61"/>
    </row>
    <row r="51" ht="15.75" customHeight="1">
      <c r="A51" s="116" t="s">
        <v>151</v>
      </c>
      <c r="B51" s="117">
        <v>90.0</v>
      </c>
      <c r="C51" s="116" t="s">
        <v>152</v>
      </c>
      <c r="D51" s="38"/>
      <c r="E51" s="38"/>
      <c r="F51" s="98"/>
      <c r="G51" s="39"/>
      <c r="H51" s="39"/>
      <c r="I51" s="39"/>
      <c r="J51" s="39"/>
      <c r="K51" s="99"/>
      <c r="L51" s="99"/>
      <c r="M51" s="99"/>
      <c r="N51" s="39"/>
      <c r="O51" s="39"/>
      <c r="P51" s="39"/>
      <c r="Q51" s="39"/>
      <c r="R51" s="39"/>
      <c r="S51" s="39"/>
      <c r="T51" s="39"/>
      <c r="AR51" s="61"/>
    </row>
    <row r="52" ht="15.75" customHeight="1">
      <c r="C52" s="98"/>
      <c r="D52" s="38"/>
      <c r="E52" s="38"/>
      <c r="F52" s="98"/>
      <c r="G52" s="39"/>
      <c r="H52" s="39"/>
      <c r="I52" s="39"/>
      <c r="J52" s="39"/>
      <c r="K52" s="99"/>
      <c r="L52" s="99"/>
      <c r="M52" s="99"/>
      <c r="N52" s="39"/>
      <c r="O52" s="39"/>
      <c r="P52" s="39"/>
      <c r="Q52" s="39"/>
      <c r="R52" s="39"/>
      <c r="S52" s="39"/>
      <c r="T52" s="39"/>
      <c r="AR52" s="61"/>
    </row>
    <row r="53" ht="15.75" customHeight="1">
      <c r="C53" s="98"/>
      <c r="D53" s="38"/>
      <c r="E53" s="38"/>
      <c r="F53" s="98"/>
      <c r="G53" s="39"/>
      <c r="H53" s="39"/>
      <c r="I53" s="39"/>
      <c r="J53" s="39"/>
      <c r="K53" s="99"/>
      <c r="L53" s="99"/>
      <c r="M53" s="99"/>
      <c r="N53" s="39"/>
      <c r="O53" s="39"/>
      <c r="P53" s="39"/>
      <c r="Q53" s="39"/>
      <c r="R53" s="39"/>
      <c r="S53" s="39"/>
      <c r="T53" s="39"/>
      <c r="AR53" s="61"/>
    </row>
    <row r="54" ht="15.75" customHeight="1">
      <c r="C54" s="98"/>
      <c r="D54" s="38"/>
      <c r="E54" s="38"/>
      <c r="F54" s="98"/>
      <c r="G54" s="39"/>
      <c r="H54" s="39"/>
      <c r="I54" s="39"/>
      <c r="J54" s="39"/>
      <c r="K54" s="99"/>
      <c r="L54" s="99"/>
      <c r="M54" s="99"/>
      <c r="N54" s="39"/>
      <c r="O54" s="39"/>
      <c r="P54" s="39"/>
      <c r="Q54" s="39"/>
      <c r="R54" s="39"/>
      <c r="S54" s="39"/>
      <c r="T54" s="39"/>
      <c r="AR54" s="61"/>
    </row>
    <row r="55" ht="15.75" customHeight="1">
      <c r="C55" s="98"/>
      <c r="D55" s="38"/>
      <c r="E55" s="38"/>
      <c r="F55" s="98"/>
      <c r="G55" s="39"/>
      <c r="H55" s="39"/>
      <c r="I55" s="39"/>
      <c r="J55" s="39"/>
      <c r="K55" s="99"/>
      <c r="L55" s="99"/>
      <c r="M55" s="99"/>
      <c r="N55" s="39"/>
      <c r="O55" s="39"/>
      <c r="P55" s="39"/>
      <c r="Q55" s="39"/>
      <c r="R55" s="39"/>
      <c r="S55" s="39"/>
      <c r="T55" s="39"/>
      <c r="AR55" s="61"/>
    </row>
    <row r="56" ht="15.75" customHeight="1">
      <c r="C56" s="98"/>
      <c r="D56" s="38"/>
      <c r="E56" s="38"/>
      <c r="F56" s="98"/>
      <c r="G56" s="39"/>
      <c r="H56" s="39"/>
      <c r="I56" s="39"/>
      <c r="J56" s="39"/>
      <c r="K56" s="99"/>
      <c r="L56" s="99"/>
      <c r="M56" s="99"/>
      <c r="N56" s="39"/>
      <c r="O56" s="39"/>
      <c r="P56" s="39"/>
      <c r="Q56" s="39"/>
      <c r="R56" s="39"/>
      <c r="S56" s="39"/>
      <c r="T56" s="39"/>
      <c r="AR56" s="61"/>
    </row>
    <row r="57" ht="15.75" customHeight="1">
      <c r="C57" s="98"/>
      <c r="D57" s="38"/>
      <c r="E57" s="38"/>
      <c r="F57" s="98"/>
      <c r="G57" s="39"/>
      <c r="H57" s="39"/>
      <c r="I57" s="39"/>
      <c r="J57" s="39"/>
      <c r="K57" s="99"/>
      <c r="L57" s="99"/>
      <c r="M57" s="99"/>
      <c r="N57" s="39"/>
      <c r="O57" s="39"/>
      <c r="P57" s="39"/>
      <c r="Q57" s="39"/>
      <c r="R57" s="39"/>
      <c r="S57" s="39"/>
      <c r="T57" s="39"/>
      <c r="AR57" s="61"/>
    </row>
    <row r="58" ht="15.75" customHeight="1">
      <c r="C58" s="98"/>
      <c r="D58" s="38"/>
      <c r="E58" s="38"/>
      <c r="F58" s="98"/>
      <c r="G58" s="39"/>
      <c r="H58" s="39"/>
      <c r="I58" s="39"/>
      <c r="J58" s="39"/>
      <c r="K58" s="99"/>
      <c r="L58" s="99"/>
      <c r="M58" s="99"/>
      <c r="N58" s="39"/>
      <c r="O58" s="39"/>
      <c r="P58" s="39"/>
      <c r="Q58" s="39"/>
      <c r="R58" s="39"/>
      <c r="S58" s="39"/>
      <c r="T58" s="39"/>
      <c r="AR58" s="61"/>
    </row>
    <row r="59" ht="15.75" customHeight="1">
      <c r="C59" s="98"/>
      <c r="D59" s="38"/>
      <c r="E59" s="38"/>
      <c r="F59" s="98"/>
      <c r="G59" s="39"/>
      <c r="H59" s="39"/>
      <c r="I59" s="39"/>
      <c r="J59" s="39"/>
      <c r="K59" s="99"/>
      <c r="L59" s="99"/>
      <c r="M59" s="99"/>
      <c r="N59" s="39"/>
      <c r="O59" s="39"/>
      <c r="P59" s="39"/>
      <c r="Q59" s="39"/>
      <c r="R59" s="39"/>
      <c r="S59" s="39"/>
      <c r="T59" s="39"/>
      <c r="AR59" s="61"/>
    </row>
    <row r="60" ht="15.75" customHeight="1">
      <c r="C60" s="98"/>
      <c r="D60" s="38"/>
      <c r="E60" s="38"/>
      <c r="F60" s="98"/>
      <c r="G60" s="39"/>
      <c r="H60" s="39"/>
      <c r="I60" s="39"/>
      <c r="J60" s="39"/>
      <c r="K60" s="99"/>
      <c r="L60" s="99"/>
      <c r="M60" s="99"/>
      <c r="N60" s="39"/>
      <c r="O60" s="39"/>
      <c r="P60" s="39"/>
      <c r="Q60" s="39"/>
      <c r="R60" s="39"/>
      <c r="S60" s="39"/>
      <c r="T60" s="39"/>
      <c r="AR60" s="61"/>
    </row>
    <row r="61" ht="15.75" customHeight="1">
      <c r="C61" s="98"/>
      <c r="D61" s="38"/>
      <c r="E61" s="38"/>
      <c r="F61" s="98"/>
      <c r="G61" s="39"/>
      <c r="H61" s="39"/>
      <c r="I61" s="39"/>
      <c r="J61" s="39"/>
      <c r="K61" s="99"/>
      <c r="L61" s="99"/>
      <c r="M61" s="99"/>
      <c r="N61" s="39"/>
      <c r="O61" s="39"/>
      <c r="P61" s="39"/>
      <c r="Q61" s="39"/>
      <c r="R61" s="39"/>
      <c r="S61" s="39"/>
      <c r="T61" s="39"/>
      <c r="AR61" s="61"/>
    </row>
    <row r="62" ht="15.75" customHeight="1">
      <c r="C62" s="98"/>
      <c r="D62" s="38"/>
      <c r="E62" s="38"/>
      <c r="F62" s="98"/>
      <c r="G62" s="39"/>
      <c r="H62" s="39"/>
      <c r="I62" s="39"/>
      <c r="J62" s="39"/>
      <c r="K62" s="99"/>
      <c r="L62" s="99"/>
      <c r="M62" s="99"/>
      <c r="N62" s="39"/>
      <c r="O62" s="39"/>
      <c r="P62" s="39"/>
      <c r="Q62" s="39"/>
      <c r="R62" s="39"/>
      <c r="S62" s="39"/>
      <c r="T62" s="39"/>
      <c r="AR62" s="61"/>
    </row>
    <row r="63" ht="15.75" customHeight="1">
      <c r="C63" s="98"/>
      <c r="D63" s="38"/>
      <c r="E63" s="38"/>
      <c r="F63" s="98"/>
      <c r="G63" s="39"/>
      <c r="H63" s="39"/>
      <c r="I63" s="39"/>
      <c r="J63" s="39"/>
      <c r="K63" s="99"/>
      <c r="L63" s="99"/>
      <c r="M63" s="99"/>
      <c r="N63" s="39"/>
      <c r="O63" s="39"/>
      <c r="P63" s="39"/>
      <c r="Q63" s="39"/>
      <c r="R63" s="39"/>
      <c r="S63" s="39"/>
      <c r="T63" s="39"/>
      <c r="AR63" s="61"/>
    </row>
    <row r="64" ht="15.75" customHeight="1">
      <c r="C64" s="98"/>
      <c r="D64" s="38"/>
      <c r="E64" s="38"/>
      <c r="F64" s="98"/>
      <c r="G64" s="39"/>
      <c r="H64" s="39"/>
      <c r="I64" s="39"/>
      <c r="J64" s="39"/>
      <c r="K64" s="99"/>
      <c r="L64" s="99"/>
      <c r="M64" s="99"/>
      <c r="N64" s="39"/>
      <c r="O64" s="39"/>
      <c r="P64" s="39"/>
      <c r="Q64" s="39"/>
      <c r="R64" s="39"/>
      <c r="S64" s="39"/>
      <c r="T64" s="39"/>
      <c r="AR64" s="61"/>
    </row>
    <row r="65" ht="15.75" customHeight="1">
      <c r="C65" s="98"/>
      <c r="D65" s="38"/>
      <c r="E65" s="38"/>
      <c r="F65" s="98"/>
      <c r="G65" s="39"/>
      <c r="H65" s="39"/>
      <c r="I65" s="39"/>
      <c r="J65" s="39"/>
      <c r="K65" s="99"/>
      <c r="L65" s="99"/>
      <c r="M65" s="99"/>
      <c r="N65" s="39"/>
      <c r="O65" s="39"/>
      <c r="P65" s="39"/>
      <c r="Q65" s="39"/>
      <c r="R65" s="39"/>
      <c r="S65" s="39"/>
      <c r="T65" s="39"/>
      <c r="AR65" s="61"/>
    </row>
    <row r="66" ht="15.75" customHeight="1">
      <c r="C66" s="98"/>
      <c r="D66" s="38"/>
      <c r="E66" s="38"/>
      <c r="F66" s="98"/>
      <c r="G66" s="39"/>
      <c r="H66" s="39"/>
      <c r="I66" s="39"/>
      <c r="J66" s="39"/>
      <c r="K66" s="99"/>
      <c r="L66" s="99"/>
      <c r="M66" s="99"/>
      <c r="N66" s="39"/>
      <c r="O66" s="39"/>
      <c r="P66" s="39"/>
      <c r="Q66" s="39"/>
      <c r="R66" s="39"/>
      <c r="S66" s="39"/>
      <c r="T66" s="39"/>
      <c r="AR66" s="61"/>
    </row>
    <row r="67" ht="15.75" customHeight="1">
      <c r="C67" s="98"/>
      <c r="D67" s="38"/>
      <c r="E67" s="38"/>
      <c r="F67" s="98"/>
      <c r="G67" s="39"/>
      <c r="H67" s="39"/>
      <c r="I67" s="39"/>
      <c r="J67" s="39"/>
      <c r="K67" s="99"/>
      <c r="L67" s="99"/>
      <c r="M67" s="99"/>
      <c r="N67" s="39"/>
      <c r="O67" s="39"/>
      <c r="P67" s="39"/>
      <c r="Q67" s="39"/>
      <c r="R67" s="39"/>
      <c r="S67" s="39"/>
      <c r="T67" s="39"/>
      <c r="AR67" s="61"/>
    </row>
    <row r="68" ht="15.75" customHeight="1">
      <c r="C68" s="98"/>
      <c r="D68" s="38"/>
      <c r="E68" s="38"/>
      <c r="F68" s="98"/>
      <c r="G68" s="39"/>
      <c r="H68" s="39"/>
      <c r="I68" s="39"/>
      <c r="J68" s="39"/>
      <c r="K68" s="99"/>
      <c r="L68" s="99"/>
      <c r="M68" s="99"/>
      <c r="N68" s="39"/>
      <c r="O68" s="39"/>
      <c r="P68" s="39"/>
      <c r="Q68" s="39"/>
      <c r="R68" s="39"/>
      <c r="S68" s="39"/>
      <c r="T68" s="39"/>
      <c r="AR68" s="61"/>
    </row>
    <row r="69" ht="15.75" customHeight="1">
      <c r="C69" s="98"/>
      <c r="D69" s="38"/>
      <c r="E69" s="38"/>
      <c r="F69" s="98"/>
      <c r="G69" s="39"/>
      <c r="H69" s="39"/>
      <c r="I69" s="39"/>
      <c r="J69" s="39"/>
      <c r="K69" s="99"/>
      <c r="L69" s="99"/>
      <c r="M69" s="99"/>
      <c r="N69" s="39"/>
      <c r="O69" s="39"/>
      <c r="P69" s="39"/>
      <c r="Q69" s="39"/>
      <c r="R69" s="39"/>
      <c r="S69" s="39"/>
      <c r="T69" s="39"/>
      <c r="AR69" s="61"/>
    </row>
    <row r="70" ht="15.75" customHeight="1">
      <c r="C70" s="98"/>
      <c r="D70" s="38"/>
      <c r="E70" s="38"/>
      <c r="F70" s="98"/>
      <c r="G70" s="39"/>
      <c r="H70" s="39"/>
      <c r="I70" s="39"/>
      <c r="J70" s="39"/>
      <c r="K70" s="99"/>
      <c r="L70" s="99"/>
      <c r="M70" s="99"/>
      <c r="N70" s="39"/>
      <c r="O70" s="39"/>
      <c r="P70" s="39"/>
      <c r="Q70" s="39"/>
      <c r="R70" s="39"/>
      <c r="S70" s="39"/>
      <c r="T70" s="39"/>
      <c r="AR70" s="61"/>
    </row>
    <row r="71" ht="15.75" customHeight="1">
      <c r="C71" s="98"/>
      <c r="D71" s="38"/>
      <c r="E71" s="38"/>
      <c r="F71" s="98"/>
      <c r="G71" s="39"/>
      <c r="H71" s="39"/>
      <c r="I71" s="39"/>
      <c r="J71" s="39"/>
      <c r="K71" s="99"/>
      <c r="L71" s="99"/>
      <c r="M71" s="99"/>
      <c r="N71" s="39"/>
      <c r="O71" s="39"/>
      <c r="P71" s="39"/>
      <c r="Q71" s="39"/>
      <c r="R71" s="39"/>
      <c r="S71" s="39"/>
      <c r="T71" s="39"/>
      <c r="AR71" s="61"/>
    </row>
    <row r="72" ht="15.75" customHeight="1">
      <c r="C72" s="98"/>
      <c r="D72" s="38"/>
      <c r="E72" s="38"/>
      <c r="F72" s="98"/>
      <c r="G72" s="39"/>
      <c r="H72" s="39"/>
      <c r="I72" s="39"/>
      <c r="J72" s="39"/>
      <c r="K72" s="99"/>
      <c r="L72" s="99"/>
      <c r="M72" s="99"/>
      <c r="N72" s="39"/>
      <c r="O72" s="39"/>
      <c r="P72" s="39"/>
      <c r="Q72" s="39"/>
      <c r="R72" s="39"/>
      <c r="S72" s="39"/>
      <c r="T72" s="39"/>
      <c r="AR72" s="61"/>
    </row>
    <row r="73" ht="15.75" customHeight="1">
      <c r="C73" s="98"/>
      <c r="D73" s="38"/>
      <c r="E73" s="38"/>
      <c r="F73" s="98"/>
      <c r="G73" s="39"/>
      <c r="H73" s="39"/>
      <c r="I73" s="39"/>
      <c r="J73" s="39"/>
      <c r="K73" s="99"/>
      <c r="L73" s="99"/>
      <c r="M73" s="99"/>
      <c r="N73" s="39"/>
      <c r="O73" s="39"/>
      <c r="P73" s="39"/>
      <c r="Q73" s="39"/>
      <c r="R73" s="39"/>
      <c r="S73" s="39"/>
      <c r="T73" s="39"/>
      <c r="AR73" s="61"/>
    </row>
    <row r="74" ht="15.75" customHeight="1">
      <c r="C74" s="98"/>
      <c r="D74" s="38"/>
      <c r="E74" s="38"/>
      <c r="F74" s="98"/>
      <c r="G74" s="39"/>
      <c r="H74" s="39"/>
      <c r="I74" s="39"/>
      <c r="J74" s="39"/>
      <c r="K74" s="99"/>
      <c r="L74" s="99"/>
      <c r="M74" s="99"/>
      <c r="N74" s="39"/>
      <c r="O74" s="39"/>
      <c r="P74" s="39"/>
      <c r="Q74" s="39"/>
      <c r="R74" s="39"/>
      <c r="S74" s="39"/>
      <c r="T74" s="39"/>
      <c r="AR74" s="61"/>
    </row>
    <row r="75" ht="15.75" customHeight="1">
      <c r="C75" s="98"/>
      <c r="D75" s="38"/>
      <c r="E75" s="38"/>
      <c r="F75" s="98"/>
      <c r="G75" s="39"/>
      <c r="H75" s="39"/>
      <c r="I75" s="39"/>
      <c r="J75" s="39"/>
      <c r="K75" s="99"/>
      <c r="L75" s="99"/>
      <c r="M75" s="99"/>
      <c r="N75" s="39"/>
      <c r="O75" s="39"/>
      <c r="P75" s="39"/>
      <c r="Q75" s="39"/>
      <c r="R75" s="39"/>
      <c r="S75" s="39"/>
      <c r="T75" s="39"/>
      <c r="AR75" s="61"/>
    </row>
    <row r="76" ht="15.75" customHeight="1">
      <c r="C76" s="98"/>
      <c r="D76" s="38"/>
      <c r="E76" s="38"/>
      <c r="F76" s="98"/>
      <c r="G76" s="39"/>
      <c r="H76" s="39"/>
      <c r="I76" s="39"/>
      <c r="J76" s="39"/>
      <c r="K76" s="99"/>
      <c r="L76" s="99"/>
      <c r="M76" s="99"/>
      <c r="N76" s="39"/>
      <c r="O76" s="39"/>
      <c r="P76" s="39"/>
      <c r="Q76" s="39"/>
      <c r="R76" s="39"/>
      <c r="S76" s="39"/>
      <c r="T76" s="39"/>
      <c r="AR76" s="61"/>
    </row>
    <row r="77" ht="15.75" customHeight="1">
      <c r="C77" s="98"/>
      <c r="D77" s="38"/>
      <c r="E77" s="38"/>
      <c r="F77" s="98"/>
      <c r="G77" s="39"/>
      <c r="H77" s="39"/>
      <c r="I77" s="39"/>
      <c r="J77" s="39"/>
      <c r="K77" s="99"/>
      <c r="L77" s="99"/>
      <c r="M77" s="99"/>
      <c r="N77" s="39"/>
      <c r="O77" s="39"/>
      <c r="P77" s="39"/>
      <c r="Q77" s="39"/>
      <c r="R77" s="39"/>
      <c r="S77" s="39"/>
      <c r="T77" s="39"/>
      <c r="AR77" s="61"/>
    </row>
    <row r="78" ht="15.75" customHeight="1">
      <c r="C78" s="98"/>
      <c r="D78" s="38"/>
      <c r="E78" s="38"/>
      <c r="F78" s="98"/>
      <c r="G78" s="39"/>
      <c r="H78" s="39"/>
      <c r="I78" s="39"/>
      <c r="J78" s="39"/>
      <c r="K78" s="99"/>
      <c r="L78" s="99"/>
      <c r="M78" s="99"/>
      <c r="N78" s="39"/>
      <c r="O78" s="39"/>
      <c r="P78" s="39"/>
      <c r="Q78" s="39"/>
      <c r="R78" s="39"/>
      <c r="S78" s="39"/>
      <c r="T78" s="39"/>
      <c r="AR78" s="61"/>
    </row>
    <row r="79" ht="15.75" customHeight="1">
      <c r="C79" s="98"/>
      <c r="D79" s="38"/>
      <c r="E79" s="38"/>
      <c r="F79" s="98"/>
      <c r="G79" s="39"/>
      <c r="H79" s="39"/>
      <c r="I79" s="39"/>
      <c r="J79" s="39"/>
      <c r="K79" s="99"/>
      <c r="L79" s="99"/>
      <c r="M79" s="99"/>
      <c r="N79" s="39"/>
      <c r="O79" s="39"/>
      <c r="P79" s="39"/>
      <c r="Q79" s="39"/>
      <c r="R79" s="39"/>
      <c r="S79" s="39"/>
      <c r="T79" s="39"/>
      <c r="AR79" s="61"/>
    </row>
    <row r="80" ht="15.75" customHeight="1">
      <c r="C80" s="98"/>
      <c r="D80" s="38"/>
      <c r="E80" s="38"/>
      <c r="F80" s="98"/>
      <c r="G80" s="39"/>
      <c r="H80" s="39"/>
      <c r="I80" s="39"/>
      <c r="J80" s="39"/>
      <c r="K80" s="99"/>
      <c r="L80" s="99"/>
      <c r="M80" s="99"/>
      <c r="N80" s="39"/>
      <c r="O80" s="39"/>
      <c r="P80" s="39"/>
      <c r="Q80" s="39"/>
      <c r="R80" s="39"/>
      <c r="S80" s="39"/>
      <c r="T80" s="39"/>
      <c r="AR80" s="61"/>
    </row>
    <row r="81" ht="15.75" customHeight="1">
      <c r="C81" s="98"/>
      <c r="D81" s="38"/>
      <c r="E81" s="38"/>
      <c r="F81" s="98"/>
      <c r="G81" s="39"/>
      <c r="H81" s="39"/>
      <c r="I81" s="39"/>
      <c r="J81" s="39"/>
      <c r="K81" s="99"/>
      <c r="L81" s="99"/>
      <c r="M81" s="99"/>
      <c r="N81" s="39"/>
      <c r="O81" s="39"/>
      <c r="P81" s="39"/>
      <c r="Q81" s="39"/>
      <c r="R81" s="39"/>
      <c r="S81" s="39"/>
      <c r="T81" s="39"/>
      <c r="AR81" s="61"/>
    </row>
    <row r="82" ht="15.75" customHeight="1">
      <c r="C82" s="98"/>
      <c r="D82" s="38"/>
      <c r="E82" s="38"/>
      <c r="F82" s="98"/>
      <c r="G82" s="39"/>
      <c r="H82" s="39"/>
      <c r="I82" s="39"/>
      <c r="J82" s="39"/>
      <c r="K82" s="99"/>
      <c r="L82" s="99"/>
      <c r="M82" s="99"/>
      <c r="N82" s="39"/>
      <c r="O82" s="39"/>
      <c r="P82" s="39"/>
      <c r="Q82" s="39"/>
      <c r="R82" s="39"/>
      <c r="S82" s="39"/>
      <c r="T82" s="39"/>
      <c r="AR82" s="61"/>
    </row>
    <row r="83" ht="15.75" customHeight="1">
      <c r="C83" s="98"/>
      <c r="D83" s="38"/>
      <c r="E83" s="38"/>
      <c r="F83" s="98"/>
      <c r="G83" s="39"/>
      <c r="H83" s="39"/>
      <c r="I83" s="39"/>
      <c r="J83" s="39"/>
      <c r="K83" s="99"/>
      <c r="L83" s="99"/>
      <c r="M83" s="99"/>
      <c r="N83" s="39"/>
      <c r="O83" s="39"/>
      <c r="P83" s="39"/>
      <c r="Q83" s="39"/>
      <c r="R83" s="39"/>
      <c r="S83" s="39"/>
      <c r="T83" s="39"/>
      <c r="AR83" s="61"/>
    </row>
    <row r="84" ht="15.75" customHeight="1">
      <c r="C84" s="98"/>
      <c r="D84" s="38"/>
      <c r="E84" s="38"/>
      <c r="F84" s="98"/>
      <c r="G84" s="39"/>
      <c r="H84" s="39"/>
      <c r="I84" s="39"/>
      <c r="J84" s="39"/>
      <c r="K84" s="99"/>
      <c r="L84" s="99"/>
      <c r="M84" s="99"/>
      <c r="N84" s="39"/>
      <c r="O84" s="39"/>
      <c r="P84" s="39"/>
      <c r="Q84" s="39"/>
      <c r="R84" s="39"/>
      <c r="S84" s="39"/>
      <c r="T84" s="39"/>
      <c r="AR84" s="61"/>
    </row>
    <row r="85" ht="15.75" customHeight="1">
      <c r="C85" s="98"/>
      <c r="D85" s="38"/>
      <c r="E85" s="38"/>
      <c r="F85" s="98"/>
      <c r="G85" s="39"/>
      <c r="H85" s="39"/>
      <c r="I85" s="39"/>
      <c r="J85" s="39"/>
      <c r="K85" s="99"/>
      <c r="L85" s="99"/>
      <c r="M85" s="99"/>
      <c r="N85" s="39"/>
      <c r="O85" s="39"/>
      <c r="P85" s="39"/>
      <c r="Q85" s="39"/>
      <c r="R85" s="39"/>
      <c r="S85" s="39"/>
      <c r="T85" s="39"/>
      <c r="AR85" s="61"/>
    </row>
    <row r="86" ht="15.75" customHeight="1">
      <c r="C86" s="98"/>
      <c r="D86" s="38"/>
      <c r="E86" s="38"/>
      <c r="F86" s="98"/>
      <c r="G86" s="39"/>
      <c r="H86" s="39"/>
      <c r="I86" s="39"/>
      <c r="J86" s="39"/>
      <c r="K86" s="99"/>
      <c r="L86" s="99"/>
      <c r="M86" s="99"/>
      <c r="N86" s="39"/>
      <c r="O86" s="39"/>
      <c r="P86" s="39"/>
      <c r="Q86" s="39"/>
      <c r="R86" s="39"/>
      <c r="S86" s="39"/>
      <c r="T86" s="39"/>
      <c r="AR86" s="61"/>
    </row>
    <row r="87" ht="15.75" customHeight="1">
      <c r="C87" s="98"/>
      <c r="D87" s="38"/>
      <c r="E87" s="38"/>
      <c r="F87" s="98"/>
      <c r="G87" s="39"/>
      <c r="H87" s="39"/>
      <c r="I87" s="39"/>
      <c r="J87" s="39"/>
      <c r="K87" s="99"/>
      <c r="L87" s="99"/>
      <c r="M87" s="99"/>
      <c r="N87" s="39"/>
      <c r="O87" s="39"/>
      <c r="P87" s="39"/>
      <c r="Q87" s="39"/>
      <c r="R87" s="39"/>
      <c r="S87" s="39"/>
      <c r="T87" s="39"/>
      <c r="AR87" s="61"/>
    </row>
    <row r="88" ht="15.75" customHeight="1">
      <c r="C88" s="98"/>
      <c r="D88" s="38"/>
      <c r="E88" s="38"/>
      <c r="F88" s="98"/>
      <c r="G88" s="39"/>
      <c r="H88" s="39"/>
      <c r="I88" s="39"/>
      <c r="J88" s="39"/>
      <c r="K88" s="99"/>
      <c r="L88" s="99"/>
      <c r="M88" s="99"/>
      <c r="N88" s="39"/>
      <c r="O88" s="39"/>
      <c r="P88" s="39"/>
      <c r="Q88" s="39"/>
      <c r="R88" s="39"/>
      <c r="S88" s="39"/>
      <c r="T88" s="39"/>
      <c r="AR88" s="61"/>
    </row>
    <row r="89" ht="15.75" customHeight="1">
      <c r="C89" s="98"/>
      <c r="D89" s="38"/>
      <c r="E89" s="38"/>
      <c r="F89" s="98"/>
      <c r="G89" s="39"/>
      <c r="H89" s="39"/>
      <c r="I89" s="39"/>
      <c r="J89" s="39"/>
      <c r="K89" s="99"/>
      <c r="L89" s="99"/>
      <c r="M89" s="99"/>
      <c r="N89" s="39"/>
      <c r="O89" s="39"/>
      <c r="P89" s="39"/>
      <c r="Q89" s="39"/>
      <c r="R89" s="39"/>
      <c r="S89" s="39"/>
      <c r="T89" s="39"/>
      <c r="AR89" s="61"/>
    </row>
    <row r="90" ht="15.75" customHeight="1">
      <c r="C90" s="98"/>
      <c r="D90" s="38"/>
      <c r="E90" s="38"/>
      <c r="F90" s="98"/>
      <c r="G90" s="39"/>
      <c r="H90" s="39"/>
      <c r="I90" s="39"/>
      <c r="J90" s="39"/>
      <c r="K90" s="99"/>
      <c r="L90" s="99"/>
      <c r="M90" s="99"/>
      <c r="N90" s="39"/>
      <c r="O90" s="39"/>
      <c r="P90" s="39"/>
      <c r="Q90" s="39"/>
      <c r="R90" s="39"/>
      <c r="S90" s="39"/>
      <c r="T90" s="39"/>
      <c r="AR90" s="61"/>
    </row>
    <row r="91" ht="15.75" customHeight="1">
      <c r="C91" s="98"/>
      <c r="D91" s="38"/>
      <c r="E91" s="38"/>
      <c r="F91" s="98"/>
      <c r="G91" s="39"/>
      <c r="H91" s="39"/>
      <c r="I91" s="39"/>
      <c r="J91" s="39"/>
      <c r="K91" s="99"/>
      <c r="L91" s="99"/>
      <c r="M91" s="99"/>
      <c r="N91" s="39"/>
      <c r="O91" s="39"/>
      <c r="P91" s="39"/>
      <c r="Q91" s="39"/>
      <c r="R91" s="39"/>
      <c r="S91" s="39"/>
      <c r="T91" s="39"/>
      <c r="AR91" s="61"/>
    </row>
    <row r="92" ht="15.75" customHeight="1">
      <c r="C92" s="98"/>
      <c r="D92" s="38"/>
      <c r="E92" s="38"/>
      <c r="F92" s="98"/>
      <c r="G92" s="39"/>
      <c r="H92" s="39"/>
      <c r="I92" s="39"/>
      <c r="J92" s="39"/>
      <c r="K92" s="99"/>
      <c r="L92" s="99"/>
      <c r="M92" s="99"/>
      <c r="N92" s="39"/>
      <c r="O92" s="39"/>
      <c r="P92" s="39"/>
      <c r="Q92" s="39"/>
      <c r="R92" s="39"/>
      <c r="S92" s="39"/>
      <c r="T92" s="39"/>
      <c r="AR92" s="61"/>
    </row>
    <row r="93" ht="15.75" customHeight="1">
      <c r="C93" s="98"/>
      <c r="D93" s="38"/>
      <c r="E93" s="38"/>
      <c r="F93" s="98"/>
      <c r="G93" s="39"/>
      <c r="H93" s="39"/>
      <c r="I93" s="39"/>
      <c r="J93" s="39"/>
      <c r="K93" s="99"/>
      <c r="L93" s="99"/>
      <c r="M93" s="99"/>
      <c r="N93" s="39"/>
      <c r="O93" s="39"/>
      <c r="P93" s="39"/>
      <c r="Q93" s="39"/>
      <c r="R93" s="39"/>
      <c r="S93" s="39"/>
      <c r="T93" s="39"/>
      <c r="AR93" s="61"/>
    </row>
    <row r="94" ht="15.75" customHeight="1">
      <c r="C94" s="98"/>
      <c r="D94" s="38"/>
      <c r="E94" s="38"/>
      <c r="F94" s="98"/>
      <c r="G94" s="39"/>
      <c r="H94" s="39"/>
      <c r="I94" s="39"/>
      <c r="J94" s="39"/>
      <c r="K94" s="99"/>
      <c r="L94" s="99"/>
      <c r="M94" s="99"/>
      <c r="N94" s="39"/>
      <c r="O94" s="39"/>
      <c r="P94" s="39"/>
      <c r="Q94" s="39"/>
      <c r="R94" s="39"/>
      <c r="S94" s="39"/>
      <c r="T94" s="39"/>
      <c r="AR94" s="61"/>
    </row>
    <row r="95" ht="15.75" customHeight="1">
      <c r="C95" s="98"/>
      <c r="D95" s="38"/>
      <c r="E95" s="38"/>
      <c r="F95" s="98"/>
      <c r="G95" s="39"/>
      <c r="H95" s="39"/>
      <c r="I95" s="39"/>
      <c r="J95" s="39"/>
      <c r="K95" s="99"/>
      <c r="L95" s="99"/>
      <c r="M95" s="99"/>
      <c r="N95" s="39"/>
      <c r="O95" s="39"/>
      <c r="P95" s="39"/>
      <c r="Q95" s="39"/>
      <c r="R95" s="39"/>
      <c r="S95" s="39"/>
      <c r="T95" s="39"/>
      <c r="AR95" s="61"/>
    </row>
    <row r="96" ht="15.75" customHeight="1">
      <c r="C96" s="98"/>
      <c r="D96" s="38"/>
      <c r="E96" s="38"/>
      <c r="F96" s="98"/>
      <c r="G96" s="39"/>
      <c r="H96" s="39"/>
      <c r="I96" s="39"/>
      <c r="J96" s="39"/>
      <c r="K96" s="99"/>
      <c r="L96" s="99"/>
      <c r="M96" s="99"/>
      <c r="N96" s="39"/>
      <c r="O96" s="39"/>
      <c r="P96" s="39"/>
      <c r="Q96" s="39"/>
      <c r="R96" s="39"/>
      <c r="S96" s="39"/>
      <c r="T96" s="39"/>
      <c r="AR96" s="61"/>
    </row>
    <row r="97" ht="15.75" customHeight="1">
      <c r="C97" s="98"/>
      <c r="D97" s="38"/>
      <c r="E97" s="38"/>
      <c r="F97" s="98"/>
      <c r="G97" s="39"/>
      <c r="H97" s="39"/>
      <c r="I97" s="39"/>
      <c r="J97" s="39"/>
      <c r="K97" s="99"/>
      <c r="L97" s="99"/>
      <c r="M97" s="99"/>
      <c r="N97" s="39"/>
      <c r="O97" s="39"/>
      <c r="P97" s="39"/>
      <c r="Q97" s="39"/>
      <c r="R97" s="39"/>
      <c r="S97" s="39"/>
      <c r="T97" s="39"/>
      <c r="AR97" s="61"/>
    </row>
    <row r="98" ht="15.75" customHeight="1">
      <c r="C98" s="98"/>
      <c r="D98" s="38"/>
      <c r="E98" s="38"/>
      <c r="F98" s="98"/>
      <c r="G98" s="39"/>
      <c r="H98" s="39"/>
      <c r="I98" s="39"/>
      <c r="J98" s="39"/>
      <c r="K98" s="99"/>
      <c r="L98" s="99"/>
      <c r="M98" s="99"/>
      <c r="N98" s="39"/>
      <c r="O98" s="39"/>
      <c r="P98" s="39"/>
      <c r="Q98" s="39"/>
      <c r="R98" s="39"/>
      <c r="S98" s="39"/>
      <c r="T98" s="39"/>
      <c r="AR98" s="61"/>
    </row>
    <row r="99" ht="15.75" customHeight="1">
      <c r="C99" s="98"/>
      <c r="D99" s="38"/>
      <c r="E99" s="38"/>
      <c r="F99" s="98"/>
      <c r="G99" s="39"/>
      <c r="H99" s="39"/>
      <c r="I99" s="39"/>
      <c r="J99" s="39"/>
      <c r="K99" s="99"/>
      <c r="L99" s="99"/>
      <c r="M99" s="99"/>
      <c r="N99" s="39"/>
      <c r="O99" s="39"/>
      <c r="P99" s="39"/>
      <c r="Q99" s="39"/>
      <c r="R99" s="39"/>
      <c r="S99" s="39"/>
      <c r="T99" s="39"/>
      <c r="AR99" s="61"/>
    </row>
    <row r="100" ht="15.75" customHeight="1">
      <c r="C100" s="98"/>
      <c r="D100" s="38"/>
      <c r="E100" s="38"/>
      <c r="F100" s="98"/>
      <c r="G100" s="39"/>
      <c r="H100" s="39"/>
      <c r="I100" s="39"/>
      <c r="J100" s="39"/>
      <c r="K100" s="99"/>
      <c r="L100" s="99"/>
      <c r="M100" s="99"/>
      <c r="N100" s="39"/>
      <c r="O100" s="39"/>
      <c r="P100" s="39"/>
      <c r="Q100" s="39"/>
      <c r="R100" s="39"/>
      <c r="S100" s="39"/>
      <c r="T100" s="39"/>
      <c r="AR100" s="61"/>
    </row>
    <row r="101" ht="15.75" customHeight="1">
      <c r="C101" s="98"/>
      <c r="D101" s="38"/>
      <c r="E101" s="38"/>
      <c r="F101" s="98"/>
      <c r="G101" s="39"/>
      <c r="H101" s="39"/>
      <c r="I101" s="39"/>
      <c r="J101" s="39"/>
      <c r="K101" s="99"/>
      <c r="L101" s="99"/>
      <c r="M101" s="99"/>
      <c r="N101" s="39"/>
      <c r="O101" s="39"/>
      <c r="P101" s="39"/>
      <c r="Q101" s="39"/>
      <c r="R101" s="39"/>
      <c r="S101" s="39"/>
      <c r="T101" s="39"/>
      <c r="AR101" s="61"/>
    </row>
    <row r="102" ht="15.75" customHeight="1">
      <c r="C102" s="98"/>
      <c r="D102" s="38"/>
      <c r="E102" s="38"/>
      <c r="F102" s="98"/>
      <c r="G102" s="39"/>
      <c r="H102" s="39"/>
      <c r="I102" s="39"/>
      <c r="J102" s="39"/>
      <c r="K102" s="99"/>
      <c r="L102" s="99"/>
      <c r="M102" s="99"/>
      <c r="N102" s="39"/>
      <c r="O102" s="39"/>
      <c r="P102" s="39"/>
      <c r="Q102" s="39"/>
      <c r="R102" s="39"/>
      <c r="S102" s="39"/>
      <c r="T102" s="39"/>
      <c r="AR102" s="61"/>
    </row>
    <row r="103" ht="15.75" customHeight="1">
      <c r="C103" s="98"/>
      <c r="D103" s="38"/>
      <c r="E103" s="38"/>
      <c r="F103" s="98"/>
      <c r="G103" s="39"/>
      <c r="H103" s="39"/>
      <c r="I103" s="39"/>
      <c r="J103" s="39"/>
      <c r="K103" s="99"/>
      <c r="L103" s="99"/>
      <c r="M103" s="99"/>
      <c r="N103" s="39"/>
      <c r="O103" s="39"/>
      <c r="P103" s="39"/>
      <c r="Q103" s="39"/>
      <c r="R103" s="39"/>
      <c r="S103" s="39"/>
      <c r="T103" s="39"/>
      <c r="AR103" s="61"/>
    </row>
    <row r="104" ht="15.75" customHeight="1">
      <c r="C104" s="98"/>
      <c r="D104" s="38"/>
      <c r="E104" s="38"/>
      <c r="F104" s="98"/>
      <c r="G104" s="39"/>
      <c r="H104" s="39"/>
      <c r="I104" s="39"/>
      <c r="J104" s="39"/>
      <c r="K104" s="99"/>
      <c r="L104" s="99"/>
      <c r="M104" s="99"/>
      <c r="N104" s="39"/>
      <c r="O104" s="39"/>
      <c r="P104" s="39"/>
      <c r="Q104" s="39"/>
      <c r="R104" s="39"/>
      <c r="S104" s="39"/>
      <c r="T104" s="39"/>
      <c r="AR104" s="61"/>
    </row>
    <row r="105" ht="15.75" customHeight="1">
      <c r="C105" s="98"/>
      <c r="D105" s="38"/>
      <c r="E105" s="38"/>
      <c r="F105" s="98"/>
      <c r="G105" s="39"/>
      <c r="H105" s="39"/>
      <c r="I105" s="39"/>
      <c r="J105" s="39"/>
      <c r="K105" s="99"/>
      <c r="L105" s="99"/>
      <c r="M105" s="99"/>
      <c r="N105" s="39"/>
      <c r="O105" s="39"/>
      <c r="P105" s="39"/>
      <c r="Q105" s="39"/>
      <c r="R105" s="39"/>
      <c r="S105" s="39"/>
      <c r="T105" s="39"/>
      <c r="AR105" s="61"/>
    </row>
    <row r="106" ht="15.75" customHeight="1">
      <c r="C106" s="98"/>
      <c r="D106" s="38"/>
      <c r="E106" s="38"/>
      <c r="F106" s="98"/>
      <c r="G106" s="39"/>
      <c r="H106" s="39"/>
      <c r="I106" s="39"/>
      <c r="J106" s="39"/>
      <c r="K106" s="99"/>
      <c r="L106" s="99"/>
      <c r="M106" s="99"/>
      <c r="N106" s="39"/>
      <c r="O106" s="39"/>
      <c r="P106" s="39"/>
      <c r="Q106" s="39"/>
      <c r="R106" s="39"/>
      <c r="S106" s="39"/>
      <c r="T106" s="39"/>
      <c r="AR106" s="61"/>
    </row>
    <row r="107" ht="15.75" customHeight="1">
      <c r="C107" s="98"/>
      <c r="D107" s="38"/>
      <c r="E107" s="38"/>
      <c r="F107" s="98"/>
      <c r="G107" s="39"/>
      <c r="H107" s="39"/>
      <c r="I107" s="39"/>
      <c r="J107" s="39"/>
      <c r="K107" s="99"/>
      <c r="L107" s="99"/>
      <c r="M107" s="99"/>
      <c r="N107" s="39"/>
      <c r="O107" s="39"/>
      <c r="P107" s="39"/>
      <c r="Q107" s="39"/>
      <c r="R107" s="39"/>
      <c r="S107" s="39"/>
      <c r="T107" s="39"/>
      <c r="AR107" s="61"/>
    </row>
    <row r="108" ht="15.75" customHeight="1">
      <c r="C108" s="98"/>
      <c r="D108" s="38"/>
      <c r="E108" s="38"/>
      <c r="F108" s="98"/>
      <c r="G108" s="39"/>
      <c r="H108" s="39"/>
      <c r="I108" s="39"/>
      <c r="J108" s="39"/>
      <c r="K108" s="99"/>
      <c r="L108" s="99"/>
      <c r="M108" s="99"/>
      <c r="N108" s="39"/>
      <c r="O108" s="39"/>
      <c r="P108" s="39"/>
      <c r="Q108" s="39"/>
      <c r="R108" s="39"/>
      <c r="S108" s="39"/>
      <c r="T108" s="39"/>
      <c r="AR108" s="61"/>
    </row>
    <row r="109" ht="15.75" customHeight="1">
      <c r="C109" s="98"/>
      <c r="D109" s="38"/>
      <c r="E109" s="38"/>
      <c r="F109" s="98"/>
      <c r="G109" s="39"/>
      <c r="H109" s="39"/>
      <c r="I109" s="39"/>
      <c r="J109" s="39"/>
      <c r="K109" s="99"/>
      <c r="L109" s="99"/>
      <c r="M109" s="99"/>
      <c r="N109" s="39"/>
      <c r="O109" s="39"/>
      <c r="P109" s="39"/>
      <c r="Q109" s="39"/>
      <c r="R109" s="39"/>
      <c r="S109" s="39"/>
      <c r="T109" s="39"/>
      <c r="AR109" s="61"/>
    </row>
    <row r="110" ht="15.75" customHeight="1">
      <c r="C110" s="98"/>
      <c r="D110" s="38"/>
      <c r="E110" s="38"/>
      <c r="F110" s="98"/>
      <c r="G110" s="39"/>
      <c r="H110" s="39"/>
      <c r="I110" s="39"/>
      <c r="J110" s="39"/>
      <c r="K110" s="99"/>
      <c r="L110" s="99"/>
      <c r="M110" s="99"/>
      <c r="N110" s="39"/>
      <c r="O110" s="39"/>
      <c r="P110" s="39"/>
      <c r="Q110" s="39"/>
      <c r="R110" s="39"/>
      <c r="S110" s="39"/>
      <c r="T110" s="39"/>
      <c r="AR110" s="61"/>
    </row>
    <row r="111" ht="15.75" customHeight="1">
      <c r="C111" s="98"/>
      <c r="D111" s="38"/>
      <c r="E111" s="38"/>
      <c r="F111" s="98"/>
      <c r="G111" s="39"/>
      <c r="H111" s="39"/>
      <c r="I111" s="39"/>
      <c r="J111" s="39"/>
      <c r="K111" s="99"/>
      <c r="L111" s="99"/>
      <c r="M111" s="99"/>
      <c r="N111" s="39"/>
      <c r="O111" s="39"/>
      <c r="P111" s="39"/>
      <c r="Q111" s="39"/>
      <c r="R111" s="39"/>
      <c r="S111" s="39"/>
      <c r="T111" s="39"/>
      <c r="AR111" s="61"/>
    </row>
    <row r="112" ht="15.75" customHeight="1">
      <c r="C112" s="98"/>
      <c r="D112" s="38"/>
      <c r="E112" s="38"/>
      <c r="F112" s="98"/>
      <c r="G112" s="39"/>
      <c r="H112" s="39"/>
      <c r="I112" s="39"/>
      <c r="J112" s="39"/>
      <c r="K112" s="99"/>
      <c r="L112" s="99"/>
      <c r="M112" s="99"/>
      <c r="N112" s="39"/>
      <c r="O112" s="39"/>
      <c r="P112" s="39"/>
      <c r="Q112" s="39"/>
      <c r="R112" s="39"/>
      <c r="S112" s="39"/>
      <c r="T112" s="39"/>
      <c r="AR112" s="61"/>
    </row>
    <row r="113" ht="15.75" customHeight="1">
      <c r="C113" s="98"/>
      <c r="D113" s="38"/>
      <c r="E113" s="38"/>
      <c r="F113" s="98"/>
      <c r="G113" s="39"/>
      <c r="H113" s="39"/>
      <c r="I113" s="39"/>
      <c r="J113" s="39"/>
      <c r="K113" s="99"/>
      <c r="L113" s="99"/>
      <c r="M113" s="99"/>
      <c r="N113" s="39"/>
      <c r="O113" s="39"/>
      <c r="P113" s="39"/>
      <c r="Q113" s="39"/>
      <c r="R113" s="39"/>
      <c r="S113" s="39"/>
      <c r="T113" s="39"/>
      <c r="AR113" s="61"/>
    </row>
    <row r="114" ht="15.75" customHeight="1">
      <c r="C114" s="98"/>
      <c r="D114" s="38"/>
      <c r="E114" s="38"/>
      <c r="F114" s="98"/>
      <c r="G114" s="39"/>
      <c r="H114" s="39"/>
      <c r="I114" s="39"/>
      <c r="J114" s="39"/>
      <c r="K114" s="99"/>
      <c r="L114" s="99"/>
      <c r="M114" s="99"/>
      <c r="N114" s="39"/>
      <c r="O114" s="39"/>
      <c r="P114" s="39"/>
      <c r="Q114" s="39"/>
      <c r="R114" s="39"/>
      <c r="S114" s="39"/>
      <c r="T114" s="39"/>
      <c r="AR114" s="61"/>
    </row>
    <row r="115" ht="15.75" customHeight="1">
      <c r="C115" s="98"/>
      <c r="D115" s="38"/>
      <c r="E115" s="38"/>
      <c r="F115" s="98"/>
      <c r="G115" s="39"/>
      <c r="H115" s="39"/>
      <c r="I115" s="39"/>
      <c r="J115" s="39"/>
      <c r="K115" s="99"/>
      <c r="L115" s="99"/>
      <c r="M115" s="99"/>
      <c r="N115" s="39"/>
      <c r="O115" s="39"/>
      <c r="P115" s="39"/>
      <c r="Q115" s="39"/>
      <c r="R115" s="39"/>
      <c r="S115" s="39"/>
      <c r="T115" s="39"/>
      <c r="AR115" s="61"/>
    </row>
    <row r="116" ht="15.75" customHeight="1">
      <c r="C116" s="98"/>
      <c r="D116" s="38"/>
      <c r="E116" s="38"/>
      <c r="F116" s="98"/>
      <c r="G116" s="39"/>
      <c r="H116" s="39"/>
      <c r="I116" s="39"/>
      <c r="J116" s="39"/>
      <c r="K116" s="99"/>
      <c r="L116" s="99"/>
      <c r="M116" s="99"/>
      <c r="N116" s="39"/>
      <c r="O116" s="39"/>
      <c r="P116" s="39"/>
      <c r="Q116" s="39"/>
      <c r="R116" s="39"/>
      <c r="S116" s="39"/>
      <c r="T116" s="39"/>
      <c r="AR116" s="61"/>
    </row>
    <row r="117" ht="15.75" customHeight="1">
      <c r="C117" s="98"/>
      <c r="D117" s="38"/>
      <c r="E117" s="38"/>
      <c r="F117" s="98"/>
      <c r="G117" s="39"/>
      <c r="H117" s="39"/>
      <c r="I117" s="39"/>
      <c r="J117" s="39"/>
      <c r="K117" s="99"/>
      <c r="L117" s="99"/>
      <c r="M117" s="99"/>
      <c r="N117" s="39"/>
      <c r="O117" s="39"/>
      <c r="P117" s="39"/>
      <c r="Q117" s="39"/>
      <c r="R117" s="39"/>
      <c r="S117" s="39"/>
      <c r="T117" s="39"/>
      <c r="AR117" s="61"/>
    </row>
    <row r="118" ht="15.75" customHeight="1">
      <c r="C118" s="98"/>
      <c r="D118" s="38"/>
      <c r="E118" s="38"/>
      <c r="F118" s="98"/>
      <c r="G118" s="39"/>
      <c r="H118" s="39"/>
      <c r="I118" s="39"/>
      <c r="J118" s="39"/>
      <c r="K118" s="99"/>
      <c r="L118" s="99"/>
      <c r="M118" s="99"/>
      <c r="N118" s="39"/>
      <c r="O118" s="39"/>
      <c r="P118" s="39"/>
      <c r="Q118" s="39"/>
      <c r="R118" s="39"/>
      <c r="S118" s="39"/>
      <c r="T118" s="39"/>
      <c r="AR118" s="61"/>
    </row>
    <row r="119" ht="15.75" customHeight="1">
      <c r="C119" s="98"/>
      <c r="D119" s="38"/>
      <c r="E119" s="38"/>
      <c r="F119" s="98"/>
      <c r="G119" s="39"/>
      <c r="H119" s="39"/>
      <c r="I119" s="39"/>
      <c r="J119" s="39"/>
      <c r="K119" s="99"/>
      <c r="L119" s="99"/>
      <c r="M119" s="99"/>
      <c r="N119" s="39"/>
      <c r="O119" s="39"/>
      <c r="P119" s="39"/>
      <c r="Q119" s="39"/>
      <c r="R119" s="39"/>
      <c r="S119" s="39"/>
      <c r="T119" s="39"/>
      <c r="AR119" s="61"/>
    </row>
    <row r="120" ht="15.75" customHeight="1">
      <c r="C120" s="98"/>
      <c r="D120" s="38"/>
      <c r="E120" s="38"/>
      <c r="F120" s="98"/>
      <c r="G120" s="39"/>
      <c r="H120" s="39"/>
      <c r="I120" s="39"/>
      <c r="J120" s="39"/>
      <c r="K120" s="99"/>
      <c r="L120" s="99"/>
      <c r="M120" s="99"/>
      <c r="N120" s="39"/>
      <c r="O120" s="39"/>
      <c r="P120" s="39"/>
      <c r="Q120" s="39"/>
      <c r="R120" s="39"/>
      <c r="S120" s="39"/>
      <c r="T120" s="39"/>
      <c r="AR120" s="61"/>
    </row>
    <row r="121" ht="15.75" customHeight="1">
      <c r="C121" s="98"/>
      <c r="D121" s="38"/>
      <c r="E121" s="38"/>
      <c r="F121" s="98"/>
      <c r="G121" s="39"/>
      <c r="H121" s="39"/>
      <c r="I121" s="39"/>
      <c r="J121" s="39"/>
      <c r="K121" s="99"/>
      <c r="L121" s="99"/>
      <c r="M121" s="99"/>
      <c r="N121" s="39"/>
      <c r="O121" s="39"/>
      <c r="P121" s="39"/>
      <c r="Q121" s="39"/>
      <c r="R121" s="39"/>
      <c r="S121" s="39"/>
      <c r="T121" s="39"/>
      <c r="AR121" s="61"/>
    </row>
    <row r="122" ht="15.75" customHeight="1">
      <c r="C122" s="98"/>
      <c r="D122" s="38"/>
      <c r="E122" s="38"/>
      <c r="F122" s="98"/>
      <c r="G122" s="39"/>
      <c r="H122" s="39"/>
      <c r="I122" s="39"/>
      <c r="J122" s="39"/>
      <c r="K122" s="99"/>
      <c r="L122" s="99"/>
      <c r="M122" s="99"/>
      <c r="N122" s="39"/>
      <c r="O122" s="39"/>
      <c r="P122" s="39"/>
      <c r="Q122" s="39"/>
      <c r="R122" s="39"/>
      <c r="S122" s="39"/>
      <c r="T122" s="39"/>
      <c r="AR122" s="61"/>
    </row>
    <row r="123" ht="15.75" customHeight="1">
      <c r="C123" s="98"/>
      <c r="D123" s="38"/>
      <c r="E123" s="38"/>
      <c r="F123" s="98"/>
      <c r="G123" s="39"/>
      <c r="H123" s="39"/>
      <c r="I123" s="39"/>
      <c r="J123" s="39"/>
      <c r="K123" s="99"/>
      <c r="L123" s="99"/>
      <c r="M123" s="99"/>
      <c r="N123" s="39"/>
      <c r="O123" s="39"/>
      <c r="P123" s="39"/>
      <c r="Q123" s="39"/>
      <c r="R123" s="39"/>
      <c r="S123" s="39"/>
      <c r="T123" s="39"/>
      <c r="AR123" s="61"/>
    </row>
    <row r="124" ht="15.75" customHeight="1">
      <c r="C124" s="98"/>
      <c r="D124" s="38"/>
      <c r="E124" s="38"/>
      <c r="F124" s="98"/>
      <c r="G124" s="39"/>
      <c r="H124" s="39"/>
      <c r="I124" s="39"/>
      <c r="J124" s="39"/>
      <c r="K124" s="99"/>
      <c r="L124" s="99"/>
      <c r="M124" s="99"/>
      <c r="N124" s="39"/>
      <c r="O124" s="39"/>
      <c r="P124" s="39"/>
      <c r="Q124" s="39"/>
      <c r="R124" s="39"/>
      <c r="S124" s="39"/>
      <c r="T124" s="39"/>
      <c r="AR124" s="61"/>
    </row>
    <row r="125" ht="15.75" customHeight="1">
      <c r="C125" s="98"/>
      <c r="D125" s="38"/>
      <c r="E125" s="38"/>
      <c r="F125" s="98"/>
      <c r="G125" s="39"/>
      <c r="H125" s="39"/>
      <c r="I125" s="39"/>
      <c r="J125" s="39"/>
      <c r="K125" s="99"/>
      <c r="L125" s="99"/>
      <c r="M125" s="99"/>
      <c r="N125" s="39"/>
      <c r="O125" s="39"/>
      <c r="P125" s="39"/>
      <c r="Q125" s="39"/>
      <c r="R125" s="39"/>
      <c r="S125" s="39"/>
      <c r="T125" s="39"/>
      <c r="AR125" s="61"/>
    </row>
    <row r="126" ht="15.75" customHeight="1">
      <c r="C126" s="98"/>
      <c r="D126" s="38"/>
      <c r="E126" s="38"/>
      <c r="F126" s="98"/>
      <c r="G126" s="39"/>
      <c r="H126" s="39"/>
      <c r="I126" s="39"/>
      <c r="J126" s="39"/>
      <c r="K126" s="99"/>
      <c r="L126" s="99"/>
      <c r="M126" s="99"/>
      <c r="N126" s="39"/>
      <c r="O126" s="39"/>
      <c r="P126" s="39"/>
      <c r="Q126" s="39"/>
      <c r="R126" s="39"/>
      <c r="S126" s="39"/>
      <c r="T126" s="39"/>
      <c r="AR126" s="61"/>
    </row>
    <row r="127" ht="15.75" customHeight="1">
      <c r="C127" s="98"/>
      <c r="D127" s="38"/>
      <c r="E127" s="38"/>
      <c r="F127" s="98"/>
      <c r="G127" s="39"/>
      <c r="H127" s="39"/>
      <c r="I127" s="39"/>
      <c r="J127" s="39"/>
      <c r="K127" s="99"/>
      <c r="L127" s="99"/>
      <c r="M127" s="99"/>
      <c r="N127" s="39"/>
      <c r="O127" s="39"/>
      <c r="P127" s="39"/>
      <c r="Q127" s="39"/>
      <c r="R127" s="39"/>
      <c r="S127" s="39"/>
      <c r="T127" s="39"/>
      <c r="AR127" s="61"/>
    </row>
    <row r="128" ht="15.75" customHeight="1">
      <c r="C128" s="98"/>
      <c r="D128" s="38"/>
      <c r="E128" s="38"/>
      <c r="F128" s="98"/>
      <c r="G128" s="39"/>
      <c r="H128" s="39"/>
      <c r="I128" s="39"/>
      <c r="J128" s="39"/>
      <c r="K128" s="99"/>
      <c r="L128" s="99"/>
      <c r="M128" s="99"/>
      <c r="N128" s="39"/>
      <c r="O128" s="39"/>
      <c r="P128" s="39"/>
      <c r="Q128" s="39"/>
      <c r="R128" s="39"/>
      <c r="S128" s="39"/>
      <c r="T128" s="39"/>
      <c r="AR128" s="61"/>
    </row>
    <row r="129" ht="15.75" customHeight="1">
      <c r="C129" s="98"/>
      <c r="D129" s="38"/>
      <c r="E129" s="38"/>
      <c r="F129" s="98"/>
      <c r="G129" s="39"/>
      <c r="H129" s="39"/>
      <c r="I129" s="39"/>
      <c r="J129" s="39"/>
      <c r="K129" s="99"/>
      <c r="L129" s="99"/>
      <c r="M129" s="99"/>
      <c r="N129" s="39"/>
      <c r="O129" s="39"/>
      <c r="P129" s="39"/>
      <c r="Q129" s="39"/>
      <c r="R129" s="39"/>
      <c r="S129" s="39"/>
      <c r="T129" s="39"/>
      <c r="AR129" s="61"/>
    </row>
    <row r="130" ht="15.75" customHeight="1">
      <c r="C130" s="98"/>
      <c r="D130" s="38"/>
      <c r="E130" s="38"/>
      <c r="F130" s="98"/>
      <c r="G130" s="39"/>
      <c r="H130" s="39"/>
      <c r="I130" s="39"/>
      <c r="J130" s="39"/>
      <c r="K130" s="99"/>
      <c r="L130" s="99"/>
      <c r="M130" s="99"/>
      <c r="N130" s="39"/>
      <c r="O130" s="39"/>
      <c r="P130" s="39"/>
      <c r="Q130" s="39"/>
      <c r="R130" s="39"/>
      <c r="S130" s="39"/>
      <c r="T130" s="39"/>
      <c r="AR130" s="61"/>
    </row>
    <row r="131" ht="15.75" customHeight="1">
      <c r="C131" s="98"/>
      <c r="D131" s="38"/>
      <c r="E131" s="38"/>
      <c r="F131" s="98"/>
      <c r="G131" s="39"/>
      <c r="H131" s="39"/>
      <c r="I131" s="39"/>
      <c r="J131" s="39"/>
      <c r="K131" s="99"/>
      <c r="L131" s="99"/>
      <c r="M131" s="99"/>
      <c r="N131" s="39"/>
      <c r="O131" s="39"/>
      <c r="P131" s="39"/>
      <c r="Q131" s="39"/>
      <c r="R131" s="39"/>
      <c r="S131" s="39"/>
      <c r="T131" s="39"/>
      <c r="AR131" s="61"/>
    </row>
    <row r="132" ht="15.75" customHeight="1">
      <c r="C132" s="98"/>
      <c r="D132" s="38"/>
      <c r="E132" s="38"/>
      <c r="F132" s="98"/>
      <c r="G132" s="39"/>
      <c r="H132" s="39"/>
      <c r="I132" s="39"/>
      <c r="J132" s="39"/>
      <c r="K132" s="99"/>
      <c r="L132" s="99"/>
      <c r="M132" s="99"/>
      <c r="N132" s="39"/>
      <c r="O132" s="39"/>
      <c r="P132" s="39"/>
      <c r="Q132" s="39"/>
      <c r="R132" s="39"/>
      <c r="S132" s="39"/>
      <c r="T132" s="39"/>
      <c r="AR132" s="61"/>
    </row>
    <row r="133" ht="15.75" customHeight="1">
      <c r="C133" s="98"/>
      <c r="D133" s="38"/>
      <c r="E133" s="38"/>
      <c r="F133" s="98"/>
      <c r="G133" s="39"/>
      <c r="H133" s="39"/>
      <c r="I133" s="39"/>
      <c r="J133" s="39"/>
      <c r="K133" s="99"/>
      <c r="L133" s="99"/>
      <c r="M133" s="99"/>
      <c r="N133" s="39"/>
      <c r="O133" s="39"/>
      <c r="P133" s="39"/>
      <c r="Q133" s="39"/>
      <c r="R133" s="39"/>
      <c r="S133" s="39"/>
      <c r="T133" s="39"/>
      <c r="AR133" s="61"/>
    </row>
    <row r="134" ht="15.75" customHeight="1">
      <c r="C134" s="98"/>
      <c r="D134" s="38"/>
      <c r="E134" s="38"/>
      <c r="F134" s="98"/>
      <c r="G134" s="39"/>
      <c r="H134" s="39"/>
      <c r="I134" s="39"/>
      <c r="J134" s="39"/>
      <c r="K134" s="99"/>
      <c r="L134" s="99"/>
      <c r="M134" s="99"/>
      <c r="N134" s="39"/>
      <c r="O134" s="39"/>
      <c r="P134" s="39"/>
      <c r="Q134" s="39"/>
      <c r="R134" s="39"/>
      <c r="S134" s="39"/>
      <c r="T134" s="39"/>
      <c r="AR134" s="61"/>
    </row>
    <row r="135" ht="15.75" customHeight="1">
      <c r="C135" s="98"/>
      <c r="D135" s="38"/>
      <c r="E135" s="38"/>
      <c r="F135" s="98"/>
      <c r="G135" s="39"/>
      <c r="H135" s="39"/>
      <c r="I135" s="39"/>
      <c r="J135" s="39"/>
      <c r="K135" s="99"/>
      <c r="L135" s="99"/>
      <c r="M135" s="99"/>
      <c r="N135" s="39"/>
      <c r="O135" s="39"/>
      <c r="P135" s="39"/>
      <c r="Q135" s="39"/>
      <c r="R135" s="39"/>
      <c r="S135" s="39"/>
      <c r="T135" s="39"/>
      <c r="AR135" s="61"/>
    </row>
    <row r="136" ht="15.75" customHeight="1">
      <c r="C136" s="98"/>
      <c r="D136" s="38"/>
      <c r="E136" s="38"/>
      <c r="F136" s="98"/>
      <c r="G136" s="39"/>
      <c r="H136" s="39"/>
      <c r="I136" s="39"/>
      <c r="J136" s="39"/>
      <c r="K136" s="99"/>
      <c r="L136" s="99"/>
      <c r="M136" s="99"/>
      <c r="N136" s="39"/>
      <c r="O136" s="39"/>
      <c r="P136" s="39"/>
      <c r="Q136" s="39"/>
      <c r="R136" s="39"/>
      <c r="S136" s="39"/>
      <c r="T136" s="39"/>
      <c r="AR136" s="61"/>
    </row>
    <row r="137" ht="15.75" customHeight="1">
      <c r="C137" s="98"/>
      <c r="D137" s="38"/>
      <c r="E137" s="38"/>
      <c r="F137" s="98"/>
      <c r="G137" s="39"/>
      <c r="H137" s="39"/>
      <c r="I137" s="39"/>
      <c r="J137" s="39"/>
      <c r="K137" s="99"/>
      <c r="L137" s="99"/>
      <c r="M137" s="99"/>
      <c r="N137" s="39"/>
      <c r="O137" s="39"/>
      <c r="P137" s="39"/>
      <c r="Q137" s="39"/>
      <c r="R137" s="39"/>
      <c r="S137" s="39"/>
      <c r="T137" s="39"/>
      <c r="AR137" s="61"/>
    </row>
    <row r="138" ht="15.75" customHeight="1">
      <c r="C138" s="98"/>
      <c r="D138" s="38"/>
      <c r="E138" s="38"/>
      <c r="F138" s="98"/>
      <c r="G138" s="39"/>
      <c r="H138" s="39"/>
      <c r="I138" s="39"/>
      <c r="J138" s="39"/>
      <c r="K138" s="99"/>
      <c r="L138" s="99"/>
      <c r="M138" s="99"/>
      <c r="N138" s="39"/>
      <c r="O138" s="39"/>
      <c r="P138" s="39"/>
      <c r="Q138" s="39"/>
      <c r="R138" s="39"/>
      <c r="S138" s="39"/>
      <c r="T138" s="39"/>
      <c r="AR138" s="61"/>
    </row>
    <row r="139" ht="15.75" customHeight="1">
      <c r="C139" s="98"/>
      <c r="D139" s="38"/>
      <c r="E139" s="38"/>
      <c r="F139" s="98"/>
      <c r="G139" s="39"/>
      <c r="H139" s="39"/>
      <c r="I139" s="39"/>
      <c r="J139" s="39"/>
      <c r="K139" s="99"/>
      <c r="L139" s="99"/>
      <c r="M139" s="99"/>
      <c r="N139" s="39"/>
      <c r="O139" s="39"/>
      <c r="P139" s="39"/>
      <c r="Q139" s="39"/>
      <c r="R139" s="39"/>
      <c r="S139" s="39"/>
      <c r="T139" s="39"/>
      <c r="AR139" s="61"/>
    </row>
    <row r="140" ht="15.75" customHeight="1">
      <c r="C140" s="98"/>
      <c r="D140" s="38"/>
      <c r="E140" s="38"/>
      <c r="F140" s="98"/>
      <c r="G140" s="39"/>
      <c r="H140" s="39"/>
      <c r="I140" s="39"/>
      <c r="J140" s="39"/>
      <c r="K140" s="99"/>
      <c r="L140" s="99"/>
      <c r="M140" s="99"/>
      <c r="N140" s="39"/>
      <c r="O140" s="39"/>
      <c r="P140" s="39"/>
      <c r="Q140" s="39"/>
      <c r="R140" s="39"/>
      <c r="S140" s="39"/>
      <c r="T140" s="39"/>
      <c r="AR140" s="61"/>
    </row>
    <row r="141" ht="15.75" customHeight="1">
      <c r="C141" s="98"/>
      <c r="D141" s="38"/>
      <c r="E141" s="38"/>
      <c r="F141" s="98"/>
      <c r="G141" s="39"/>
      <c r="H141" s="39"/>
      <c r="I141" s="39"/>
      <c r="J141" s="39"/>
      <c r="K141" s="99"/>
      <c r="L141" s="99"/>
      <c r="M141" s="99"/>
      <c r="N141" s="39"/>
      <c r="O141" s="39"/>
      <c r="P141" s="39"/>
      <c r="Q141" s="39"/>
      <c r="R141" s="39"/>
      <c r="S141" s="39"/>
      <c r="T141" s="39"/>
      <c r="AR141" s="61"/>
    </row>
    <row r="142" ht="15.75" customHeight="1">
      <c r="C142" s="98"/>
      <c r="D142" s="38"/>
      <c r="E142" s="38"/>
      <c r="F142" s="98"/>
      <c r="G142" s="39"/>
      <c r="H142" s="39"/>
      <c r="I142" s="39"/>
      <c r="J142" s="39"/>
      <c r="K142" s="99"/>
      <c r="L142" s="99"/>
      <c r="M142" s="99"/>
      <c r="N142" s="39"/>
      <c r="O142" s="39"/>
      <c r="P142" s="39"/>
      <c r="Q142" s="39"/>
      <c r="R142" s="39"/>
      <c r="S142" s="39"/>
      <c r="T142" s="39"/>
      <c r="AR142" s="61"/>
    </row>
    <row r="143" ht="15.75" customHeight="1">
      <c r="C143" s="98"/>
      <c r="D143" s="38"/>
      <c r="E143" s="38"/>
      <c r="F143" s="98"/>
      <c r="G143" s="39"/>
      <c r="H143" s="39"/>
      <c r="I143" s="39"/>
      <c r="J143" s="39"/>
      <c r="K143" s="99"/>
      <c r="L143" s="99"/>
      <c r="M143" s="99"/>
      <c r="N143" s="39"/>
      <c r="O143" s="39"/>
      <c r="P143" s="39"/>
      <c r="Q143" s="39"/>
      <c r="R143" s="39"/>
      <c r="S143" s="39"/>
      <c r="T143" s="39"/>
      <c r="AR143" s="61"/>
    </row>
    <row r="144" ht="15.75" customHeight="1">
      <c r="C144" s="98"/>
      <c r="D144" s="38"/>
      <c r="E144" s="38"/>
      <c r="F144" s="98"/>
      <c r="G144" s="39"/>
      <c r="H144" s="39"/>
      <c r="I144" s="39"/>
      <c r="J144" s="39"/>
      <c r="K144" s="99"/>
      <c r="L144" s="99"/>
      <c r="M144" s="99"/>
      <c r="N144" s="39"/>
      <c r="O144" s="39"/>
      <c r="P144" s="39"/>
      <c r="Q144" s="39"/>
      <c r="R144" s="39"/>
      <c r="S144" s="39"/>
      <c r="T144" s="39"/>
      <c r="AR144" s="61"/>
    </row>
    <row r="145" ht="15.75" customHeight="1">
      <c r="C145" s="98"/>
      <c r="D145" s="38"/>
      <c r="E145" s="38"/>
      <c r="F145" s="98"/>
      <c r="G145" s="39"/>
      <c r="H145" s="39"/>
      <c r="I145" s="39"/>
      <c r="J145" s="39"/>
      <c r="K145" s="99"/>
      <c r="L145" s="99"/>
      <c r="M145" s="99"/>
      <c r="N145" s="39"/>
      <c r="O145" s="39"/>
      <c r="P145" s="39"/>
      <c r="Q145" s="39"/>
      <c r="R145" s="39"/>
      <c r="S145" s="39"/>
      <c r="T145" s="39"/>
      <c r="AR145" s="61"/>
    </row>
    <row r="146" ht="15.75" customHeight="1">
      <c r="C146" s="98"/>
      <c r="D146" s="38"/>
      <c r="E146" s="38"/>
      <c r="F146" s="98"/>
      <c r="G146" s="39"/>
      <c r="H146" s="39"/>
      <c r="I146" s="39"/>
      <c r="J146" s="39"/>
      <c r="K146" s="99"/>
      <c r="L146" s="99"/>
      <c r="M146" s="99"/>
      <c r="N146" s="39"/>
      <c r="O146" s="39"/>
      <c r="P146" s="39"/>
      <c r="Q146" s="39"/>
      <c r="R146" s="39"/>
      <c r="S146" s="39"/>
      <c r="T146" s="39"/>
      <c r="AR146" s="61"/>
    </row>
    <row r="147" ht="15.75" customHeight="1">
      <c r="C147" s="98"/>
      <c r="D147" s="38"/>
      <c r="E147" s="38"/>
      <c r="F147" s="98"/>
      <c r="G147" s="39"/>
      <c r="H147" s="39"/>
      <c r="I147" s="39"/>
      <c r="J147" s="39"/>
      <c r="K147" s="99"/>
      <c r="L147" s="99"/>
      <c r="M147" s="99"/>
      <c r="N147" s="39"/>
      <c r="O147" s="39"/>
      <c r="P147" s="39"/>
      <c r="Q147" s="39"/>
      <c r="R147" s="39"/>
      <c r="S147" s="39"/>
      <c r="T147" s="39"/>
      <c r="AR147" s="61"/>
    </row>
    <row r="148" ht="15.75" customHeight="1">
      <c r="C148" s="98"/>
      <c r="D148" s="38"/>
      <c r="E148" s="38"/>
      <c r="F148" s="98"/>
      <c r="G148" s="39"/>
      <c r="H148" s="39"/>
      <c r="I148" s="39"/>
      <c r="J148" s="39"/>
      <c r="K148" s="99"/>
      <c r="L148" s="99"/>
      <c r="M148" s="99"/>
      <c r="N148" s="39"/>
      <c r="O148" s="39"/>
      <c r="P148" s="39"/>
      <c r="Q148" s="39"/>
      <c r="R148" s="39"/>
      <c r="S148" s="39"/>
      <c r="T148" s="39"/>
      <c r="AR148" s="61"/>
    </row>
    <row r="149" ht="15.75" customHeight="1">
      <c r="C149" s="98"/>
      <c r="D149" s="38"/>
      <c r="E149" s="38"/>
      <c r="F149" s="98"/>
      <c r="G149" s="39"/>
      <c r="H149" s="39"/>
      <c r="I149" s="39"/>
      <c r="J149" s="39"/>
      <c r="K149" s="99"/>
      <c r="L149" s="99"/>
      <c r="M149" s="99"/>
      <c r="N149" s="39"/>
      <c r="O149" s="39"/>
      <c r="P149" s="39"/>
      <c r="Q149" s="39"/>
      <c r="R149" s="39"/>
      <c r="S149" s="39"/>
      <c r="T149" s="39"/>
      <c r="AR149" s="61"/>
    </row>
    <row r="150" ht="15.75" customHeight="1">
      <c r="C150" s="98"/>
      <c r="D150" s="38"/>
      <c r="E150" s="38"/>
      <c r="F150" s="98"/>
      <c r="G150" s="39"/>
      <c r="H150" s="39"/>
      <c r="I150" s="39"/>
      <c r="J150" s="39"/>
      <c r="K150" s="99"/>
      <c r="L150" s="99"/>
      <c r="M150" s="99"/>
      <c r="N150" s="39"/>
      <c r="O150" s="39"/>
      <c r="P150" s="39"/>
      <c r="Q150" s="39"/>
      <c r="R150" s="39"/>
      <c r="S150" s="39"/>
      <c r="T150" s="39"/>
      <c r="AR150" s="61"/>
    </row>
    <row r="151" ht="15.75" customHeight="1">
      <c r="C151" s="98"/>
      <c r="D151" s="38"/>
      <c r="E151" s="38"/>
      <c r="F151" s="98"/>
      <c r="G151" s="39"/>
      <c r="H151" s="39"/>
      <c r="I151" s="39"/>
      <c r="J151" s="39"/>
      <c r="K151" s="99"/>
      <c r="L151" s="99"/>
      <c r="M151" s="99"/>
      <c r="N151" s="39"/>
      <c r="O151" s="39"/>
      <c r="P151" s="39"/>
      <c r="Q151" s="39"/>
      <c r="R151" s="39"/>
      <c r="S151" s="39"/>
      <c r="T151" s="39"/>
      <c r="AR151" s="61"/>
    </row>
    <row r="152" ht="15.75" customHeight="1">
      <c r="C152" s="98"/>
      <c r="D152" s="38"/>
      <c r="E152" s="38"/>
      <c r="F152" s="98"/>
      <c r="G152" s="39"/>
      <c r="H152" s="39"/>
      <c r="I152" s="39"/>
      <c r="J152" s="39"/>
      <c r="K152" s="99"/>
      <c r="L152" s="99"/>
      <c r="M152" s="99"/>
      <c r="N152" s="39"/>
      <c r="O152" s="39"/>
      <c r="P152" s="39"/>
      <c r="Q152" s="39"/>
      <c r="R152" s="39"/>
      <c r="S152" s="39"/>
      <c r="T152" s="39"/>
      <c r="AR152" s="61"/>
    </row>
    <row r="153" ht="15.75" customHeight="1">
      <c r="C153" s="98"/>
      <c r="D153" s="38"/>
      <c r="E153" s="38"/>
      <c r="F153" s="98"/>
      <c r="G153" s="39"/>
      <c r="H153" s="39"/>
      <c r="I153" s="39"/>
      <c r="J153" s="39"/>
      <c r="K153" s="99"/>
      <c r="L153" s="99"/>
      <c r="M153" s="99"/>
      <c r="N153" s="39"/>
      <c r="O153" s="39"/>
      <c r="P153" s="39"/>
      <c r="Q153" s="39"/>
      <c r="R153" s="39"/>
      <c r="S153" s="39"/>
      <c r="T153" s="39"/>
      <c r="AR153" s="61"/>
    </row>
    <row r="154" ht="15.75" customHeight="1">
      <c r="C154" s="98"/>
      <c r="D154" s="38"/>
      <c r="E154" s="38"/>
      <c r="F154" s="98"/>
      <c r="G154" s="39"/>
      <c r="H154" s="39"/>
      <c r="I154" s="39"/>
      <c r="J154" s="39"/>
      <c r="K154" s="99"/>
      <c r="L154" s="99"/>
      <c r="M154" s="99"/>
      <c r="N154" s="39"/>
      <c r="O154" s="39"/>
      <c r="P154" s="39"/>
      <c r="Q154" s="39"/>
      <c r="R154" s="39"/>
      <c r="S154" s="39"/>
      <c r="T154" s="39"/>
      <c r="AR154" s="61"/>
    </row>
    <row r="155" ht="15.75" customHeight="1">
      <c r="C155" s="98"/>
      <c r="D155" s="38"/>
      <c r="E155" s="38"/>
      <c r="F155" s="98"/>
      <c r="G155" s="39"/>
      <c r="H155" s="39"/>
      <c r="I155" s="39"/>
      <c r="J155" s="39"/>
      <c r="K155" s="99"/>
      <c r="L155" s="99"/>
      <c r="M155" s="99"/>
      <c r="N155" s="39"/>
      <c r="O155" s="39"/>
      <c r="P155" s="39"/>
      <c r="Q155" s="39"/>
      <c r="R155" s="39"/>
      <c r="S155" s="39"/>
      <c r="T155" s="39"/>
      <c r="AR155" s="61"/>
    </row>
    <row r="156" ht="15.75" customHeight="1">
      <c r="C156" s="98"/>
      <c r="D156" s="38"/>
      <c r="E156" s="38"/>
      <c r="F156" s="98"/>
      <c r="G156" s="39"/>
      <c r="H156" s="39"/>
      <c r="I156" s="39"/>
      <c r="J156" s="39"/>
      <c r="K156" s="99"/>
      <c r="L156" s="99"/>
      <c r="M156" s="99"/>
      <c r="N156" s="39"/>
      <c r="O156" s="39"/>
      <c r="P156" s="39"/>
      <c r="Q156" s="39"/>
      <c r="R156" s="39"/>
      <c r="S156" s="39"/>
      <c r="T156" s="39"/>
      <c r="AR156" s="61"/>
    </row>
    <row r="157" ht="15.75" customHeight="1">
      <c r="C157" s="98"/>
      <c r="D157" s="38"/>
      <c r="E157" s="38"/>
      <c r="F157" s="98"/>
      <c r="G157" s="39"/>
      <c r="H157" s="39"/>
      <c r="I157" s="39"/>
      <c r="J157" s="39"/>
      <c r="K157" s="99"/>
      <c r="L157" s="99"/>
      <c r="M157" s="99"/>
      <c r="N157" s="39"/>
      <c r="O157" s="39"/>
      <c r="P157" s="39"/>
      <c r="Q157" s="39"/>
      <c r="R157" s="39"/>
      <c r="S157" s="39"/>
      <c r="T157" s="39"/>
      <c r="AR157" s="61"/>
    </row>
    <row r="158" ht="15.75" customHeight="1">
      <c r="C158" s="98"/>
      <c r="D158" s="38"/>
      <c r="E158" s="38"/>
      <c r="F158" s="98"/>
      <c r="G158" s="39"/>
      <c r="H158" s="39"/>
      <c r="I158" s="39"/>
      <c r="J158" s="39"/>
      <c r="K158" s="99"/>
      <c r="L158" s="99"/>
      <c r="M158" s="99"/>
      <c r="N158" s="39"/>
      <c r="O158" s="39"/>
      <c r="P158" s="39"/>
      <c r="Q158" s="39"/>
      <c r="R158" s="39"/>
      <c r="S158" s="39"/>
      <c r="T158" s="39"/>
      <c r="AR158" s="61"/>
    </row>
    <row r="159" ht="15.75" customHeight="1">
      <c r="C159" s="98"/>
      <c r="D159" s="38"/>
      <c r="E159" s="38"/>
      <c r="F159" s="98"/>
      <c r="G159" s="39"/>
      <c r="H159" s="39"/>
      <c r="I159" s="39"/>
      <c r="J159" s="39"/>
      <c r="K159" s="99"/>
      <c r="L159" s="99"/>
      <c r="M159" s="99"/>
      <c r="N159" s="39"/>
      <c r="O159" s="39"/>
      <c r="P159" s="39"/>
      <c r="Q159" s="39"/>
      <c r="R159" s="39"/>
      <c r="S159" s="39"/>
      <c r="T159" s="39"/>
      <c r="AR159" s="61"/>
    </row>
    <row r="160" ht="15.75" customHeight="1">
      <c r="C160" s="98"/>
      <c r="D160" s="38"/>
      <c r="E160" s="38"/>
      <c r="F160" s="98"/>
      <c r="G160" s="39"/>
      <c r="H160" s="39"/>
      <c r="I160" s="39"/>
      <c r="J160" s="39"/>
      <c r="K160" s="99"/>
      <c r="L160" s="99"/>
      <c r="M160" s="99"/>
      <c r="N160" s="39"/>
      <c r="O160" s="39"/>
      <c r="P160" s="39"/>
      <c r="Q160" s="39"/>
      <c r="R160" s="39"/>
      <c r="S160" s="39"/>
      <c r="T160" s="39"/>
      <c r="AR160" s="61"/>
    </row>
    <row r="161" ht="15.75" customHeight="1">
      <c r="C161" s="98"/>
      <c r="D161" s="38"/>
      <c r="E161" s="38"/>
      <c r="F161" s="98"/>
      <c r="G161" s="39"/>
      <c r="H161" s="39"/>
      <c r="I161" s="39"/>
      <c r="J161" s="39"/>
      <c r="K161" s="99"/>
      <c r="L161" s="99"/>
      <c r="M161" s="99"/>
      <c r="N161" s="39"/>
      <c r="O161" s="39"/>
      <c r="P161" s="39"/>
      <c r="Q161" s="39"/>
      <c r="R161" s="39"/>
      <c r="S161" s="39"/>
      <c r="T161" s="39"/>
      <c r="AR161" s="61"/>
    </row>
    <row r="162" ht="15.75" customHeight="1">
      <c r="C162" s="98"/>
      <c r="D162" s="38"/>
      <c r="E162" s="38"/>
      <c r="F162" s="98"/>
      <c r="G162" s="39"/>
      <c r="H162" s="39"/>
      <c r="I162" s="39"/>
      <c r="J162" s="39"/>
      <c r="K162" s="99"/>
      <c r="L162" s="99"/>
      <c r="M162" s="99"/>
      <c r="N162" s="39"/>
      <c r="O162" s="39"/>
      <c r="P162" s="39"/>
      <c r="Q162" s="39"/>
      <c r="R162" s="39"/>
      <c r="S162" s="39"/>
      <c r="T162" s="39"/>
      <c r="AR162" s="61"/>
    </row>
    <row r="163" ht="15.75" customHeight="1">
      <c r="C163" s="98"/>
      <c r="D163" s="38"/>
      <c r="E163" s="38"/>
      <c r="F163" s="98"/>
      <c r="G163" s="39"/>
      <c r="H163" s="39"/>
      <c r="I163" s="39"/>
      <c r="J163" s="39"/>
      <c r="K163" s="99"/>
      <c r="L163" s="99"/>
      <c r="M163" s="99"/>
      <c r="N163" s="39"/>
      <c r="O163" s="39"/>
      <c r="P163" s="39"/>
      <c r="Q163" s="39"/>
      <c r="R163" s="39"/>
      <c r="S163" s="39"/>
      <c r="T163" s="39"/>
      <c r="AR163" s="61"/>
    </row>
    <row r="164" ht="15.75" customHeight="1">
      <c r="C164" s="98"/>
      <c r="D164" s="38"/>
      <c r="E164" s="38"/>
      <c r="F164" s="98"/>
      <c r="G164" s="39"/>
      <c r="H164" s="39"/>
      <c r="I164" s="39"/>
      <c r="J164" s="39"/>
      <c r="K164" s="99"/>
      <c r="L164" s="99"/>
      <c r="M164" s="99"/>
      <c r="N164" s="39"/>
      <c r="O164" s="39"/>
      <c r="P164" s="39"/>
      <c r="Q164" s="39"/>
      <c r="R164" s="39"/>
      <c r="S164" s="39"/>
      <c r="T164" s="39"/>
      <c r="AR164" s="61"/>
    </row>
    <row r="165" ht="15.75" customHeight="1">
      <c r="C165" s="98"/>
      <c r="D165" s="38"/>
      <c r="E165" s="38"/>
      <c r="F165" s="98"/>
      <c r="G165" s="39"/>
      <c r="H165" s="39"/>
      <c r="I165" s="39"/>
      <c r="J165" s="39"/>
      <c r="K165" s="99"/>
      <c r="L165" s="99"/>
      <c r="M165" s="99"/>
      <c r="N165" s="39"/>
      <c r="O165" s="39"/>
      <c r="P165" s="39"/>
      <c r="Q165" s="39"/>
      <c r="R165" s="39"/>
      <c r="S165" s="39"/>
      <c r="T165" s="39"/>
      <c r="AR165" s="61"/>
    </row>
    <row r="166" ht="15.75" customHeight="1">
      <c r="C166" s="98"/>
      <c r="D166" s="38"/>
      <c r="E166" s="38"/>
      <c r="F166" s="98"/>
      <c r="G166" s="39"/>
      <c r="H166" s="39"/>
      <c r="I166" s="39"/>
      <c r="J166" s="39"/>
      <c r="K166" s="99"/>
      <c r="L166" s="99"/>
      <c r="M166" s="99"/>
      <c r="N166" s="39"/>
      <c r="O166" s="39"/>
      <c r="P166" s="39"/>
      <c r="Q166" s="39"/>
      <c r="R166" s="39"/>
      <c r="S166" s="39"/>
      <c r="T166" s="39"/>
      <c r="AR166" s="61"/>
    </row>
    <row r="167" ht="15.75" customHeight="1">
      <c r="C167" s="98"/>
      <c r="D167" s="38"/>
      <c r="E167" s="38"/>
      <c r="F167" s="98"/>
      <c r="G167" s="39"/>
      <c r="H167" s="39"/>
      <c r="I167" s="39"/>
      <c r="J167" s="39"/>
      <c r="K167" s="99"/>
      <c r="L167" s="99"/>
      <c r="M167" s="99"/>
      <c r="N167" s="39"/>
      <c r="O167" s="39"/>
      <c r="P167" s="39"/>
      <c r="Q167" s="39"/>
      <c r="R167" s="39"/>
      <c r="S167" s="39"/>
      <c r="T167" s="39"/>
      <c r="AR167" s="61"/>
    </row>
    <row r="168" ht="15.75" customHeight="1">
      <c r="C168" s="98"/>
      <c r="D168" s="38"/>
      <c r="E168" s="38"/>
      <c r="F168" s="98"/>
      <c r="G168" s="39"/>
      <c r="H168" s="39"/>
      <c r="I168" s="39"/>
      <c r="J168" s="39"/>
      <c r="K168" s="99"/>
      <c r="L168" s="99"/>
      <c r="M168" s="99"/>
      <c r="N168" s="39"/>
      <c r="O168" s="39"/>
      <c r="P168" s="39"/>
      <c r="Q168" s="39"/>
      <c r="R168" s="39"/>
      <c r="S168" s="39"/>
      <c r="T168" s="39"/>
      <c r="AR168" s="61"/>
    </row>
    <row r="169" ht="15.75" customHeight="1">
      <c r="C169" s="98"/>
      <c r="D169" s="38"/>
      <c r="E169" s="38"/>
      <c r="F169" s="98"/>
      <c r="G169" s="39"/>
      <c r="H169" s="39"/>
      <c r="I169" s="39"/>
      <c r="J169" s="39"/>
      <c r="K169" s="99"/>
      <c r="L169" s="99"/>
      <c r="M169" s="99"/>
      <c r="N169" s="39"/>
      <c r="O169" s="39"/>
      <c r="P169" s="39"/>
      <c r="Q169" s="39"/>
      <c r="R169" s="39"/>
      <c r="S169" s="39"/>
      <c r="T169" s="39"/>
      <c r="AR169" s="61"/>
    </row>
    <row r="170" ht="15.75" customHeight="1">
      <c r="C170" s="98"/>
      <c r="D170" s="38"/>
      <c r="E170" s="38"/>
      <c r="F170" s="98"/>
      <c r="G170" s="39"/>
      <c r="H170" s="39"/>
      <c r="I170" s="39"/>
      <c r="J170" s="39"/>
      <c r="K170" s="99"/>
      <c r="L170" s="99"/>
      <c r="M170" s="99"/>
      <c r="N170" s="39"/>
      <c r="O170" s="39"/>
      <c r="P170" s="39"/>
      <c r="Q170" s="39"/>
      <c r="R170" s="39"/>
      <c r="S170" s="39"/>
      <c r="T170" s="39"/>
      <c r="AR170" s="61"/>
    </row>
    <row r="171" ht="15.75" customHeight="1">
      <c r="C171" s="98"/>
      <c r="D171" s="38"/>
      <c r="E171" s="38"/>
      <c r="F171" s="98"/>
      <c r="G171" s="39"/>
      <c r="H171" s="39"/>
      <c r="I171" s="39"/>
      <c r="J171" s="39"/>
      <c r="K171" s="99"/>
      <c r="L171" s="99"/>
      <c r="M171" s="99"/>
      <c r="N171" s="39"/>
      <c r="O171" s="39"/>
      <c r="P171" s="39"/>
      <c r="Q171" s="39"/>
      <c r="R171" s="39"/>
      <c r="S171" s="39"/>
      <c r="T171" s="39"/>
      <c r="AR171" s="61"/>
    </row>
    <row r="172" ht="15.75" customHeight="1">
      <c r="C172" s="98"/>
      <c r="D172" s="38"/>
      <c r="E172" s="38"/>
      <c r="F172" s="98"/>
      <c r="G172" s="39"/>
      <c r="H172" s="39"/>
      <c r="I172" s="39"/>
      <c r="J172" s="39"/>
      <c r="K172" s="99"/>
      <c r="L172" s="99"/>
      <c r="M172" s="99"/>
      <c r="N172" s="39"/>
      <c r="O172" s="39"/>
      <c r="P172" s="39"/>
      <c r="Q172" s="39"/>
      <c r="R172" s="39"/>
      <c r="S172" s="39"/>
      <c r="T172" s="39"/>
      <c r="AR172" s="61"/>
    </row>
    <row r="173" ht="15.75" customHeight="1">
      <c r="C173" s="98"/>
      <c r="D173" s="38"/>
      <c r="E173" s="38"/>
      <c r="F173" s="98"/>
      <c r="G173" s="39"/>
      <c r="H173" s="39"/>
      <c r="I173" s="39"/>
      <c r="J173" s="39"/>
      <c r="K173" s="99"/>
      <c r="L173" s="99"/>
      <c r="M173" s="99"/>
      <c r="N173" s="39"/>
      <c r="O173" s="39"/>
      <c r="P173" s="39"/>
      <c r="Q173" s="39"/>
      <c r="R173" s="39"/>
      <c r="S173" s="39"/>
      <c r="T173" s="39"/>
      <c r="AR173" s="61"/>
    </row>
    <row r="174" ht="15.75" customHeight="1">
      <c r="C174" s="98"/>
      <c r="D174" s="38"/>
      <c r="E174" s="38"/>
      <c r="F174" s="98"/>
      <c r="G174" s="39"/>
      <c r="H174" s="39"/>
      <c r="I174" s="39"/>
      <c r="J174" s="39"/>
      <c r="K174" s="99"/>
      <c r="L174" s="99"/>
      <c r="M174" s="99"/>
      <c r="N174" s="39"/>
      <c r="O174" s="39"/>
      <c r="P174" s="39"/>
      <c r="Q174" s="39"/>
      <c r="R174" s="39"/>
      <c r="S174" s="39"/>
      <c r="T174" s="39"/>
      <c r="AR174" s="61"/>
    </row>
    <row r="175" ht="15.75" customHeight="1">
      <c r="C175" s="98"/>
      <c r="D175" s="38"/>
      <c r="E175" s="38"/>
      <c r="F175" s="98"/>
      <c r="G175" s="39"/>
      <c r="H175" s="39"/>
      <c r="I175" s="39"/>
      <c r="J175" s="39"/>
      <c r="K175" s="99"/>
      <c r="L175" s="99"/>
      <c r="M175" s="99"/>
      <c r="N175" s="39"/>
      <c r="O175" s="39"/>
      <c r="P175" s="39"/>
      <c r="Q175" s="39"/>
      <c r="R175" s="39"/>
      <c r="S175" s="39"/>
      <c r="T175" s="39"/>
      <c r="AR175" s="61"/>
    </row>
    <row r="176" ht="15.75" customHeight="1">
      <c r="C176" s="98"/>
      <c r="D176" s="38"/>
      <c r="E176" s="38"/>
      <c r="F176" s="98"/>
      <c r="G176" s="39"/>
      <c r="H176" s="39"/>
      <c r="I176" s="39"/>
      <c r="J176" s="39"/>
      <c r="K176" s="99"/>
      <c r="L176" s="99"/>
      <c r="M176" s="99"/>
      <c r="N176" s="39"/>
      <c r="O176" s="39"/>
      <c r="P176" s="39"/>
      <c r="Q176" s="39"/>
      <c r="R176" s="39"/>
      <c r="S176" s="39"/>
      <c r="T176" s="39"/>
      <c r="AR176" s="61"/>
    </row>
    <row r="177" ht="15.75" customHeight="1">
      <c r="C177" s="98"/>
      <c r="D177" s="38"/>
      <c r="E177" s="38"/>
      <c r="F177" s="98"/>
      <c r="G177" s="39"/>
      <c r="H177" s="39"/>
      <c r="I177" s="39"/>
      <c r="J177" s="39"/>
      <c r="K177" s="99"/>
      <c r="L177" s="99"/>
      <c r="M177" s="99"/>
      <c r="N177" s="39"/>
      <c r="O177" s="39"/>
      <c r="P177" s="39"/>
      <c r="Q177" s="39"/>
      <c r="R177" s="39"/>
      <c r="S177" s="39"/>
      <c r="T177" s="39"/>
      <c r="AR177" s="61"/>
    </row>
    <row r="178" ht="15.75" customHeight="1">
      <c r="C178" s="98"/>
      <c r="D178" s="38"/>
      <c r="E178" s="38"/>
      <c r="F178" s="98"/>
      <c r="G178" s="39"/>
      <c r="H178" s="39"/>
      <c r="I178" s="39"/>
      <c r="J178" s="39"/>
      <c r="K178" s="99"/>
      <c r="L178" s="99"/>
      <c r="M178" s="99"/>
      <c r="N178" s="39"/>
      <c r="O178" s="39"/>
      <c r="P178" s="39"/>
      <c r="Q178" s="39"/>
      <c r="R178" s="39"/>
      <c r="S178" s="39"/>
      <c r="T178" s="39"/>
      <c r="AR178" s="61"/>
    </row>
    <row r="179" ht="15.75" customHeight="1">
      <c r="C179" s="98"/>
      <c r="D179" s="38"/>
      <c r="E179" s="38"/>
      <c r="F179" s="98"/>
      <c r="G179" s="39"/>
      <c r="H179" s="39"/>
      <c r="I179" s="39"/>
      <c r="J179" s="39"/>
      <c r="K179" s="99"/>
      <c r="L179" s="99"/>
      <c r="M179" s="99"/>
      <c r="N179" s="39"/>
      <c r="O179" s="39"/>
      <c r="P179" s="39"/>
      <c r="Q179" s="39"/>
      <c r="R179" s="39"/>
      <c r="S179" s="39"/>
      <c r="T179" s="39"/>
      <c r="AR179" s="61"/>
    </row>
    <row r="180" ht="15.75" customHeight="1">
      <c r="C180" s="98"/>
      <c r="D180" s="38"/>
      <c r="E180" s="38"/>
      <c r="F180" s="98"/>
      <c r="G180" s="39"/>
      <c r="H180" s="39"/>
      <c r="I180" s="39"/>
      <c r="J180" s="39"/>
      <c r="K180" s="99"/>
      <c r="L180" s="99"/>
      <c r="M180" s="99"/>
      <c r="N180" s="39"/>
      <c r="O180" s="39"/>
      <c r="P180" s="39"/>
      <c r="Q180" s="39"/>
      <c r="R180" s="39"/>
      <c r="S180" s="39"/>
      <c r="T180" s="39"/>
      <c r="AR180" s="61"/>
    </row>
    <row r="181" ht="15.75" customHeight="1">
      <c r="C181" s="98"/>
      <c r="D181" s="38"/>
      <c r="E181" s="38"/>
      <c r="F181" s="98"/>
      <c r="G181" s="39"/>
      <c r="H181" s="39"/>
      <c r="I181" s="39"/>
      <c r="J181" s="39"/>
      <c r="K181" s="99"/>
      <c r="L181" s="99"/>
      <c r="M181" s="99"/>
      <c r="N181" s="39"/>
      <c r="O181" s="39"/>
      <c r="P181" s="39"/>
      <c r="Q181" s="39"/>
      <c r="R181" s="39"/>
      <c r="S181" s="39"/>
      <c r="T181" s="39"/>
      <c r="AR181" s="61"/>
    </row>
    <row r="182" ht="15.75" customHeight="1">
      <c r="C182" s="98"/>
      <c r="D182" s="38"/>
      <c r="E182" s="38"/>
      <c r="F182" s="98"/>
      <c r="G182" s="39"/>
      <c r="H182" s="39"/>
      <c r="I182" s="39"/>
      <c r="J182" s="39"/>
      <c r="K182" s="99"/>
      <c r="L182" s="99"/>
      <c r="M182" s="99"/>
      <c r="N182" s="39"/>
      <c r="O182" s="39"/>
      <c r="P182" s="39"/>
      <c r="Q182" s="39"/>
      <c r="R182" s="39"/>
      <c r="S182" s="39"/>
      <c r="T182" s="39"/>
      <c r="AR182" s="61"/>
    </row>
    <row r="183" ht="15.75" customHeight="1">
      <c r="C183" s="98"/>
      <c r="D183" s="38"/>
      <c r="E183" s="38"/>
      <c r="F183" s="98"/>
      <c r="G183" s="39"/>
      <c r="H183" s="39"/>
      <c r="I183" s="39"/>
      <c r="J183" s="39"/>
      <c r="K183" s="99"/>
      <c r="L183" s="99"/>
      <c r="M183" s="99"/>
      <c r="N183" s="39"/>
      <c r="O183" s="39"/>
      <c r="P183" s="39"/>
      <c r="Q183" s="39"/>
      <c r="R183" s="39"/>
      <c r="S183" s="39"/>
      <c r="T183" s="39"/>
      <c r="AR183" s="61"/>
    </row>
    <row r="184" ht="15.75" customHeight="1">
      <c r="C184" s="98"/>
      <c r="D184" s="38"/>
      <c r="E184" s="38"/>
      <c r="F184" s="98"/>
      <c r="G184" s="39"/>
      <c r="H184" s="39"/>
      <c r="I184" s="39"/>
      <c r="J184" s="39"/>
      <c r="K184" s="99"/>
      <c r="L184" s="99"/>
      <c r="M184" s="99"/>
      <c r="N184" s="39"/>
      <c r="O184" s="39"/>
      <c r="P184" s="39"/>
      <c r="Q184" s="39"/>
      <c r="R184" s="39"/>
      <c r="S184" s="39"/>
      <c r="T184" s="39"/>
      <c r="AR184" s="61"/>
    </row>
    <row r="185" ht="15.75" customHeight="1">
      <c r="C185" s="98"/>
      <c r="D185" s="38"/>
      <c r="E185" s="38"/>
      <c r="F185" s="98"/>
      <c r="G185" s="39"/>
      <c r="H185" s="39"/>
      <c r="I185" s="39"/>
      <c r="J185" s="39"/>
      <c r="K185" s="99"/>
      <c r="L185" s="99"/>
      <c r="M185" s="99"/>
      <c r="N185" s="39"/>
      <c r="O185" s="39"/>
      <c r="P185" s="39"/>
      <c r="Q185" s="39"/>
      <c r="R185" s="39"/>
      <c r="S185" s="39"/>
      <c r="T185" s="39"/>
      <c r="AR185" s="61"/>
    </row>
    <row r="186" ht="15.75" customHeight="1">
      <c r="C186" s="98"/>
      <c r="D186" s="38"/>
      <c r="E186" s="38"/>
      <c r="F186" s="98"/>
      <c r="G186" s="39"/>
      <c r="H186" s="39"/>
      <c r="I186" s="39"/>
      <c r="J186" s="39"/>
      <c r="K186" s="99"/>
      <c r="L186" s="99"/>
      <c r="M186" s="99"/>
      <c r="N186" s="39"/>
      <c r="O186" s="39"/>
      <c r="P186" s="39"/>
      <c r="Q186" s="39"/>
      <c r="R186" s="39"/>
      <c r="S186" s="39"/>
      <c r="T186" s="39"/>
      <c r="AR186" s="61"/>
    </row>
    <row r="187" ht="15.75" customHeight="1">
      <c r="C187" s="98"/>
      <c r="D187" s="38"/>
      <c r="E187" s="38"/>
      <c r="F187" s="98"/>
      <c r="G187" s="39"/>
      <c r="H187" s="39"/>
      <c r="I187" s="39"/>
      <c r="J187" s="39"/>
      <c r="K187" s="99"/>
      <c r="L187" s="99"/>
      <c r="M187" s="99"/>
      <c r="N187" s="39"/>
      <c r="O187" s="39"/>
      <c r="P187" s="39"/>
      <c r="Q187" s="39"/>
      <c r="R187" s="39"/>
      <c r="S187" s="39"/>
      <c r="T187" s="39"/>
      <c r="AR187" s="61"/>
    </row>
    <row r="188" ht="15.75" customHeight="1">
      <c r="C188" s="98"/>
      <c r="D188" s="38"/>
      <c r="E188" s="38"/>
      <c r="F188" s="98"/>
      <c r="G188" s="39"/>
      <c r="H188" s="39"/>
      <c r="I188" s="39"/>
      <c r="J188" s="39"/>
      <c r="K188" s="99"/>
      <c r="L188" s="99"/>
      <c r="M188" s="99"/>
      <c r="N188" s="39"/>
      <c r="O188" s="39"/>
      <c r="P188" s="39"/>
      <c r="Q188" s="39"/>
      <c r="R188" s="39"/>
      <c r="S188" s="39"/>
      <c r="T188" s="39"/>
      <c r="AR188" s="61"/>
    </row>
    <row r="189" ht="15.75" customHeight="1">
      <c r="C189" s="98"/>
      <c r="D189" s="38"/>
      <c r="E189" s="38"/>
      <c r="F189" s="98"/>
      <c r="G189" s="39"/>
      <c r="H189" s="39"/>
      <c r="I189" s="39"/>
      <c r="J189" s="39"/>
      <c r="K189" s="99"/>
      <c r="L189" s="99"/>
      <c r="M189" s="99"/>
      <c r="N189" s="39"/>
      <c r="O189" s="39"/>
      <c r="P189" s="39"/>
      <c r="Q189" s="39"/>
      <c r="R189" s="39"/>
      <c r="S189" s="39"/>
      <c r="T189" s="39"/>
      <c r="AR189" s="61"/>
    </row>
    <row r="190" ht="15.75" customHeight="1">
      <c r="C190" s="98"/>
      <c r="D190" s="38"/>
      <c r="E190" s="38"/>
      <c r="F190" s="98"/>
      <c r="G190" s="39"/>
      <c r="H190" s="39"/>
      <c r="I190" s="39"/>
      <c r="J190" s="39"/>
      <c r="K190" s="99"/>
      <c r="L190" s="99"/>
      <c r="M190" s="99"/>
      <c r="N190" s="39"/>
      <c r="O190" s="39"/>
      <c r="P190" s="39"/>
      <c r="Q190" s="39"/>
      <c r="R190" s="39"/>
      <c r="S190" s="39"/>
      <c r="T190" s="39"/>
      <c r="AR190" s="61"/>
    </row>
    <row r="191" ht="15.75" customHeight="1">
      <c r="C191" s="98"/>
      <c r="D191" s="38"/>
      <c r="E191" s="38"/>
      <c r="F191" s="98"/>
      <c r="G191" s="39"/>
      <c r="H191" s="39"/>
      <c r="I191" s="39"/>
      <c r="J191" s="39"/>
      <c r="K191" s="99"/>
      <c r="L191" s="99"/>
      <c r="M191" s="99"/>
      <c r="N191" s="39"/>
      <c r="O191" s="39"/>
      <c r="P191" s="39"/>
      <c r="Q191" s="39"/>
      <c r="R191" s="39"/>
      <c r="S191" s="39"/>
      <c r="T191" s="39"/>
      <c r="AR191" s="61"/>
    </row>
    <row r="192" ht="15.75" customHeight="1">
      <c r="C192" s="98"/>
      <c r="D192" s="38"/>
      <c r="E192" s="38"/>
      <c r="F192" s="98"/>
      <c r="G192" s="39"/>
      <c r="H192" s="39"/>
      <c r="I192" s="39"/>
      <c r="J192" s="39"/>
      <c r="K192" s="99"/>
      <c r="L192" s="99"/>
      <c r="M192" s="99"/>
      <c r="N192" s="39"/>
      <c r="O192" s="39"/>
      <c r="P192" s="39"/>
      <c r="Q192" s="39"/>
      <c r="R192" s="39"/>
      <c r="S192" s="39"/>
      <c r="T192" s="39"/>
      <c r="AR192" s="61"/>
    </row>
    <row r="193" ht="15.75" customHeight="1">
      <c r="C193" s="98"/>
      <c r="D193" s="38"/>
      <c r="E193" s="38"/>
      <c r="F193" s="98"/>
      <c r="G193" s="39"/>
      <c r="H193" s="39"/>
      <c r="I193" s="39"/>
      <c r="J193" s="39"/>
      <c r="K193" s="99"/>
      <c r="L193" s="99"/>
      <c r="M193" s="99"/>
      <c r="N193" s="39"/>
      <c r="O193" s="39"/>
      <c r="P193" s="39"/>
      <c r="Q193" s="39"/>
      <c r="R193" s="39"/>
      <c r="S193" s="39"/>
      <c r="T193" s="39"/>
      <c r="AR193" s="61"/>
    </row>
    <row r="194" ht="15.75" customHeight="1">
      <c r="C194" s="98"/>
      <c r="D194" s="38"/>
      <c r="E194" s="38"/>
      <c r="F194" s="98"/>
      <c r="G194" s="39"/>
      <c r="H194" s="39"/>
      <c r="I194" s="39"/>
      <c r="J194" s="39"/>
      <c r="K194" s="99"/>
      <c r="L194" s="99"/>
      <c r="M194" s="99"/>
      <c r="N194" s="39"/>
      <c r="O194" s="39"/>
      <c r="P194" s="39"/>
      <c r="Q194" s="39"/>
      <c r="R194" s="39"/>
      <c r="S194" s="39"/>
      <c r="T194" s="39"/>
      <c r="AR194" s="61"/>
    </row>
    <row r="195" ht="15.75" customHeight="1">
      <c r="C195" s="98"/>
      <c r="D195" s="38"/>
      <c r="E195" s="38"/>
      <c r="F195" s="98"/>
      <c r="G195" s="39"/>
      <c r="H195" s="39"/>
      <c r="I195" s="39"/>
      <c r="J195" s="39"/>
      <c r="K195" s="99"/>
      <c r="L195" s="99"/>
      <c r="M195" s="99"/>
      <c r="N195" s="39"/>
      <c r="O195" s="39"/>
      <c r="P195" s="39"/>
      <c r="Q195" s="39"/>
      <c r="R195" s="39"/>
      <c r="S195" s="39"/>
      <c r="T195" s="39"/>
      <c r="AR195" s="61"/>
    </row>
    <row r="196" ht="15.75" customHeight="1">
      <c r="C196" s="98"/>
      <c r="D196" s="38"/>
      <c r="E196" s="38"/>
      <c r="F196" s="98"/>
      <c r="G196" s="39"/>
      <c r="H196" s="39"/>
      <c r="I196" s="39"/>
      <c r="J196" s="39"/>
      <c r="K196" s="99"/>
      <c r="L196" s="99"/>
      <c r="M196" s="99"/>
      <c r="N196" s="39"/>
      <c r="O196" s="39"/>
      <c r="P196" s="39"/>
      <c r="Q196" s="39"/>
      <c r="R196" s="39"/>
      <c r="S196" s="39"/>
      <c r="T196" s="39"/>
      <c r="AR196" s="61"/>
    </row>
    <row r="197" ht="15.75" customHeight="1">
      <c r="C197" s="98"/>
      <c r="D197" s="38"/>
      <c r="E197" s="38"/>
      <c r="F197" s="98"/>
      <c r="G197" s="39"/>
      <c r="H197" s="39"/>
      <c r="I197" s="39"/>
      <c r="J197" s="39"/>
      <c r="K197" s="99"/>
      <c r="L197" s="99"/>
      <c r="M197" s="99"/>
      <c r="N197" s="39"/>
      <c r="O197" s="39"/>
      <c r="P197" s="39"/>
      <c r="Q197" s="39"/>
      <c r="R197" s="39"/>
      <c r="S197" s="39"/>
      <c r="T197" s="39"/>
      <c r="AR197" s="61"/>
    </row>
    <row r="198" ht="15.75" customHeight="1">
      <c r="C198" s="98"/>
      <c r="D198" s="38"/>
      <c r="E198" s="38"/>
      <c r="F198" s="98"/>
      <c r="G198" s="39"/>
      <c r="H198" s="39"/>
      <c r="I198" s="39"/>
      <c r="J198" s="39"/>
      <c r="K198" s="99"/>
      <c r="L198" s="99"/>
      <c r="M198" s="99"/>
      <c r="N198" s="39"/>
      <c r="O198" s="39"/>
      <c r="P198" s="39"/>
      <c r="Q198" s="39"/>
      <c r="R198" s="39"/>
      <c r="S198" s="39"/>
      <c r="T198" s="39"/>
      <c r="AR198" s="61"/>
    </row>
    <row r="199" ht="15.75" customHeight="1">
      <c r="C199" s="98"/>
      <c r="D199" s="38"/>
      <c r="E199" s="38"/>
      <c r="F199" s="98"/>
      <c r="G199" s="39"/>
      <c r="H199" s="39"/>
      <c r="I199" s="39"/>
      <c r="J199" s="39"/>
      <c r="K199" s="99"/>
      <c r="L199" s="99"/>
      <c r="M199" s="99"/>
      <c r="N199" s="39"/>
      <c r="O199" s="39"/>
      <c r="P199" s="39"/>
      <c r="Q199" s="39"/>
      <c r="R199" s="39"/>
      <c r="S199" s="39"/>
      <c r="T199" s="39"/>
      <c r="AR199" s="61"/>
    </row>
    <row r="200" ht="15.75" customHeight="1">
      <c r="C200" s="98"/>
      <c r="D200" s="38"/>
      <c r="E200" s="38"/>
      <c r="F200" s="98"/>
      <c r="G200" s="39"/>
      <c r="H200" s="39"/>
      <c r="I200" s="39"/>
      <c r="J200" s="39"/>
      <c r="K200" s="99"/>
      <c r="L200" s="99"/>
      <c r="M200" s="99"/>
      <c r="N200" s="39"/>
      <c r="O200" s="39"/>
      <c r="P200" s="39"/>
      <c r="Q200" s="39"/>
      <c r="R200" s="39"/>
      <c r="S200" s="39"/>
      <c r="T200" s="39"/>
      <c r="AR200" s="61"/>
    </row>
    <row r="201" ht="15.75" customHeight="1">
      <c r="C201" s="98"/>
      <c r="D201" s="38"/>
      <c r="E201" s="38"/>
      <c r="F201" s="98"/>
      <c r="G201" s="39"/>
      <c r="H201" s="39"/>
      <c r="I201" s="39"/>
      <c r="J201" s="39"/>
      <c r="K201" s="99"/>
      <c r="L201" s="99"/>
      <c r="M201" s="99"/>
      <c r="N201" s="39"/>
      <c r="O201" s="39"/>
      <c r="P201" s="39"/>
      <c r="Q201" s="39"/>
      <c r="R201" s="39"/>
      <c r="S201" s="39"/>
      <c r="T201" s="39"/>
      <c r="AR201" s="61"/>
    </row>
    <row r="202" ht="15.75" customHeight="1">
      <c r="C202" s="98"/>
      <c r="D202" s="38"/>
      <c r="E202" s="38"/>
      <c r="F202" s="98"/>
      <c r="G202" s="39"/>
      <c r="H202" s="39"/>
      <c r="I202" s="39"/>
      <c r="J202" s="39"/>
      <c r="K202" s="99"/>
      <c r="L202" s="99"/>
      <c r="M202" s="99"/>
      <c r="N202" s="39"/>
      <c r="O202" s="39"/>
      <c r="P202" s="39"/>
      <c r="Q202" s="39"/>
      <c r="R202" s="39"/>
      <c r="S202" s="39"/>
      <c r="T202" s="39"/>
      <c r="AR202" s="61"/>
    </row>
    <row r="203" ht="15.75" customHeight="1">
      <c r="C203" s="98"/>
      <c r="D203" s="38"/>
      <c r="E203" s="38"/>
      <c r="F203" s="98"/>
      <c r="G203" s="39"/>
      <c r="H203" s="39"/>
      <c r="I203" s="39"/>
      <c r="J203" s="39"/>
      <c r="K203" s="99"/>
      <c r="L203" s="99"/>
      <c r="M203" s="99"/>
      <c r="N203" s="39"/>
      <c r="O203" s="39"/>
      <c r="P203" s="39"/>
      <c r="Q203" s="39"/>
      <c r="R203" s="39"/>
      <c r="S203" s="39"/>
      <c r="T203" s="39"/>
      <c r="AR203" s="61"/>
    </row>
    <row r="204" ht="15.75" customHeight="1">
      <c r="C204" s="98"/>
      <c r="D204" s="38"/>
      <c r="E204" s="38"/>
      <c r="F204" s="98"/>
      <c r="G204" s="39"/>
      <c r="H204" s="39"/>
      <c r="I204" s="39"/>
      <c r="J204" s="39"/>
      <c r="K204" s="99"/>
      <c r="L204" s="99"/>
      <c r="M204" s="99"/>
      <c r="N204" s="39"/>
      <c r="O204" s="39"/>
      <c r="P204" s="39"/>
      <c r="Q204" s="39"/>
      <c r="R204" s="39"/>
      <c r="S204" s="39"/>
      <c r="T204" s="39"/>
      <c r="AR204" s="61"/>
    </row>
    <row r="205" ht="15.75" customHeight="1">
      <c r="C205" s="98"/>
      <c r="D205" s="38"/>
      <c r="E205" s="38"/>
      <c r="F205" s="98"/>
      <c r="G205" s="39"/>
      <c r="H205" s="39"/>
      <c r="I205" s="39"/>
      <c r="J205" s="39"/>
      <c r="K205" s="99"/>
      <c r="L205" s="99"/>
      <c r="M205" s="99"/>
      <c r="N205" s="39"/>
      <c r="O205" s="39"/>
      <c r="P205" s="39"/>
      <c r="Q205" s="39"/>
      <c r="R205" s="39"/>
      <c r="S205" s="39"/>
      <c r="T205" s="39"/>
      <c r="AR205" s="61"/>
    </row>
    <row r="206" ht="15.75" customHeight="1">
      <c r="C206" s="98"/>
      <c r="D206" s="38"/>
      <c r="E206" s="38"/>
      <c r="F206" s="98"/>
      <c r="G206" s="39"/>
      <c r="H206" s="39"/>
      <c r="I206" s="39"/>
      <c r="J206" s="39"/>
      <c r="K206" s="99"/>
      <c r="L206" s="99"/>
      <c r="M206" s="99"/>
      <c r="N206" s="39"/>
      <c r="O206" s="39"/>
      <c r="P206" s="39"/>
      <c r="Q206" s="39"/>
      <c r="R206" s="39"/>
      <c r="S206" s="39"/>
      <c r="T206" s="39"/>
      <c r="AR206" s="61"/>
    </row>
    <row r="207" ht="15.75" customHeight="1">
      <c r="C207" s="98"/>
      <c r="D207" s="38"/>
      <c r="E207" s="38"/>
      <c r="F207" s="98"/>
      <c r="G207" s="39"/>
      <c r="H207" s="39"/>
      <c r="I207" s="39"/>
      <c r="J207" s="39"/>
      <c r="K207" s="99"/>
      <c r="L207" s="99"/>
      <c r="M207" s="99"/>
      <c r="N207" s="39"/>
      <c r="O207" s="39"/>
      <c r="P207" s="39"/>
      <c r="Q207" s="39"/>
      <c r="R207" s="39"/>
      <c r="S207" s="39"/>
      <c r="T207" s="39"/>
      <c r="AR207" s="61"/>
    </row>
    <row r="208" ht="15.75" customHeight="1">
      <c r="C208" s="98"/>
      <c r="D208" s="38"/>
      <c r="E208" s="38"/>
      <c r="F208" s="98"/>
      <c r="G208" s="39"/>
      <c r="H208" s="39"/>
      <c r="I208" s="39"/>
      <c r="J208" s="39"/>
      <c r="K208" s="99"/>
      <c r="L208" s="99"/>
      <c r="M208" s="99"/>
      <c r="N208" s="39"/>
      <c r="O208" s="39"/>
      <c r="P208" s="39"/>
      <c r="Q208" s="39"/>
      <c r="R208" s="39"/>
      <c r="S208" s="39"/>
      <c r="T208" s="39"/>
      <c r="AR208" s="61"/>
    </row>
    <row r="209" ht="15.75" customHeight="1">
      <c r="C209" s="98"/>
      <c r="D209" s="38"/>
      <c r="E209" s="38"/>
      <c r="F209" s="98"/>
      <c r="G209" s="39"/>
      <c r="H209" s="39"/>
      <c r="I209" s="39"/>
      <c r="J209" s="39"/>
      <c r="K209" s="99"/>
      <c r="L209" s="99"/>
      <c r="M209" s="99"/>
      <c r="N209" s="39"/>
      <c r="O209" s="39"/>
      <c r="P209" s="39"/>
      <c r="Q209" s="39"/>
      <c r="R209" s="39"/>
      <c r="S209" s="39"/>
      <c r="T209" s="39"/>
      <c r="AR209" s="61"/>
    </row>
    <row r="210" ht="15.75" customHeight="1">
      <c r="C210" s="98"/>
      <c r="D210" s="38"/>
      <c r="E210" s="38"/>
      <c r="F210" s="98"/>
      <c r="G210" s="39"/>
      <c r="H210" s="39"/>
      <c r="I210" s="39"/>
      <c r="J210" s="39"/>
      <c r="K210" s="99"/>
      <c r="L210" s="99"/>
      <c r="M210" s="99"/>
      <c r="N210" s="39"/>
      <c r="O210" s="39"/>
      <c r="P210" s="39"/>
      <c r="Q210" s="39"/>
      <c r="R210" s="39"/>
      <c r="S210" s="39"/>
      <c r="T210" s="39"/>
      <c r="AR210" s="61"/>
    </row>
    <row r="211" ht="15.75" customHeight="1">
      <c r="C211" s="98"/>
      <c r="D211" s="38"/>
      <c r="E211" s="38"/>
      <c r="F211" s="98"/>
      <c r="G211" s="39"/>
      <c r="H211" s="39"/>
      <c r="I211" s="39"/>
      <c r="J211" s="39"/>
      <c r="K211" s="99"/>
      <c r="L211" s="99"/>
      <c r="M211" s="99"/>
      <c r="N211" s="39"/>
      <c r="O211" s="39"/>
      <c r="P211" s="39"/>
      <c r="Q211" s="39"/>
      <c r="R211" s="39"/>
      <c r="S211" s="39"/>
      <c r="T211" s="39"/>
      <c r="AR211" s="61"/>
    </row>
    <row r="212" ht="15.75" customHeight="1">
      <c r="C212" s="98"/>
      <c r="D212" s="38"/>
      <c r="E212" s="38"/>
      <c r="F212" s="98"/>
      <c r="G212" s="39"/>
      <c r="H212" s="39"/>
      <c r="I212" s="39"/>
      <c r="J212" s="39"/>
      <c r="K212" s="99"/>
      <c r="L212" s="99"/>
      <c r="M212" s="99"/>
      <c r="N212" s="39"/>
      <c r="O212" s="39"/>
      <c r="P212" s="39"/>
      <c r="Q212" s="39"/>
      <c r="R212" s="39"/>
      <c r="S212" s="39"/>
      <c r="T212" s="39"/>
      <c r="AR212" s="61"/>
    </row>
    <row r="213" ht="15.75" customHeight="1">
      <c r="C213" s="98"/>
      <c r="D213" s="38"/>
      <c r="E213" s="38"/>
      <c r="F213" s="98"/>
      <c r="G213" s="39"/>
      <c r="H213" s="39"/>
      <c r="I213" s="39"/>
      <c r="J213" s="39"/>
      <c r="K213" s="99"/>
      <c r="L213" s="99"/>
      <c r="M213" s="99"/>
      <c r="N213" s="39"/>
      <c r="O213" s="39"/>
      <c r="P213" s="39"/>
      <c r="Q213" s="39"/>
      <c r="R213" s="39"/>
      <c r="S213" s="39"/>
      <c r="T213" s="39"/>
      <c r="AR213" s="61"/>
    </row>
    <row r="214" ht="15.75" customHeight="1">
      <c r="C214" s="98"/>
      <c r="D214" s="38"/>
      <c r="E214" s="38"/>
      <c r="F214" s="98"/>
      <c r="G214" s="39"/>
      <c r="H214" s="39"/>
      <c r="I214" s="39"/>
      <c r="J214" s="39"/>
      <c r="K214" s="99"/>
      <c r="L214" s="99"/>
      <c r="M214" s="99"/>
      <c r="N214" s="39"/>
      <c r="O214" s="39"/>
      <c r="P214" s="39"/>
      <c r="Q214" s="39"/>
      <c r="R214" s="39"/>
      <c r="S214" s="39"/>
      <c r="T214" s="39"/>
      <c r="AR214" s="61"/>
    </row>
    <row r="215" ht="15.75" customHeight="1">
      <c r="C215" s="98"/>
      <c r="D215" s="38"/>
      <c r="E215" s="38"/>
      <c r="F215" s="98"/>
      <c r="G215" s="39"/>
      <c r="H215" s="39"/>
      <c r="I215" s="39"/>
      <c r="J215" s="39"/>
      <c r="K215" s="99"/>
      <c r="L215" s="99"/>
      <c r="M215" s="99"/>
      <c r="N215" s="39"/>
      <c r="O215" s="39"/>
      <c r="P215" s="39"/>
      <c r="Q215" s="39"/>
      <c r="R215" s="39"/>
      <c r="S215" s="39"/>
      <c r="T215" s="39"/>
      <c r="AR215" s="61"/>
    </row>
    <row r="216" ht="15.75" customHeight="1">
      <c r="C216" s="98"/>
      <c r="D216" s="38"/>
      <c r="E216" s="38"/>
      <c r="F216" s="98"/>
      <c r="G216" s="39"/>
      <c r="H216" s="39"/>
      <c r="I216" s="39"/>
      <c r="J216" s="39"/>
      <c r="K216" s="99"/>
      <c r="L216" s="99"/>
      <c r="M216" s="99"/>
      <c r="N216" s="39"/>
      <c r="O216" s="39"/>
      <c r="P216" s="39"/>
      <c r="Q216" s="39"/>
      <c r="R216" s="39"/>
      <c r="S216" s="39"/>
      <c r="T216" s="39"/>
      <c r="AR216" s="61"/>
    </row>
    <row r="217" ht="15.75" customHeight="1">
      <c r="C217" s="98"/>
      <c r="D217" s="38"/>
      <c r="E217" s="38"/>
      <c r="F217" s="98"/>
      <c r="G217" s="39"/>
      <c r="H217" s="39"/>
      <c r="I217" s="39"/>
      <c r="J217" s="39"/>
      <c r="K217" s="99"/>
      <c r="L217" s="99"/>
      <c r="M217" s="99"/>
      <c r="N217" s="39"/>
      <c r="O217" s="39"/>
      <c r="P217" s="39"/>
      <c r="Q217" s="39"/>
      <c r="R217" s="39"/>
      <c r="S217" s="39"/>
      <c r="T217" s="39"/>
      <c r="AR217" s="61"/>
    </row>
    <row r="218" ht="15.75" customHeight="1">
      <c r="C218" s="98"/>
      <c r="D218" s="38"/>
      <c r="E218" s="38"/>
      <c r="F218" s="98"/>
      <c r="G218" s="39"/>
      <c r="H218" s="39"/>
      <c r="I218" s="39"/>
      <c r="J218" s="39"/>
      <c r="K218" s="99"/>
      <c r="L218" s="99"/>
      <c r="M218" s="99"/>
      <c r="N218" s="39"/>
      <c r="O218" s="39"/>
      <c r="P218" s="39"/>
      <c r="Q218" s="39"/>
      <c r="R218" s="39"/>
      <c r="S218" s="39"/>
      <c r="T218" s="39"/>
      <c r="AR218" s="61"/>
    </row>
    <row r="219" ht="15.75" customHeight="1">
      <c r="C219" s="98"/>
      <c r="D219" s="38"/>
      <c r="E219" s="38"/>
      <c r="F219" s="98"/>
      <c r="G219" s="39"/>
      <c r="H219" s="39"/>
      <c r="I219" s="39"/>
      <c r="J219" s="39"/>
      <c r="K219" s="99"/>
      <c r="L219" s="99"/>
      <c r="M219" s="99"/>
      <c r="N219" s="39"/>
      <c r="O219" s="39"/>
      <c r="P219" s="39"/>
      <c r="Q219" s="39"/>
      <c r="R219" s="39"/>
      <c r="S219" s="39"/>
      <c r="T219" s="39"/>
      <c r="AR219" s="61"/>
    </row>
    <row r="220" ht="15.75" customHeight="1">
      <c r="C220" s="98"/>
      <c r="D220" s="38"/>
      <c r="E220" s="38"/>
      <c r="F220" s="98"/>
      <c r="G220" s="39"/>
      <c r="H220" s="39"/>
      <c r="I220" s="39"/>
      <c r="J220" s="39"/>
      <c r="K220" s="99"/>
      <c r="L220" s="99"/>
      <c r="M220" s="99"/>
      <c r="N220" s="39"/>
      <c r="O220" s="39"/>
      <c r="P220" s="39"/>
      <c r="Q220" s="39"/>
      <c r="R220" s="39"/>
      <c r="S220" s="39"/>
      <c r="T220" s="39"/>
      <c r="AR220" s="61"/>
    </row>
    <row r="221" ht="15.75" customHeight="1">
      <c r="C221" s="98"/>
      <c r="D221" s="38"/>
      <c r="E221" s="38"/>
      <c r="F221" s="98"/>
      <c r="G221" s="39"/>
      <c r="H221" s="39"/>
      <c r="I221" s="39"/>
      <c r="J221" s="39"/>
      <c r="K221" s="99"/>
      <c r="L221" s="99"/>
      <c r="M221" s="99"/>
      <c r="N221" s="39"/>
      <c r="O221" s="39"/>
      <c r="P221" s="39"/>
      <c r="Q221" s="39"/>
      <c r="R221" s="39"/>
      <c r="S221" s="39"/>
      <c r="T221" s="39"/>
      <c r="AR221" s="61"/>
    </row>
    <row r="222" ht="15.75" customHeight="1">
      <c r="C222" s="98"/>
      <c r="D222" s="38"/>
      <c r="E222" s="38"/>
      <c r="F222" s="98"/>
      <c r="G222" s="39"/>
      <c r="H222" s="39"/>
      <c r="I222" s="39"/>
      <c r="J222" s="39"/>
      <c r="K222" s="99"/>
      <c r="L222" s="99"/>
      <c r="M222" s="99"/>
      <c r="N222" s="39"/>
      <c r="O222" s="39"/>
      <c r="P222" s="39"/>
      <c r="Q222" s="39"/>
      <c r="R222" s="39"/>
      <c r="S222" s="39"/>
      <c r="T222" s="39"/>
      <c r="AR222" s="61"/>
    </row>
    <row r="223" ht="15.75" customHeight="1">
      <c r="C223" s="98"/>
      <c r="D223" s="38"/>
      <c r="E223" s="38"/>
      <c r="F223" s="98"/>
      <c r="G223" s="39"/>
      <c r="H223" s="39"/>
      <c r="I223" s="39"/>
      <c r="J223" s="39"/>
      <c r="K223" s="99"/>
      <c r="L223" s="99"/>
      <c r="M223" s="99"/>
      <c r="N223" s="39"/>
      <c r="O223" s="39"/>
      <c r="P223" s="39"/>
      <c r="Q223" s="39"/>
      <c r="R223" s="39"/>
      <c r="S223" s="39"/>
      <c r="T223" s="39"/>
      <c r="AR223" s="61"/>
    </row>
    <row r="224" ht="15.75" customHeight="1">
      <c r="C224" s="98"/>
      <c r="D224" s="38"/>
      <c r="E224" s="38"/>
      <c r="F224" s="98"/>
      <c r="G224" s="39"/>
      <c r="H224" s="39"/>
      <c r="I224" s="39"/>
      <c r="J224" s="39"/>
      <c r="K224" s="99"/>
      <c r="L224" s="99"/>
      <c r="M224" s="99"/>
      <c r="N224" s="39"/>
      <c r="O224" s="39"/>
      <c r="P224" s="39"/>
      <c r="Q224" s="39"/>
      <c r="R224" s="39"/>
      <c r="S224" s="39"/>
      <c r="T224" s="39"/>
      <c r="AR224" s="61"/>
    </row>
    <row r="225" ht="15.75" customHeight="1">
      <c r="C225" s="98"/>
      <c r="D225" s="38"/>
      <c r="E225" s="38"/>
      <c r="F225" s="98"/>
      <c r="G225" s="39"/>
      <c r="H225" s="39"/>
      <c r="I225" s="39"/>
      <c r="J225" s="39"/>
      <c r="K225" s="99"/>
      <c r="L225" s="99"/>
      <c r="M225" s="99"/>
      <c r="N225" s="39"/>
      <c r="O225" s="39"/>
      <c r="P225" s="39"/>
      <c r="Q225" s="39"/>
      <c r="R225" s="39"/>
      <c r="S225" s="39"/>
      <c r="T225" s="39"/>
      <c r="AR225" s="61"/>
    </row>
    <row r="226" ht="15.75" customHeight="1">
      <c r="C226" s="98"/>
      <c r="D226" s="38"/>
      <c r="E226" s="38"/>
      <c r="F226" s="98"/>
      <c r="G226" s="39"/>
      <c r="H226" s="39"/>
      <c r="I226" s="39"/>
      <c r="J226" s="39"/>
      <c r="K226" s="99"/>
      <c r="L226" s="99"/>
      <c r="M226" s="99"/>
      <c r="N226" s="39"/>
      <c r="O226" s="39"/>
      <c r="P226" s="39"/>
      <c r="Q226" s="39"/>
      <c r="R226" s="39"/>
      <c r="S226" s="39"/>
      <c r="T226" s="39"/>
      <c r="AR226" s="61"/>
    </row>
    <row r="227" ht="15.75" customHeight="1">
      <c r="C227" s="98"/>
      <c r="D227" s="38"/>
      <c r="E227" s="38"/>
      <c r="F227" s="98"/>
      <c r="G227" s="39"/>
      <c r="H227" s="39"/>
      <c r="I227" s="39"/>
      <c r="J227" s="39"/>
      <c r="K227" s="99"/>
      <c r="L227" s="99"/>
      <c r="M227" s="99"/>
      <c r="N227" s="39"/>
      <c r="O227" s="39"/>
      <c r="P227" s="39"/>
      <c r="Q227" s="39"/>
      <c r="R227" s="39"/>
      <c r="S227" s="39"/>
      <c r="T227" s="39"/>
      <c r="AR227" s="61"/>
    </row>
    <row r="228" ht="15.75" customHeight="1">
      <c r="C228" s="98"/>
      <c r="D228" s="38"/>
      <c r="E228" s="38"/>
      <c r="F228" s="98"/>
      <c r="G228" s="39"/>
      <c r="H228" s="39"/>
      <c r="I228" s="39"/>
      <c r="J228" s="39"/>
      <c r="K228" s="99"/>
      <c r="L228" s="99"/>
      <c r="M228" s="99"/>
      <c r="N228" s="39"/>
      <c r="O228" s="39"/>
      <c r="P228" s="39"/>
      <c r="Q228" s="39"/>
      <c r="R228" s="39"/>
      <c r="S228" s="39"/>
      <c r="T228" s="39"/>
      <c r="AR228" s="61"/>
    </row>
    <row r="229" ht="15.75" customHeight="1">
      <c r="C229" s="98"/>
      <c r="D229" s="38"/>
      <c r="E229" s="38"/>
      <c r="F229" s="98"/>
      <c r="G229" s="39"/>
      <c r="H229" s="39"/>
      <c r="I229" s="39"/>
      <c r="J229" s="39"/>
      <c r="K229" s="99"/>
      <c r="L229" s="99"/>
      <c r="M229" s="99"/>
      <c r="N229" s="39"/>
      <c r="O229" s="39"/>
      <c r="P229" s="39"/>
      <c r="Q229" s="39"/>
      <c r="R229" s="39"/>
      <c r="S229" s="39"/>
      <c r="T229" s="39"/>
      <c r="AR229" s="61"/>
    </row>
    <row r="230" ht="15.75" customHeight="1">
      <c r="C230" s="98"/>
      <c r="D230" s="38"/>
      <c r="E230" s="38"/>
      <c r="F230" s="98"/>
      <c r="G230" s="39"/>
      <c r="H230" s="39"/>
      <c r="I230" s="39"/>
      <c r="J230" s="39"/>
      <c r="K230" s="99"/>
      <c r="L230" s="99"/>
      <c r="M230" s="99"/>
      <c r="N230" s="39"/>
      <c r="O230" s="39"/>
      <c r="P230" s="39"/>
      <c r="Q230" s="39"/>
      <c r="R230" s="39"/>
      <c r="S230" s="39"/>
      <c r="T230" s="39"/>
      <c r="AR230" s="61"/>
    </row>
    <row r="231" ht="15.75" customHeight="1">
      <c r="C231" s="98"/>
      <c r="D231" s="38"/>
      <c r="E231" s="38"/>
      <c r="F231" s="98"/>
      <c r="G231" s="39"/>
      <c r="H231" s="39"/>
      <c r="I231" s="39"/>
      <c r="J231" s="39"/>
      <c r="K231" s="99"/>
      <c r="L231" s="99"/>
      <c r="M231" s="99"/>
      <c r="N231" s="39"/>
      <c r="O231" s="39"/>
      <c r="P231" s="39"/>
      <c r="Q231" s="39"/>
      <c r="R231" s="39"/>
      <c r="S231" s="39"/>
      <c r="T231" s="39"/>
      <c r="AR231" s="61"/>
    </row>
    <row r="232" ht="15.75" customHeight="1">
      <c r="C232" s="98"/>
      <c r="D232" s="38"/>
      <c r="E232" s="38"/>
      <c r="F232" s="98"/>
      <c r="G232" s="39"/>
      <c r="H232" s="39"/>
      <c r="I232" s="39"/>
      <c r="J232" s="39"/>
      <c r="K232" s="99"/>
      <c r="L232" s="99"/>
      <c r="M232" s="99"/>
      <c r="N232" s="39"/>
      <c r="O232" s="39"/>
      <c r="P232" s="39"/>
      <c r="Q232" s="39"/>
      <c r="R232" s="39"/>
      <c r="S232" s="39"/>
      <c r="T232" s="39"/>
      <c r="AR232" s="61"/>
    </row>
    <row r="233" ht="15.75" customHeight="1">
      <c r="C233" s="98"/>
      <c r="D233" s="38"/>
      <c r="E233" s="38"/>
      <c r="F233" s="98"/>
      <c r="G233" s="39"/>
      <c r="H233" s="39"/>
      <c r="I233" s="39"/>
      <c r="J233" s="39"/>
      <c r="K233" s="99"/>
      <c r="L233" s="99"/>
      <c r="M233" s="99"/>
      <c r="N233" s="39"/>
      <c r="O233" s="39"/>
      <c r="P233" s="39"/>
      <c r="Q233" s="39"/>
      <c r="R233" s="39"/>
      <c r="S233" s="39"/>
      <c r="T233" s="39"/>
      <c r="AR233" s="61"/>
    </row>
    <row r="234" ht="15.75" customHeight="1">
      <c r="C234" s="98"/>
      <c r="D234" s="38"/>
      <c r="E234" s="38"/>
      <c r="F234" s="98"/>
      <c r="G234" s="39"/>
      <c r="H234" s="39"/>
      <c r="I234" s="39"/>
      <c r="J234" s="39"/>
      <c r="K234" s="99"/>
      <c r="L234" s="99"/>
      <c r="M234" s="99"/>
      <c r="N234" s="39"/>
      <c r="O234" s="39"/>
      <c r="P234" s="39"/>
      <c r="Q234" s="39"/>
      <c r="R234" s="39"/>
      <c r="S234" s="39"/>
      <c r="T234" s="39"/>
      <c r="AR234" s="61"/>
    </row>
    <row r="235" ht="15.75" customHeight="1">
      <c r="C235" s="98"/>
      <c r="D235" s="38"/>
      <c r="E235" s="38"/>
      <c r="F235" s="98"/>
      <c r="G235" s="39"/>
      <c r="H235" s="39"/>
      <c r="I235" s="39"/>
      <c r="J235" s="39"/>
      <c r="K235" s="99"/>
      <c r="L235" s="99"/>
      <c r="M235" s="99"/>
      <c r="N235" s="39"/>
      <c r="O235" s="39"/>
      <c r="P235" s="39"/>
      <c r="Q235" s="39"/>
      <c r="R235" s="39"/>
      <c r="S235" s="39"/>
      <c r="T235" s="39"/>
      <c r="AR235" s="61"/>
    </row>
    <row r="236" ht="15.75" customHeight="1">
      <c r="C236" s="98"/>
      <c r="D236" s="38"/>
      <c r="E236" s="38"/>
      <c r="F236" s="98"/>
      <c r="G236" s="39"/>
      <c r="H236" s="39"/>
      <c r="I236" s="39"/>
      <c r="J236" s="39"/>
      <c r="K236" s="99"/>
      <c r="L236" s="99"/>
      <c r="M236" s="99"/>
      <c r="N236" s="39"/>
      <c r="O236" s="39"/>
      <c r="P236" s="39"/>
      <c r="Q236" s="39"/>
      <c r="R236" s="39"/>
      <c r="S236" s="39"/>
      <c r="T236" s="39"/>
      <c r="AR236" s="61"/>
    </row>
    <row r="237" ht="15.75" customHeight="1">
      <c r="C237" s="98"/>
      <c r="D237" s="38"/>
      <c r="E237" s="38"/>
      <c r="F237" s="98"/>
      <c r="G237" s="39"/>
      <c r="H237" s="39"/>
      <c r="I237" s="39"/>
      <c r="J237" s="39"/>
      <c r="K237" s="99"/>
      <c r="L237" s="99"/>
      <c r="M237" s="99"/>
      <c r="N237" s="39"/>
      <c r="O237" s="39"/>
      <c r="P237" s="39"/>
      <c r="Q237" s="39"/>
      <c r="R237" s="39"/>
      <c r="S237" s="39"/>
      <c r="T237" s="39"/>
      <c r="AR237" s="61"/>
    </row>
    <row r="238" ht="15.75" customHeight="1">
      <c r="C238" s="98"/>
      <c r="D238" s="38"/>
      <c r="E238" s="38"/>
      <c r="F238" s="98"/>
      <c r="G238" s="39"/>
      <c r="H238" s="39"/>
      <c r="I238" s="39"/>
      <c r="J238" s="39"/>
      <c r="K238" s="99"/>
      <c r="L238" s="99"/>
      <c r="M238" s="99"/>
      <c r="N238" s="39"/>
      <c r="O238" s="39"/>
      <c r="P238" s="39"/>
      <c r="Q238" s="39"/>
      <c r="R238" s="39"/>
      <c r="S238" s="39"/>
      <c r="T238" s="39"/>
      <c r="AR238" s="61"/>
    </row>
    <row r="239" ht="15.75" customHeight="1">
      <c r="C239" s="98"/>
      <c r="D239" s="38"/>
      <c r="E239" s="38"/>
      <c r="F239" s="98"/>
      <c r="G239" s="39"/>
      <c r="H239" s="39"/>
      <c r="I239" s="39"/>
      <c r="J239" s="39"/>
      <c r="K239" s="99"/>
      <c r="L239" s="99"/>
      <c r="M239" s="99"/>
      <c r="N239" s="39"/>
      <c r="O239" s="39"/>
      <c r="P239" s="39"/>
      <c r="Q239" s="39"/>
      <c r="R239" s="39"/>
      <c r="S239" s="39"/>
      <c r="T239" s="39"/>
      <c r="AR239" s="61"/>
    </row>
    <row r="240" ht="15.75" customHeight="1">
      <c r="K240" s="130"/>
      <c r="L240" s="130"/>
      <c r="M240" s="130"/>
      <c r="AR240" s="61"/>
    </row>
    <row r="241" ht="15.75" customHeight="1">
      <c r="K241" s="130"/>
      <c r="L241" s="130"/>
      <c r="M241" s="130"/>
      <c r="AR241" s="61"/>
    </row>
    <row r="242" ht="15.75" customHeight="1">
      <c r="K242" s="130"/>
      <c r="L242" s="130"/>
      <c r="M242" s="130"/>
      <c r="AR242" s="61"/>
    </row>
    <row r="243" ht="15.75" customHeight="1">
      <c r="K243" s="130"/>
      <c r="L243" s="130"/>
      <c r="M243" s="130"/>
      <c r="AR243" s="61"/>
    </row>
    <row r="244" ht="15.75" customHeight="1">
      <c r="K244" s="130"/>
      <c r="L244" s="130"/>
      <c r="M244" s="130"/>
      <c r="AR244" s="61"/>
    </row>
    <row r="245" ht="15.75" customHeight="1">
      <c r="K245" s="130"/>
      <c r="L245" s="130"/>
      <c r="M245" s="130"/>
      <c r="AR245" s="61"/>
    </row>
    <row r="246" ht="15.75" customHeight="1">
      <c r="K246" s="130"/>
      <c r="L246" s="130"/>
      <c r="M246" s="130"/>
      <c r="AR246" s="61"/>
    </row>
    <row r="247" ht="15.75" customHeight="1">
      <c r="K247" s="130"/>
      <c r="L247" s="130"/>
      <c r="M247" s="130"/>
      <c r="AR247" s="61"/>
    </row>
    <row r="248" ht="15.75" customHeight="1">
      <c r="K248" s="130"/>
      <c r="L248" s="130"/>
      <c r="M248" s="130"/>
      <c r="AR248" s="61"/>
    </row>
    <row r="249" ht="15.75" customHeight="1">
      <c r="K249" s="130"/>
      <c r="L249" s="130"/>
      <c r="M249" s="130"/>
      <c r="AR249" s="61"/>
    </row>
    <row r="250" ht="15.75" customHeight="1">
      <c r="K250" s="130"/>
      <c r="L250" s="130"/>
      <c r="M250" s="130"/>
      <c r="AR250" s="61"/>
    </row>
    <row r="251" ht="15.75" customHeight="1">
      <c r="K251" s="130"/>
      <c r="L251" s="130"/>
      <c r="M251" s="130"/>
      <c r="AR251" s="61"/>
    </row>
    <row r="252" ht="15.75" customHeight="1">
      <c r="K252" s="130"/>
      <c r="L252" s="130"/>
      <c r="M252" s="130"/>
      <c r="AR252" s="61"/>
    </row>
    <row r="253" ht="15.75" customHeight="1">
      <c r="K253" s="130"/>
      <c r="L253" s="130"/>
      <c r="M253" s="130"/>
      <c r="AR253" s="61"/>
    </row>
    <row r="254" ht="15.75" customHeight="1">
      <c r="K254" s="130"/>
      <c r="L254" s="130"/>
      <c r="M254" s="130"/>
      <c r="AR254" s="61"/>
    </row>
    <row r="255" ht="15.75" customHeight="1">
      <c r="K255" s="130"/>
      <c r="L255" s="130"/>
      <c r="M255" s="130"/>
      <c r="AR255" s="61"/>
    </row>
    <row r="256" ht="15.75" customHeight="1">
      <c r="K256" s="130"/>
      <c r="L256" s="130"/>
      <c r="M256" s="130"/>
      <c r="AR256" s="61"/>
    </row>
    <row r="257" ht="15.75" customHeight="1">
      <c r="K257" s="130"/>
      <c r="L257" s="130"/>
      <c r="M257" s="130"/>
      <c r="AR257" s="61"/>
    </row>
    <row r="258" ht="15.75" customHeight="1">
      <c r="K258" s="130"/>
      <c r="L258" s="130"/>
      <c r="M258" s="130"/>
      <c r="AR258" s="61"/>
    </row>
    <row r="259" ht="15.75" customHeight="1">
      <c r="K259" s="130"/>
      <c r="L259" s="130"/>
      <c r="M259" s="130"/>
      <c r="AR259" s="61"/>
    </row>
    <row r="260" ht="15.75" customHeight="1">
      <c r="K260" s="130"/>
      <c r="L260" s="130"/>
      <c r="M260" s="130"/>
      <c r="AR260" s="61"/>
    </row>
    <row r="261" ht="15.75" customHeight="1">
      <c r="K261" s="130"/>
      <c r="L261" s="130"/>
      <c r="M261" s="130"/>
      <c r="AR261" s="61"/>
    </row>
    <row r="262" ht="15.75" customHeight="1">
      <c r="K262" s="130"/>
      <c r="L262" s="130"/>
      <c r="M262" s="130"/>
      <c r="AR262" s="61"/>
    </row>
    <row r="263" ht="15.75" customHeight="1">
      <c r="K263" s="130"/>
      <c r="L263" s="130"/>
      <c r="M263" s="130"/>
      <c r="AR263" s="61"/>
    </row>
    <row r="264" ht="15.75" customHeight="1">
      <c r="K264" s="130"/>
      <c r="L264" s="130"/>
      <c r="M264" s="130"/>
      <c r="AR264" s="61"/>
    </row>
    <row r="265" ht="15.75" customHeight="1">
      <c r="K265" s="130"/>
      <c r="L265" s="130"/>
      <c r="M265" s="130"/>
      <c r="AR265" s="61"/>
    </row>
    <row r="266" ht="15.75" customHeight="1">
      <c r="K266" s="130"/>
      <c r="L266" s="130"/>
      <c r="M266" s="130"/>
      <c r="AR266" s="61"/>
    </row>
    <row r="267" ht="15.75" customHeight="1">
      <c r="K267" s="130"/>
      <c r="L267" s="130"/>
      <c r="M267" s="130"/>
      <c r="AR267" s="61"/>
    </row>
    <row r="268" ht="15.75" customHeight="1">
      <c r="K268" s="130"/>
      <c r="L268" s="130"/>
      <c r="M268" s="130"/>
      <c r="AR268" s="61"/>
    </row>
    <row r="269" ht="15.75" customHeight="1">
      <c r="K269" s="130"/>
      <c r="L269" s="130"/>
      <c r="M269" s="130"/>
      <c r="AR269" s="61"/>
    </row>
    <row r="270" ht="15.75" customHeight="1">
      <c r="K270" s="130"/>
      <c r="L270" s="130"/>
      <c r="M270" s="130"/>
      <c r="AR270" s="61"/>
    </row>
    <row r="271" ht="15.75" customHeight="1">
      <c r="K271" s="130"/>
      <c r="L271" s="130"/>
      <c r="M271" s="130"/>
      <c r="AR271" s="61"/>
    </row>
    <row r="272" ht="15.75" customHeight="1">
      <c r="K272" s="130"/>
      <c r="L272" s="130"/>
      <c r="M272" s="130"/>
      <c r="AR272" s="61"/>
    </row>
    <row r="273" ht="15.75" customHeight="1">
      <c r="K273" s="130"/>
      <c r="L273" s="130"/>
      <c r="M273" s="130"/>
      <c r="AR273" s="61"/>
    </row>
    <row r="274" ht="15.75" customHeight="1">
      <c r="K274" s="130"/>
      <c r="L274" s="130"/>
      <c r="M274" s="130"/>
      <c r="AR274" s="61"/>
    </row>
    <row r="275" ht="15.75" customHeight="1">
      <c r="K275" s="130"/>
      <c r="L275" s="130"/>
      <c r="M275" s="130"/>
      <c r="AR275" s="61"/>
    </row>
    <row r="276" ht="15.75" customHeight="1">
      <c r="K276" s="130"/>
      <c r="L276" s="130"/>
      <c r="M276" s="130"/>
      <c r="AR276" s="61"/>
    </row>
    <row r="277" ht="15.75" customHeight="1">
      <c r="K277" s="130"/>
      <c r="L277" s="130"/>
      <c r="M277" s="130"/>
      <c r="AR277" s="61"/>
    </row>
    <row r="278" ht="15.75" customHeight="1">
      <c r="K278" s="130"/>
      <c r="L278" s="130"/>
      <c r="M278" s="130"/>
      <c r="AR278" s="61"/>
    </row>
    <row r="279" ht="15.75" customHeight="1">
      <c r="K279" s="130"/>
      <c r="L279" s="130"/>
      <c r="M279" s="130"/>
      <c r="AR279" s="61"/>
    </row>
    <row r="280" ht="15.75" customHeight="1">
      <c r="K280" s="130"/>
      <c r="L280" s="130"/>
      <c r="M280" s="130"/>
      <c r="AR280" s="61"/>
    </row>
    <row r="281" ht="15.75" customHeight="1">
      <c r="K281" s="130"/>
      <c r="L281" s="130"/>
      <c r="M281" s="130"/>
      <c r="AR281" s="61"/>
    </row>
    <row r="282" ht="15.75" customHeight="1">
      <c r="K282" s="130"/>
      <c r="L282" s="130"/>
      <c r="M282" s="130"/>
      <c r="AR282" s="61"/>
    </row>
    <row r="283" ht="15.75" customHeight="1">
      <c r="K283" s="130"/>
      <c r="L283" s="130"/>
      <c r="M283" s="130"/>
      <c r="AR283" s="61"/>
    </row>
    <row r="284" ht="15.75" customHeight="1">
      <c r="K284" s="130"/>
      <c r="L284" s="130"/>
      <c r="M284" s="130"/>
      <c r="AR284" s="61"/>
    </row>
    <row r="285" ht="15.75" customHeight="1">
      <c r="K285" s="130"/>
      <c r="L285" s="130"/>
      <c r="M285" s="130"/>
      <c r="AR285" s="61"/>
    </row>
    <row r="286" ht="15.75" customHeight="1">
      <c r="K286" s="130"/>
      <c r="L286" s="130"/>
      <c r="M286" s="130"/>
      <c r="AR286" s="61"/>
    </row>
    <row r="287" ht="15.75" customHeight="1">
      <c r="K287" s="130"/>
      <c r="L287" s="130"/>
      <c r="M287" s="130"/>
      <c r="AR287" s="61"/>
    </row>
    <row r="288" ht="15.75" customHeight="1">
      <c r="K288" s="130"/>
      <c r="L288" s="130"/>
      <c r="M288" s="130"/>
      <c r="AR288" s="61"/>
    </row>
    <row r="289" ht="15.75" customHeight="1">
      <c r="K289" s="130"/>
      <c r="L289" s="130"/>
      <c r="M289" s="130"/>
      <c r="AR289" s="61"/>
    </row>
    <row r="290" ht="15.75" customHeight="1">
      <c r="K290" s="130"/>
      <c r="L290" s="130"/>
      <c r="M290" s="130"/>
      <c r="AR290" s="61"/>
    </row>
    <row r="291" ht="15.75" customHeight="1">
      <c r="K291" s="130"/>
      <c r="L291" s="130"/>
      <c r="M291" s="130"/>
      <c r="AR291" s="61"/>
    </row>
    <row r="292" ht="15.75" customHeight="1">
      <c r="K292" s="130"/>
      <c r="L292" s="130"/>
      <c r="M292" s="130"/>
      <c r="AR292" s="61"/>
    </row>
    <row r="293" ht="15.75" customHeight="1">
      <c r="K293" s="130"/>
      <c r="L293" s="130"/>
      <c r="M293" s="130"/>
      <c r="AR293" s="61"/>
    </row>
    <row r="294" ht="15.75" customHeight="1">
      <c r="K294" s="130"/>
      <c r="L294" s="130"/>
      <c r="M294" s="130"/>
      <c r="AR294" s="61"/>
    </row>
    <row r="295" ht="15.75" customHeight="1">
      <c r="K295" s="130"/>
      <c r="L295" s="130"/>
      <c r="M295" s="130"/>
      <c r="AR295" s="61"/>
    </row>
    <row r="296" ht="15.75" customHeight="1">
      <c r="K296" s="130"/>
      <c r="L296" s="130"/>
      <c r="M296" s="130"/>
      <c r="AR296" s="61"/>
    </row>
    <row r="297" ht="15.75" customHeight="1">
      <c r="K297" s="130"/>
      <c r="L297" s="130"/>
      <c r="M297" s="130"/>
      <c r="AR297" s="61"/>
    </row>
    <row r="298" ht="15.75" customHeight="1">
      <c r="K298" s="130"/>
      <c r="L298" s="130"/>
      <c r="M298" s="130"/>
      <c r="AR298" s="61"/>
    </row>
    <row r="299" ht="15.75" customHeight="1">
      <c r="K299" s="130"/>
      <c r="L299" s="130"/>
      <c r="M299" s="130"/>
      <c r="AR299" s="61"/>
    </row>
    <row r="300" ht="15.75" customHeight="1">
      <c r="K300" s="130"/>
      <c r="L300" s="130"/>
      <c r="M300" s="130"/>
      <c r="AR300" s="61"/>
    </row>
    <row r="301" ht="15.75" customHeight="1">
      <c r="K301" s="130"/>
      <c r="L301" s="130"/>
      <c r="M301" s="130"/>
      <c r="AR301" s="61"/>
    </row>
    <row r="302" ht="15.75" customHeight="1">
      <c r="K302" s="130"/>
      <c r="L302" s="130"/>
      <c r="M302" s="130"/>
      <c r="AR302" s="61"/>
    </row>
    <row r="303" ht="15.75" customHeight="1">
      <c r="K303" s="130"/>
      <c r="L303" s="130"/>
      <c r="M303" s="130"/>
      <c r="AR303" s="61"/>
    </row>
    <row r="304" ht="15.75" customHeight="1">
      <c r="K304" s="130"/>
      <c r="L304" s="130"/>
      <c r="M304" s="130"/>
      <c r="AR304" s="61"/>
    </row>
    <row r="305" ht="15.75" customHeight="1">
      <c r="K305" s="130"/>
      <c r="L305" s="130"/>
      <c r="M305" s="130"/>
      <c r="AR305" s="61"/>
    </row>
    <row r="306" ht="15.75" customHeight="1">
      <c r="K306" s="130"/>
      <c r="L306" s="130"/>
      <c r="M306" s="130"/>
      <c r="AR306" s="61"/>
    </row>
    <row r="307" ht="15.75" customHeight="1">
      <c r="K307" s="130"/>
      <c r="L307" s="130"/>
      <c r="M307" s="130"/>
      <c r="AR307" s="61"/>
    </row>
    <row r="308" ht="15.75" customHeight="1">
      <c r="K308" s="130"/>
      <c r="L308" s="130"/>
      <c r="M308" s="130"/>
      <c r="AR308" s="61"/>
    </row>
    <row r="309" ht="15.75" customHeight="1">
      <c r="K309" s="130"/>
      <c r="L309" s="130"/>
      <c r="M309" s="130"/>
      <c r="AR309" s="61"/>
    </row>
    <row r="310" ht="15.75" customHeight="1">
      <c r="K310" s="130"/>
      <c r="L310" s="130"/>
      <c r="M310" s="130"/>
      <c r="AR310" s="61"/>
    </row>
    <row r="311" ht="15.75" customHeight="1">
      <c r="K311" s="130"/>
      <c r="L311" s="130"/>
      <c r="M311" s="130"/>
      <c r="AR311" s="61"/>
    </row>
    <row r="312" ht="15.75" customHeight="1">
      <c r="K312" s="130"/>
      <c r="L312" s="130"/>
      <c r="M312" s="130"/>
      <c r="AR312" s="61"/>
    </row>
    <row r="313" ht="15.75" customHeight="1">
      <c r="K313" s="130"/>
      <c r="L313" s="130"/>
      <c r="M313" s="130"/>
      <c r="AR313" s="61"/>
    </row>
    <row r="314" ht="15.75" customHeight="1">
      <c r="K314" s="130"/>
      <c r="L314" s="130"/>
      <c r="M314" s="130"/>
      <c r="AR314" s="61"/>
    </row>
    <row r="315" ht="15.75" customHeight="1">
      <c r="K315" s="130"/>
      <c r="L315" s="130"/>
      <c r="M315" s="130"/>
      <c r="AR315" s="61"/>
    </row>
    <row r="316" ht="15.75" customHeight="1">
      <c r="K316" s="130"/>
      <c r="L316" s="130"/>
      <c r="M316" s="130"/>
      <c r="AR316" s="61"/>
    </row>
    <row r="317" ht="15.75" customHeight="1">
      <c r="K317" s="130"/>
      <c r="L317" s="130"/>
      <c r="M317" s="130"/>
      <c r="AR317" s="61"/>
    </row>
    <row r="318" ht="15.75" customHeight="1">
      <c r="K318" s="130"/>
      <c r="L318" s="130"/>
      <c r="M318" s="130"/>
      <c r="AR318" s="61"/>
    </row>
    <row r="319" ht="15.75" customHeight="1">
      <c r="K319" s="130"/>
      <c r="L319" s="130"/>
      <c r="M319" s="130"/>
      <c r="AR319" s="61"/>
    </row>
    <row r="320" ht="15.75" customHeight="1">
      <c r="K320" s="130"/>
      <c r="L320" s="130"/>
      <c r="M320" s="130"/>
      <c r="AR320" s="61"/>
    </row>
    <row r="321" ht="15.75" customHeight="1">
      <c r="K321" s="130"/>
      <c r="L321" s="130"/>
      <c r="M321" s="130"/>
      <c r="AR321" s="61"/>
    </row>
    <row r="322" ht="15.75" customHeight="1">
      <c r="K322" s="130"/>
      <c r="L322" s="130"/>
      <c r="M322" s="130"/>
      <c r="AR322" s="61"/>
    </row>
    <row r="323" ht="15.75" customHeight="1">
      <c r="K323" s="130"/>
      <c r="L323" s="130"/>
      <c r="M323" s="130"/>
      <c r="AR323" s="61"/>
    </row>
    <row r="324" ht="15.75" customHeight="1">
      <c r="K324" s="130"/>
      <c r="L324" s="130"/>
      <c r="M324" s="130"/>
      <c r="AR324" s="61"/>
    </row>
    <row r="325" ht="15.75" customHeight="1">
      <c r="K325" s="130"/>
      <c r="L325" s="130"/>
      <c r="M325" s="130"/>
      <c r="AR325" s="61"/>
    </row>
    <row r="326" ht="15.75" customHeight="1">
      <c r="K326" s="130"/>
      <c r="L326" s="130"/>
      <c r="M326" s="130"/>
      <c r="AR326" s="61"/>
    </row>
    <row r="327" ht="15.75" customHeight="1">
      <c r="K327" s="130"/>
      <c r="L327" s="130"/>
      <c r="M327" s="130"/>
      <c r="AR327" s="61"/>
    </row>
    <row r="328" ht="15.75" customHeight="1">
      <c r="K328" s="130"/>
      <c r="L328" s="130"/>
      <c r="M328" s="130"/>
      <c r="AR328" s="61"/>
    </row>
    <row r="329" ht="15.75" customHeight="1">
      <c r="K329" s="130"/>
      <c r="L329" s="130"/>
      <c r="M329" s="130"/>
      <c r="AR329" s="61"/>
    </row>
    <row r="330" ht="15.75" customHeight="1">
      <c r="K330" s="130"/>
      <c r="L330" s="130"/>
      <c r="M330" s="130"/>
      <c r="AR330" s="61"/>
    </row>
    <row r="331" ht="15.75" customHeight="1">
      <c r="K331" s="130"/>
      <c r="L331" s="130"/>
      <c r="M331" s="130"/>
      <c r="AR331" s="61"/>
    </row>
    <row r="332" ht="15.75" customHeight="1">
      <c r="K332" s="130"/>
      <c r="L332" s="130"/>
      <c r="M332" s="130"/>
      <c r="AR332" s="61"/>
    </row>
    <row r="333" ht="15.75" customHeight="1">
      <c r="K333" s="130"/>
      <c r="L333" s="130"/>
      <c r="M333" s="130"/>
      <c r="AR333" s="61"/>
    </row>
    <row r="334" ht="15.75" customHeight="1">
      <c r="K334" s="130"/>
      <c r="L334" s="130"/>
      <c r="M334" s="130"/>
      <c r="AR334" s="61"/>
    </row>
    <row r="335" ht="15.75" customHeight="1">
      <c r="K335" s="130"/>
      <c r="L335" s="130"/>
      <c r="M335" s="130"/>
      <c r="AR335" s="61"/>
    </row>
    <row r="336" ht="15.75" customHeight="1">
      <c r="K336" s="130"/>
      <c r="L336" s="130"/>
      <c r="M336" s="130"/>
      <c r="AR336" s="61"/>
    </row>
    <row r="337" ht="15.75" customHeight="1">
      <c r="K337" s="130"/>
      <c r="L337" s="130"/>
      <c r="M337" s="130"/>
      <c r="AR337" s="61"/>
    </row>
    <row r="338" ht="15.75" customHeight="1">
      <c r="K338" s="130"/>
      <c r="L338" s="130"/>
      <c r="M338" s="130"/>
      <c r="AR338" s="61"/>
    </row>
    <row r="339" ht="15.75" customHeight="1">
      <c r="K339" s="130"/>
      <c r="L339" s="130"/>
      <c r="M339" s="130"/>
      <c r="AR339" s="61"/>
    </row>
    <row r="340" ht="15.75" customHeight="1">
      <c r="K340" s="130"/>
      <c r="L340" s="130"/>
      <c r="M340" s="130"/>
      <c r="AR340" s="61"/>
    </row>
    <row r="341" ht="15.75" customHeight="1">
      <c r="K341" s="130"/>
      <c r="L341" s="130"/>
      <c r="M341" s="130"/>
      <c r="AR341" s="61"/>
    </row>
    <row r="342" ht="15.75" customHeight="1">
      <c r="K342" s="130"/>
      <c r="L342" s="130"/>
      <c r="M342" s="130"/>
      <c r="AR342" s="61"/>
    </row>
    <row r="343" ht="15.75" customHeight="1">
      <c r="K343" s="130"/>
      <c r="L343" s="130"/>
      <c r="M343" s="130"/>
      <c r="AR343" s="61"/>
    </row>
    <row r="344" ht="15.75" customHeight="1">
      <c r="K344" s="130"/>
      <c r="L344" s="130"/>
      <c r="M344" s="130"/>
      <c r="AR344" s="61"/>
    </row>
    <row r="345" ht="15.75" customHeight="1">
      <c r="K345" s="130"/>
      <c r="L345" s="130"/>
      <c r="M345" s="130"/>
      <c r="AR345" s="61"/>
    </row>
    <row r="346" ht="15.75" customHeight="1">
      <c r="K346" s="130"/>
      <c r="L346" s="130"/>
      <c r="M346" s="130"/>
      <c r="AR346" s="61"/>
    </row>
    <row r="347" ht="15.75" customHeight="1">
      <c r="K347" s="130"/>
      <c r="L347" s="130"/>
      <c r="M347" s="130"/>
      <c r="AR347" s="61"/>
    </row>
    <row r="348" ht="15.75" customHeight="1">
      <c r="K348" s="130"/>
      <c r="L348" s="130"/>
      <c r="M348" s="130"/>
      <c r="AR348" s="61"/>
    </row>
    <row r="349" ht="15.75" customHeight="1">
      <c r="K349" s="130"/>
      <c r="L349" s="130"/>
      <c r="M349" s="130"/>
      <c r="AR349" s="61"/>
    </row>
    <row r="350" ht="15.75" customHeight="1">
      <c r="K350" s="130"/>
      <c r="L350" s="130"/>
      <c r="M350" s="130"/>
      <c r="AR350" s="61"/>
    </row>
    <row r="351" ht="15.75" customHeight="1">
      <c r="K351" s="130"/>
      <c r="L351" s="130"/>
      <c r="M351" s="130"/>
      <c r="AR351" s="61"/>
    </row>
    <row r="352" ht="15.75" customHeight="1">
      <c r="K352" s="130"/>
      <c r="L352" s="130"/>
      <c r="M352" s="130"/>
      <c r="AR352" s="61"/>
    </row>
    <row r="353" ht="15.75" customHeight="1">
      <c r="K353" s="130"/>
      <c r="L353" s="130"/>
      <c r="M353" s="130"/>
      <c r="AR353" s="61"/>
    </row>
    <row r="354" ht="15.75" customHeight="1">
      <c r="K354" s="130"/>
      <c r="L354" s="130"/>
      <c r="M354" s="130"/>
      <c r="AR354" s="61"/>
    </row>
    <row r="355" ht="15.75" customHeight="1">
      <c r="K355" s="130"/>
      <c r="L355" s="130"/>
      <c r="M355" s="130"/>
      <c r="AR355" s="61"/>
    </row>
    <row r="356" ht="15.75" customHeight="1">
      <c r="K356" s="130"/>
      <c r="L356" s="130"/>
      <c r="M356" s="130"/>
      <c r="AR356" s="61"/>
    </row>
    <row r="357" ht="15.75" customHeight="1">
      <c r="K357" s="130"/>
      <c r="L357" s="130"/>
      <c r="M357" s="130"/>
      <c r="AR357" s="61"/>
    </row>
    <row r="358" ht="15.75" customHeight="1">
      <c r="K358" s="130"/>
      <c r="L358" s="130"/>
      <c r="M358" s="130"/>
      <c r="AR358" s="61"/>
    </row>
    <row r="359" ht="15.75" customHeight="1">
      <c r="K359" s="130"/>
      <c r="L359" s="130"/>
      <c r="M359" s="130"/>
      <c r="AR359" s="61"/>
    </row>
    <row r="360" ht="15.75" customHeight="1">
      <c r="K360" s="130"/>
      <c r="L360" s="130"/>
      <c r="M360" s="130"/>
      <c r="AR360" s="61"/>
    </row>
    <row r="361" ht="15.75" customHeight="1">
      <c r="K361" s="130"/>
      <c r="L361" s="130"/>
      <c r="M361" s="130"/>
      <c r="AR361" s="61"/>
    </row>
    <row r="362" ht="15.75" customHeight="1">
      <c r="K362" s="130"/>
      <c r="L362" s="130"/>
      <c r="M362" s="130"/>
      <c r="AR362" s="61"/>
    </row>
    <row r="363" ht="15.75" customHeight="1">
      <c r="K363" s="130"/>
      <c r="L363" s="130"/>
      <c r="M363" s="130"/>
      <c r="AR363" s="61"/>
    </row>
    <row r="364" ht="15.75" customHeight="1">
      <c r="K364" s="130"/>
      <c r="L364" s="130"/>
      <c r="M364" s="130"/>
      <c r="AR364" s="61"/>
    </row>
    <row r="365" ht="15.75" customHeight="1">
      <c r="K365" s="130"/>
      <c r="L365" s="130"/>
      <c r="M365" s="130"/>
      <c r="AR365" s="61"/>
    </row>
    <row r="366" ht="15.75" customHeight="1">
      <c r="K366" s="130"/>
      <c r="L366" s="130"/>
      <c r="M366" s="130"/>
      <c r="AR366" s="61"/>
    </row>
    <row r="367" ht="15.75" customHeight="1">
      <c r="K367" s="130"/>
      <c r="L367" s="130"/>
      <c r="M367" s="130"/>
      <c r="AR367" s="61"/>
    </row>
    <row r="368" ht="15.75" customHeight="1">
      <c r="K368" s="130"/>
      <c r="L368" s="130"/>
      <c r="M368" s="130"/>
      <c r="AR368" s="61"/>
    </row>
    <row r="369" ht="15.75" customHeight="1">
      <c r="K369" s="130"/>
      <c r="L369" s="130"/>
      <c r="M369" s="130"/>
      <c r="AR369" s="61"/>
    </row>
    <row r="370" ht="15.75" customHeight="1">
      <c r="K370" s="130"/>
      <c r="L370" s="130"/>
      <c r="M370" s="130"/>
      <c r="AR370" s="61"/>
    </row>
    <row r="371" ht="15.75" customHeight="1">
      <c r="K371" s="130"/>
      <c r="L371" s="130"/>
      <c r="M371" s="130"/>
      <c r="AR371" s="61"/>
    </row>
    <row r="372" ht="15.75" customHeight="1">
      <c r="K372" s="130"/>
      <c r="L372" s="130"/>
      <c r="M372" s="130"/>
      <c r="AR372" s="61"/>
    </row>
    <row r="373" ht="15.75" customHeight="1">
      <c r="K373" s="130"/>
      <c r="L373" s="130"/>
      <c r="M373" s="130"/>
      <c r="AR373" s="61"/>
    </row>
    <row r="374" ht="15.75" customHeight="1">
      <c r="K374" s="130"/>
      <c r="L374" s="130"/>
      <c r="M374" s="130"/>
      <c r="AR374" s="61"/>
    </row>
    <row r="375" ht="15.75" customHeight="1">
      <c r="K375" s="130"/>
      <c r="L375" s="130"/>
      <c r="M375" s="130"/>
      <c r="AR375" s="61"/>
    </row>
    <row r="376" ht="15.75" customHeight="1">
      <c r="K376" s="130"/>
      <c r="L376" s="130"/>
      <c r="M376" s="130"/>
      <c r="AR376" s="61"/>
    </row>
    <row r="377" ht="15.75" customHeight="1">
      <c r="K377" s="130"/>
      <c r="L377" s="130"/>
      <c r="M377" s="130"/>
      <c r="AR377" s="61"/>
    </row>
    <row r="378" ht="15.75" customHeight="1">
      <c r="K378" s="130"/>
      <c r="L378" s="130"/>
      <c r="M378" s="130"/>
      <c r="AR378" s="61"/>
    </row>
    <row r="379" ht="15.75" customHeight="1">
      <c r="K379" s="130"/>
      <c r="L379" s="130"/>
      <c r="M379" s="130"/>
      <c r="AR379" s="61"/>
    </row>
    <row r="380" ht="15.75" customHeight="1">
      <c r="K380" s="130"/>
      <c r="L380" s="130"/>
      <c r="M380" s="130"/>
      <c r="AR380" s="61"/>
    </row>
    <row r="381" ht="15.75" customHeight="1">
      <c r="K381" s="130"/>
      <c r="L381" s="130"/>
      <c r="M381" s="130"/>
      <c r="AR381" s="61"/>
    </row>
    <row r="382" ht="15.75" customHeight="1">
      <c r="K382" s="130"/>
      <c r="L382" s="130"/>
      <c r="M382" s="130"/>
      <c r="AR382" s="61"/>
    </row>
    <row r="383" ht="15.75" customHeight="1">
      <c r="K383" s="130"/>
      <c r="L383" s="130"/>
      <c r="M383" s="130"/>
      <c r="AR383" s="61"/>
    </row>
    <row r="384" ht="15.75" customHeight="1">
      <c r="K384" s="130"/>
      <c r="L384" s="130"/>
      <c r="M384" s="130"/>
      <c r="AR384" s="61"/>
    </row>
    <row r="385" ht="15.75" customHeight="1">
      <c r="K385" s="130"/>
      <c r="L385" s="130"/>
      <c r="M385" s="130"/>
      <c r="AR385" s="61"/>
    </row>
    <row r="386" ht="15.75" customHeight="1">
      <c r="K386" s="130"/>
      <c r="L386" s="130"/>
      <c r="M386" s="130"/>
      <c r="AR386" s="61"/>
    </row>
    <row r="387" ht="15.75" customHeight="1">
      <c r="K387" s="130"/>
      <c r="L387" s="130"/>
      <c r="M387" s="130"/>
      <c r="AR387" s="61"/>
    </row>
    <row r="388" ht="15.75" customHeight="1">
      <c r="K388" s="130"/>
      <c r="L388" s="130"/>
      <c r="M388" s="130"/>
      <c r="AR388" s="61"/>
    </row>
    <row r="389" ht="15.75" customHeight="1">
      <c r="K389" s="130"/>
      <c r="L389" s="130"/>
      <c r="M389" s="130"/>
      <c r="AR389" s="61"/>
    </row>
    <row r="390" ht="15.75" customHeight="1">
      <c r="K390" s="130"/>
      <c r="L390" s="130"/>
      <c r="M390" s="130"/>
      <c r="AR390" s="61"/>
    </row>
    <row r="391" ht="15.75" customHeight="1">
      <c r="K391" s="130"/>
      <c r="L391" s="130"/>
      <c r="M391" s="130"/>
      <c r="AR391" s="61"/>
    </row>
    <row r="392" ht="15.75" customHeight="1">
      <c r="K392" s="130"/>
      <c r="L392" s="130"/>
      <c r="M392" s="130"/>
      <c r="AR392" s="61"/>
    </row>
    <row r="393" ht="15.75" customHeight="1">
      <c r="K393" s="130"/>
      <c r="L393" s="130"/>
      <c r="M393" s="130"/>
      <c r="AR393" s="61"/>
    </row>
    <row r="394" ht="15.75" customHeight="1">
      <c r="K394" s="130"/>
      <c r="L394" s="130"/>
      <c r="M394" s="130"/>
      <c r="AR394" s="61"/>
    </row>
    <row r="395" ht="15.75" customHeight="1">
      <c r="K395" s="130"/>
      <c r="L395" s="130"/>
      <c r="M395" s="130"/>
      <c r="AR395" s="61"/>
    </row>
    <row r="396" ht="15.75" customHeight="1">
      <c r="K396" s="130"/>
      <c r="L396" s="130"/>
      <c r="M396" s="130"/>
      <c r="AR396" s="61"/>
    </row>
    <row r="397" ht="15.75" customHeight="1">
      <c r="K397" s="130"/>
      <c r="L397" s="130"/>
      <c r="M397" s="130"/>
      <c r="AR397" s="61"/>
    </row>
    <row r="398" ht="15.75" customHeight="1">
      <c r="K398" s="130"/>
      <c r="L398" s="130"/>
      <c r="M398" s="130"/>
      <c r="AR398" s="61"/>
    </row>
    <row r="399" ht="15.75" customHeight="1">
      <c r="K399" s="130"/>
      <c r="L399" s="130"/>
      <c r="M399" s="130"/>
      <c r="AR399" s="61"/>
    </row>
    <row r="400" ht="15.75" customHeight="1">
      <c r="K400" s="130"/>
      <c r="L400" s="130"/>
      <c r="M400" s="130"/>
      <c r="AR400" s="61"/>
    </row>
    <row r="401" ht="15.75" customHeight="1">
      <c r="K401" s="130"/>
      <c r="L401" s="130"/>
      <c r="M401" s="130"/>
      <c r="AR401" s="61"/>
    </row>
    <row r="402" ht="15.75" customHeight="1">
      <c r="K402" s="130"/>
      <c r="L402" s="130"/>
      <c r="M402" s="130"/>
      <c r="AR402" s="61"/>
    </row>
    <row r="403" ht="15.75" customHeight="1">
      <c r="K403" s="130"/>
      <c r="L403" s="130"/>
      <c r="M403" s="130"/>
      <c r="AR403" s="61"/>
    </row>
    <row r="404" ht="15.75" customHeight="1">
      <c r="K404" s="130"/>
      <c r="L404" s="130"/>
      <c r="M404" s="130"/>
      <c r="AR404" s="61"/>
    </row>
    <row r="405" ht="15.75" customHeight="1">
      <c r="K405" s="130"/>
      <c r="L405" s="130"/>
      <c r="M405" s="130"/>
      <c r="AR405" s="61"/>
    </row>
    <row r="406" ht="15.75" customHeight="1">
      <c r="K406" s="130"/>
      <c r="L406" s="130"/>
      <c r="M406" s="130"/>
      <c r="AR406" s="61"/>
    </row>
    <row r="407" ht="15.75" customHeight="1">
      <c r="K407" s="130"/>
      <c r="L407" s="130"/>
      <c r="M407" s="130"/>
      <c r="AR407" s="61"/>
    </row>
    <row r="408" ht="15.75" customHeight="1">
      <c r="K408" s="130"/>
      <c r="L408" s="130"/>
      <c r="M408" s="130"/>
      <c r="AR408" s="61"/>
    </row>
    <row r="409" ht="15.75" customHeight="1">
      <c r="K409" s="130"/>
      <c r="L409" s="130"/>
      <c r="M409" s="130"/>
      <c r="AR409" s="61"/>
    </row>
    <row r="410" ht="15.75" customHeight="1">
      <c r="K410" s="130"/>
      <c r="L410" s="130"/>
      <c r="M410" s="130"/>
      <c r="AR410" s="61"/>
    </row>
    <row r="411" ht="15.75" customHeight="1">
      <c r="K411" s="130"/>
      <c r="L411" s="130"/>
      <c r="M411" s="130"/>
      <c r="AR411" s="61"/>
    </row>
    <row r="412" ht="15.75" customHeight="1">
      <c r="K412" s="130"/>
      <c r="L412" s="130"/>
      <c r="M412" s="130"/>
      <c r="AR412" s="61"/>
    </row>
    <row r="413" ht="15.75" customHeight="1">
      <c r="K413" s="130"/>
      <c r="L413" s="130"/>
      <c r="M413" s="130"/>
      <c r="AR413" s="61"/>
    </row>
    <row r="414" ht="15.75" customHeight="1">
      <c r="K414" s="130"/>
      <c r="L414" s="130"/>
      <c r="M414" s="130"/>
      <c r="AR414" s="61"/>
    </row>
    <row r="415" ht="15.75" customHeight="1">
      <c r="K415" s="130"/>
      <c r="L415" s="130"/>
      <c r="M415" s="130"/>
      <c r="AR415" s="61"/>
    </row>
    <row r="416" ht="15.75" customHeight="1">
      <c r="K416" s="130"/>
      <c r="L416" s="130"/>
      <c r="M416" s="130"/>
      <c r="AR416" s="61"/>
    </row>
    <row r="417" ht="15.75" customHeight="1">
      <c r="K417" s="130"/>
      <c r="L417" s="130"/>
      <c r="M417" s="130"/>
      <c r="AR417" s="61"/>
    </row>
    <row r="418" ht="15.75" customHeight="1">
      <c r="K418" s="130"/>
      <c r="L418" s="130"/>
      <c r="M418" s="130"/>
      <c r="AR418" s="61"/>
    </row>
    <row r="419" ht="15.75" customHeight="1">
      <c r="K419" s="130"/>
      <c r="L419" s="130"/>
      <c r="M419" s="130"/>
      <c r="AR419" s="61"/>
    </row>
    <row r="420" ht="15.75" customHeight="1">
      <c r="K420" s="130"/>
      <c r="L420" s="130"/>
      <c r="M420" s="130"/>
      <c r="AR420" s="61"/>
    </row>
    <row r="421" ht="15.75" customHeight="1">
      <c r="K421" s="130"/>
      <c r="L421" s="130"/>
      <c r="M421" s="130"/>
      <c r="AR421" s="61"/>
    </row>
    <row r="422" ht="15.75" customHeight="1">
      <c r="K422" s="130"/>
      <c r="L422" s="130"/>
      <c r="M422" s="130"/>
      <c r="AR422" s="61"/>
    </row>
    <row r="423" ht="15.75" customHeight="1">
      <c r="K423" s="130"/>
      <c r="L423" s="130"/>
      <c r="M423" s="130"/>
      <c r="AR423" s="61"/>
    </row>
    <row r="424" ht="15.75" customHeight="1">
      <c r="K424" s="130"/>
      <c r="L424" s="130"/>
      <c r="M424" s="130"/>
      <c r="AR424" s="61"/>
    </row>
    <row r="425" ht="15.75" customHeight="1">
      <c r="K425" s="130"/>
      <c r="L425" s="130"/>
      <c r="M425" s="130"/>
      <c r="AR425" s="61"/>
    </row>
    <row r="426" ht="15.75" customHeight="1">
      <c r="K426" s="130"/>
      <c r="L426" s="130"/>
      <c r="M426" s="130"/>
      <c r="AR426" s="61"/>
    </row>
    <row r="427" ht="15.75" customHeight="1">
      <c r="K427" s="130"/>
      <c r="L427" s="130"/>
      <c r="M427" s="130"/>
      <c r="AR427" s="61"/>
    </row>
    <row r="428" ht="15.75" customHeight="1">
      <c r="K428" s="130"/>
      <c r="L428" s="130"/>
      <c r="M428" s="130"/>
      <c r="AR428" s="61"/>
    </row>
    <row r="429" ht="15.75" customHeight="1">
      <c r="K429" s="130"/>
      <c r="L429" s="130"/>
      <c r="M429" s="130"/>
      <c r="AR429" s="61"/>
    </row>
    <row r="430" ht="15.75" customHeight="1">
      <c r="K430" s="130"/>
      <c r="L430" s="130"/>
      <c r="M430" s="130"/>
      <c r="AR430" s="61"/>
    </row>
    <row r="431" ht="15.75" customHeight="1">
      <c r="K431" s="130"/>
      <c r="L431" s="130"/>
      <c r="M431" s="130"/>
      <c r="AR431" s="61"/>
    </row>
    <row r="432" ht="15.75" customHeight="1">
      <c r="K432" s="130"/>
      <c r="L432" s="130"/>
      <c r="M432" s="130"/>
      <c r="AR432" s="61"/>
    </row>
    <row r="433" ht="15.75" customHeight="1">
      <c r="K433" s="130"/>
      <c r="L433" s="130"/>
      <c r="M433" s="130"/>
      <c r="AR433" s="61"/>
    </row>
    <row r="434" ht="15.75" customHeight="1">
      <c r="K434" s="130"/>
      <c r="L434" s="130"/>
      <c r="M434" s="130"/>
      <c r="AR434" s="61"/>
    </row>
    <row r="435" ht="15.75" customHeight="1">
      <c r="K435" s="130"/>
      <c r="L435" s="130"/>
      <c r="M435" s="130"/>
      <c r="AR435" s="61"/>
    </row>
    <row r="436" ht="15.75" customHeight="1">
      <c r="K436" s="130"/>
      <c r="L436" s="130"/>
      <c r="M436" s="130"/>
      <c r="AR436" s="61"/>
    </row>
    <row r="437" ht="15.75" customHeight="1">
      <c r="K437" s="130"/>
      <c r="L437" s="130"/>
      <c r="M437" s="130"/>
      <c r="AR437" s="61"/>
    </row>
    <row r="438" ht="15.75" customHeight="1">
      <c r="K438" s="130"/>
      <c r="L438" s="130"/>
      <c r="M438" s="130"/>
      <c r="AR438" s="61"/>
    </row>
    <row r="439" ht="15.75" customHeight="1">
      <c r="K439" s="130"/>
      <c r="L439" s="130"/>
      <c r="M439" s="130"/>
      <c r="AR439" s="61"/>
    </row>
    <row r="440" ht="15.75" customHeight="1">
      <c r="K440" s="130"/>
      <c r="L440" s="130"/>
      <c r="M440" s="130"/>
      <c r="AR440" s="61"/>
    </row>
    <row r="441" ht="15.75" customHeight="1">
      <c r="K441" s="130"/>
      <c r="L441" s="130"/>
      <c r="M441" s="130"/>
      <c r="AR441" s="61"/>
    </row>
    <row r="442" ht="15.75" customHeight="1">
      <c r="K442" s="130"/>
      <c r="L442" s="130"/>
      <c r="M442" s="130"/>
      <c r="AR442" s="61"/>
    </row>
    <row r="443" ht="15.75" customHeight="1">
      <c r="K443" s="130"/>
      <c r="L443" s="130"/>
      <c r="M443" s="130"/>
      <c r="AR443" s="61"/>
    </row>
    <row r="444" ht="15.75" customHeight="1">
      <c r="K444" s="130"/>
      <c r="L444" s="130"/>
      <c r="M444" s="130"/>
      <c r="AR444" s="61"/>
    </row>
    <row r="445" ht="15.75" customHeight="1">
      <c r="K445" s="130"/>
      <c r="L445" s="130"/>
      <c r="M445" s="130"/>
      <c r="AR445" s="61"/>
    </row>
    <row r="446" ht="15.75" customHeight="1">
      <c r="K446" s="130"/>
      <c r="L446" s="130"/>
      <c r="M446" s="130"/>
      <c r="AR446" s="61"/>
    </row>
    <row r="447" ht="15.75" customHeight="1">
      <c r="K447" s="130"/>
      <c r="L447" s="130"/>
      <c r="M447" s="130"/>
      <c r="AR447" s="61"/>
    </row>
    <row r="448" ht="15.75" customHeight="1">
      <c r="K448" s="130"/>
      <c r="L448" s="130"/>
      <c r="M448" s="130"/>
      <c r="AR448" s="61"/>
    </row>
    <row r="449" ht="15.75" customHeight="1">
      <c r="K449" s="130"/>
      <c r="L449" s="130"/>
      <c r="M449" s="130"/>
      <c r="AR449" s="61"/>
    </row>
    <row r="450" ht="15.75" customHeight="1">
      <c r="K450" s="130"/>
      <c r="L450" s="130"/>
      <c r="M450" s="130"/>
      <c r="AR450" s="61"/>
    </row>
    <row r="451" ht="15.75" customHeight="1">
      <c r="K451" s="130"/>
      <c r="L451" s="130"/>
      <c r="M451" s="130"/>
      <c r="AR451" s="61"/>
    </row>
    <row r="452" ht="15.75" customHeight="1">
      <c r="K452" s="130"/>
      <c r="L452" s="130"/>
      <c r="M452" s="130"/>
      <c r="AR452" s="61"/>
    </row>
    <row r="453" ht="15.75" customHeight="1">
      <c r="K453" s="130"/>
      <c r="L453" s="130"/>
      <c r="M453" s="130"/>
      <c r="AR453" s="61"/>
    </row>
    <row r="454" ht="15.75" customHeight="1">
      <c r="K454" s="130"/>
      <c r="L454" s="130"/>
      <c r="M454" s="130"/>
      <c r="AR454" s="61"/>
    </row>
    <row r="455" ht="15.75" customHeight="1">
      <c r="K455" s="130"/>
      <c r="L455" s="130"/>
      <c r="M455" s="130"/>
      <c r="AR455" s="61"/>
    </row>
    <row r="456" ht="15.75" customHeight="1">
      <c r="K456" s="130"/>
      <c r="L456" s="130"/>
      <c r="M456" s="130"/>
      <c r="AR456" s="61"/>
    </row>
    <row r="457" ht="15.75" customHeight="1">
      <c r="K457" s="130"/>
      <c r="L457" s="130"/>
      <c r="M457" s="130"/>
      <c r="AR457" s="61"/>
    </row>
    <row r="458" ht="15.75" customHeight="1">
      <c r="K458" s="130"/>
      <c r="L458" s="130"/>
      <c r="M458" s="130"/>
      <c r="AR458" s="61"/>
    </row>
    <row r="459" ht="15.75" customHeight="1">
      <c r="K459" s="130"/>
      <c r="L459" s="130"/>
      <c r="M459" s="130"/>
      <c r="AR459" s="61"/>
    </row>
    <row r="460" ht="15.75" customHeight="1">
      <c r="K460" s="130"/>
      <c r="L460" s="130"/>
      <c r="M460" s="130"/>
      <c r="AR460" s="61"/>
    </row>
    <row r="461" ht="15.75" customHeight="1">
      <c r="K461" s="130"/>
      <c r="L461" s="130"/>
      <c r="M461" s="130"/>
      <c r="AR461" s="61"/>
    </row>
    <row r="462" ht="15.75" customHeight="1">
      <c r="K462" s="130"/>
      <c r="L462" s="130"/>
      <c r="M462" s="130"/>
      <c r="AR462" s="61"/>
    </row>
    <row r="463" ht="15.75" customHeight="1">
      <c r="K463" s="130"/>
      <c r="L463" s="130"/>
      <c r="M463" s="130"/>
      <c r="AR463" s="61"/>
    </row>
    <row r="464" ht="15.75" customHeight="1">
      <c r="K464" s="130"/>
      <c r="L464" s="130"/>
      <c r="M464" s="130"/>
      <c r="AR464" s="61"/>
    </row>
    <row r="465" ht="15.75" customHeight="1">
      <c r="K465" s="130"/>
      <c r="L465" s="130"/>
      <c r="M465" s="130"/>
      <c r="AR465" s="61"/>
    </row>
    <row r="466" ht="15.75" customHeight="1">
      <c r="K466" s="130"/>
      <c r="L466" s="130"/>
      <c r="M466" s="130"/>
      <c r="AR466" s="61"/>
    </row>
    <row r="467" ht="15.75" customHeight="1">
      <c r="K467" s="130"/>
      <c r="L467" s="130"/>
      <c r="M467" s="130"/>
      <c r="AR467" s="61"/>
    </row>
    <row r="468" ht="15.75" customHeight="1">
      <c r="K468" s="130"/>
      <c r="L468" s="130"/>
      <c r="M468" s="130"/>
      <c r="AR468" s="61"/>
    </row>
    <row r="469" ht="15.75" customHeight="1">
      <c r="K469" s="130"/>
      <c r="L469" s="130"/>
      <c r="M469" s="130"/>
      <c r="AR469" s="61"/>
    </row>
    <row r="470" ht="15.75" customHeight="1">
      <c r="K470" s="130"/>
      <c r="L470" s="130"/>
      <c r="M470" s="130"/>
      <c r="AR470" s="61"/>
    </row>
    <row r="471" ht="15.75" customHeight="1">
      <c r="K471" s="130"/>
      <c r="L471" s="130"/>
      <c r="M471" s="130"/>
      <c r="AR471" s="61"/>
    </row>
    <row r="472" ht="15.75" customHeight="1">
      <c r="K472" s="130"/>
      <c r="L472" s="130"/>
      <c r="M472" s="130"/>
      <c r="AR472" s="61"/>
    </row>
    <row r="473" ht="15.75" customHeight="1">
      <c r="K473" s="130"/>
      <c r="L473" s="130"/>
      <c r="M473" s="130"/>
      <c r="AR473" s="61"/>
    </row>
    <row r="474" ht="15.75" customHeight="1">
      <c r="K474" s="130"/>
      <c r="L474" s="130"/>
      <c r="M474" s="130"/>
      <c r="AR474" s="61"/>
    </row>
    <row r="475" ht="15.75" customHeight="1">
      <c r="K475" s="130"/>
      <c r="L475" s="130"/>
      <c r="M475" s="130"/>
      <c r="AR475" s="61"/>
    </row>
    <row r="476" ht="15.75" customHeight="1">
      <c r="K476" s="130"/>
      <c r="L476" s="130"/>
      <c r="M476" s="130"/>
      <c r="AR476" s="61"/>
    </row>
    <row r="477" ht="15.75" customHeight="1">
      <c r="K477" s="130"/>
      <c r="L477" s="130"/>
      <c r="M477" s="130"/>
      <c r="AR477" s="61"/>
    </row>
    <row r="478" ht="15.75" customHeight="1">
      <c r="K478" s="130"/>
      <c r="L478" s="130"/>
      <c r="M478" s="130"/>
      <c r="AR478" s="61"/>
    </row>
    <row r="479" ht="15.75" customHeight="1">
      <c r="K479" s="130"/>
      <c r="L479" s="130"/>
      <c r="M479" s="130"/>
      <c r="AR479" s="61"/>
    </row>
    <row r="480" ht="15.75" customHeight="1">
      <c r="K480" s="130"/>
      <c r="L480" s="130"/>
      <c r="M480" s="130"/>
      <c r="AR480" s="61"/>
    </row>
    <row r="481" ht="15.75" customHeight="1">
      <c r="K481" s="130"/>
      <c r="L481" s="130"/>
      <c r="M481" s="130"/>
      <c r="AR481" s="61"/>
    </row>
    <row r="482" ht="15.75" customHeight="1">
      <c r="K482" s="130"/>
      <c r="L482" s="130"/>
      <c r="M482" s="130"/>
      <c r="AR482" s="61"/>
    </row>
    <row r="483" ht="15.75" customHeight="1">
      <c r="K483" s="130"/>
      <c r="L483" s="130"/>
      <c r="M483" s="130"/>
      <c r="AR483" s="61"/>
    </row>
    <row r="484" ht="15.75" customHeight="1">
      <c r="K484" s="130"/>
      <c r="L484" s="130"/>
      <c r="M484" s="130"/>
      <c r="AR484" s="61"/>
    </row>
    <row r="485" ht="15.75" customHeight="1">
      <c r="K485" s="130"/>
      <c r="L485" s="130"/>
      <c r="M485" s="130"/>
      <c r="AR485" s="61"/>
    </row>
    <row r="486" ht="15.75" customHeight="1">
      <c r="K486" s="130"/>
      <c r="L486" s="130"/>
      <c r="M486" s="130"/>
      <c r="AR486" s="61"/>
    </row>
    <row r="487" ht="15.75" customHeight="1">
      <c r="K487" s="130"/>
      <c r="L487" s="130"/>
      <c r="M487" s="130"/>
      <c r="AR487" s="61"/>
    </row>
    <row r="488" ht="15.75" customHeight="1">
      <c r="K488" s="130"/>
      <c r="L488" s="130"/>
      <c r="M488" s="130"/>
      <c r="AR488" s="61"/>
    </row>
    <row r="489" ht="15.75" customHeight="1">
      <c r="K489" s="130"/>
      <c r="L489" s="130"/>
      <c r="M489" s="130"/>
      <c r="AR489" s="61"/>
    </row>
    <row r="490" ht="15.75" customHeight="1">
      <c r="K490" s="130"/>
      <c r="L490" s="130"/>
      <c r="M490" s="130"/>
      <c r="AR490" s="61"/>
    </row>
    <row r="491" ht="15.75" customHeight="1">
      <c r="K491" s="130"/>
      <c r="L491" s="130"/>
      <c r="M491" s="130"/>
      <c r="AR491" s="61"/>
    </row>
    <row r="492" ht="15.75" customHeight="1">
      <c r="K492" s="130"/>
      <c r="L492" s="130"/>
      <c r="M492" s="130"/>
      <c r="AR492" s="61"/>
    </row>
    <row r="493" ht="15.75" customHeight="1">
      <c r="K493" s="130"/>
      <c r="L493" s="130"/>
      <c r="M493" s="130"/>
      <c r="AR493" s="61"/>
    </row>
    <row r="494" ht="15.75" customHeight="1">
      <c r="K494" s="130"/>
      <c r="L494" s="130"/>
      <c r="M494" s="130"/>
      <c r="AR494" s="61"/>
    </row>
    <row r="495" ht="15.75" customHeight="1">
      <c r="K495" s="130"/>
      <c r="L495" s="130"/>
      <c r="M495" s="130"/>
      <c r="AR495" s="61"/>
    </row>
    <row r="496" ht="15.75" customHeight="1">
      <c r="K496" s="130"/>
      <c r="L496" s="130"/>
      <c r="M496" s="130"/>
      <c r="AR496" s="61"/>
    </row>
    <row r="497" ht="15.75" customHeight="1">
      <c r="K497" s="130"/>
      <c r="L497" s="130"/>
      <c r="M497" s="130"/>
      <c r="AR497" s="61"/>
    </row>
    <row r="498" ht="15.75" customHeight="1">
      <c r="K498" s="130"/>
      <c r="L498" s="130"/>
      <c r="M498" s="130"/>
      <c r="AR498" s="61"/>
    </row>
    <row r="499" ht="15.75" customHeight="1">
      <c r="K499" s="130"/>
      <c r="L499" s="130"/>
      <c r="M499" s="130"/>
      <c r="AR499" s="61"/>
    </row>
    <row r="500" ht="15.75" customHeight="1">
      <c r="K500" s="130"/>
      <c r="L500" s="130"/>
      <c r="M500" s="130"/>
      <c r="AR500" s="61"/>
    </row>
    <row r="501" ht="15.75" customHeight="1">
      <c r="K501" s="130"/>
      <c r="L501" s="130"/>
      <c r="M501" s="130"/>
      <c r="AR501" s="61"/>
    </row>
    <row r="502" ht="15.75" customHeight="1">
      <c r="K502" s="130"/>
      <c r="L502" s="130"/>
      <c r="M502" s="130"/>
      <c r="AR502" s="61"/>
    </row>
    <row r="503" ht="15.75" customHeight="1">
      <c r="K503" s="130"/>
      <c r="L503" s="130"/>
      <c r="M503" s="130"/>
      <c r="AR503" s="61"/>
    </row>
    <row r="504" ht="15.75" customHeight="1">
      <c r="K504" s="130"/>
      <c r="L504" s="130"/>
      <c r="M504" s="130"/>
      <c r="AR504" s="61"/>
    </row>
    <row r="505" ht="15.75" customHeight="1">
      <c r="K505" s="130"/>
      <c r="L505" s="130"/>
      <c r="M505" s="130"/>
      <c r="AR505" s="61"/>
    </row>
    <row r="506" ht="15.75" customHeight="1">
      <c r="K506" s="130"/>
      <c r="L506" s="130"/>
      <c r="M506" s="130"/>
      <c r="AR506" s="61"/>
    </row>
    <row r="507" ht="15.75" customHeight="1">
      <c r="K507" s="130"/>
      <c r="L507" s="130"/>
      <c r="M507" s="130"/>
      <c r="AR507" s="61"/>
    </row>
    <row r="508" ht="15.75" customHeight="1">
      <c r="K508" s="130"/>
      <c r="L508" s="130"/>
      <c r="M508" s="130"/>
      <c r="AR508" s="61"/>
    </row>
    <row r="509" ht="15.75" customHeight="1">
      <c r="K509" s="130"/>
      <c r="L509" s="130"/>
      <c r="M509" s="130"/>
      <c r="AR509" s="61"/>
    </row>
    <row r="510" ht="15.75" customHeight="1">
      <c r="K510" s="130"/>
      <c r="L510" s="130"/>
      <c r="M510" s="130"/>
      <c r="AR510" s="61"/>
    </row>
    <row r="511" ht="15.75" customHeight="1">
      <c r="K511" s="130"/>
      <c r="L511" s="130"/>
      <c r="M511" s="130"/>
      <c r="AR511" s="61"/>
    </row>
    <row r="512" ht="15.75" customHeight="1">
      <c r="K512" s="130"/>
      <c r="L512" s="130"/>
      <c r="M512" s="130"/>
      <c r="AR512" s="61"/>
    </row>
    <row r="513" ht="15.75" customHeight="1">
      <c r="K513" s="130"/>
      <c r="L513" s="130"/>
      <c r="M513" s="130"/>
      <c r="AR513" s="61"/>
    </row>
    <row r="514" ht="15.75" customHeight="1">
      <c r="K514" s="130"/>
      <c r="L514" s="130"/>
      <c r="M514" s="130"/>
      <c r="AR514" s="61"/>
    </row>
    <row r="515" ht="15.75" customHeight="1">
      <c r="K515" s="130"/>
      <c r="L515" s="130"/>
      <c r="M515" s="130"/>
      <c r="AR515" s="61"/>
    </row>
    <row r="516" ht="15.75" customHeight="1">
      <c r="K516" s="130"/>
      <c r="L516" s="130"/>
      <c r="M516" s="130"/>
      <c r="AR516" s="61"/>
    </row>
    <row r="517" ht="15.75" customHeight="1">
      <c r="K517" s="130"/>
      <c r="L517" s="130"/>
      <c r="M517" s="130"/>
      <c r="AR517" s="61"/>
    </row>
    <row r="518" ht="15.75" customHeight="1">
      <c r="K518" s="130"/>
      <c r="L518" s="130"/>
      <c r="M518" s="130"/>
      <c r="AR518" s="61"/>
    </row>
    <row r="519" ht="15.75" customHeight="1">
      <c r="K519" s="130"/>
      <c r="L519" s="130"/>
      <c r="M519" s="130"/>
      <c r="AR519" s="61"/>
    </row>
    <row r="520" ht="15.75" customHeight="1">
      <c r="K520" s="130"/>
      <c r="L520" s="130"/>
      <c r="M520" s="130"/>
      <c r="AR520" s="61"/>
    </row>
    <row r="521" ht="15.75" customHeight="1">
      <c r="K521" s="130"/>
      <c r="L521" s="130"/>
      <c r="M521" s="130"/>
      <c r="AR521" s="61"/>
    </row>
    <row r="522" ht="15.75" customHeight="1">
      <c r="K522" s="130"/>
      <c r="L522" s="130"/>
      <c r="M522" s="130"/>
      <c r="AR522" s="61"/>
    </row>
    <row r="523" ht="15.75" customHeight="1">
      <c r="K523" s="130"/>
      <c r="L523" s="130"/>
      <c r="M523" s="130"/>
      <c r="AR523" s="61"/>
    </row>
    <row r="524" ht="15.75" customHeight="1">
      <c r="K524" s="130"/>
      <c r="L524" s="130"/>
      <c r="M524" s="130"/>
      <c r="AR524" s="61"/>
    </row>
    <row r="525" ht="15.75" customHeight="1">
      <c r="K525" s="130"/>
      <c r="L525" s="130"/>
      <c r="M525" s="130"/>
      <c r="AR525" s="61"/>
    </row>
    <row r="526" ht="15.75" customHeight="1">
      <c r="K526" s="130"/>
      <c r="L526" s="130"/>
      <c r="M526" s="130"/>
      <c r="AR526" s="61"/>
    </row>
    <row r="527" ht="15.75" customHeight="1">
      <c r="K527" s="130"/>
      <c r="L527" s="130"/>
      <c r="M527" s="130"/>
      <c r="AR527" s="61"/>
    </row>
    <row r="528" ht="15.75" customHeight="1">
      <c r="K528" s="130"/>
      <c r="L528" s="130"/>
      <c r="M528" s="130"/>
      <c r="AR528" s="61"/>
    </row>
    <row r="529" ht="15.75" customHeight="1">
      <c r="K529" s="130"/>
      <c r="L529" s="130"/>
      <c r="M529" s="130"/>
      <c r="AR529" s="61"/>
    </row>
    <row r="530" ht="15.75" customHeight="1">
      <c r="K530" s="130"/>
      <c r="L530" s="130"/>
      <c r="M530" s="130"/>
      <c r="AR530" s="61"/>
    </row>
    <row r="531" ht="15.75" customHeight="1">
      <c r="K531" s="130"/>
      <c r="L531" s="130"/>
      <c r="M531" s="130"/>
      <c r="AR531" s="61"/>
    </row>
    <row r="532" ht="15.75" customHeight="1">
      <c r="K532" s="130"/>
      <c r="L532" s="130"/>
      <c r="M532" s="130"/>
      <c r="AR532" s="61"/>
    </row>
    <row r="533" ht="15.75" customHeight="1">
      <c r="K533" s="130"/>
      <c r="L533" s="130"/>
      <c r="M533" s="130"/>
      <c r="AR533" s="61"/>
    </row>
    <row r="534" ht="15.75" customHeight="1">
      <c r="K534" s="130"/>
      <c r="L534" s="130"/>
      <c r="M534" s="130"/>
      <c r="AR534" s="61"/>
    </row>
    <row r="535" ht="15.75" customHeight="1">
      <c r="K535" s="130"/>
      <c r="L535" s="130"/>
      <c r="M535" s="130"/>
      <c r="AR535" s="61"/>
    </row>
    <row r="536" ht="15.75" customHeight="1">
      <c r="K536" s="130"/>
      <c r="L536" s="130"/>
      <c r="M536" s="130"/>
      <c r="AR536" s="61"/>
    </row>
    <row r="537" ht="15.75" customHeight="1">
      <c r="K537" s="130"/>
      <c r="L537" s="130"/>
      <c r="M537" s="130"/>
      <c r="AR537" s="61"/>
    </row>
    <row r="538" ht="15.75" customHeight="1">
      <c r="K538" s="130"/>
      <c r="L538" s="130"/>
      <c r="M538" s="130"/>
      <c r="AR538" s="61"/>
    </row>
    <row r="539" ht="15.75" customHeight="1">
      <c r="K539" s="130"/>
      <c r="L539" s="130"/>
      <c r="M539" s="130"/>
      <c r="AR539" s="61"/>
    </row>
    <row r="540" ht="15.75" customHeight="1">
      <c r="K540" s="130"/>
      <c r="L540" s="130"/>
      <c r="M540" s="130"/>
      <c r="AR540" s="61"/>
    </row>
    <row r="541" ht="15.75" customHeight="1">
      <c r="K541" s="130"/>
      <c r="L541" s="130"/>
      <c r="M541" s="130"/>
      <c r="AR541" s="61"/>
    </row>
    <row r="542" ht="15.75" customHeight="1">
      <c r="K542" s="130"/>
      <c r="L542" s="130"/>
      <c r="M542" s="130"/>
      <c r="AR542" s="61"/>
    </row>
    <row r="543" ht="15.75" customHeight="1">
      <c r="K543" s="130"/>
      <c r="L543" s="130"/>
      <c r="M543" s="130"/>
      <c r="AR543" s="61"/>
    </row>
    <row r="544" ht="15.75" customHeight="1">
      <c r="K544" s="130"/>
      <c r="L544" s="130"/>
      <c r="M544" s="130"/>
      <c r="AR544" s="61"/>
    </row>
    <row r="545" ht="15.75" customHeight="1">
      <c r="K545" s="130"/>
      <c r="L545" s="130"/>
      <c r="M545" s="130"/>
      <c r="AR545" s="61"/>
    </row>
    <row r="546" ht="15.75" customHeight="1">
      <c r="K546" s="130"/>
      <c r="L546" s="130"/>
      <c r="M546" s="130"/>
      <c r="AR546" s="61"/>
    </row>
    <row r="547" ht="15.75" customHeight="1">
      <c r="K547" s="130"/>
      <c r="L547" s="130"/>
      <c r="M547" s="130"/>
      <c r="AR547" s="61"/>
    </row>
    <row r="548" ht="15.75" customHeight="1">
      <c r="K548" s="130"/>
      <c r="L548" s="130"/>
      <c r="M548" s="130"/>
      <c r="AR548" s="61"/>
    </row>
    <row r="549" ht="15.75" customHeight="1">
      <c r="K549" s="130"/>
      <c r="L549" s="130"/>
      <c r="M549" s="130"/>
      <c r="AR549" s="61"/>
    </row>
    <row r="550" ht="15.75" customHeight="1">
      <c r="K550" s="130"/>
      <c r="L550" s="130"/>
      <c r="M550" s="130"/>
      <c r="AR550" s="61"/>
    </row>
    <row r="551" ht="15.75" customHeight="1">
      <c r="K551" s="130"/>
      <c r="L551" s="130"/>
      <c r="M551" s="130"/>
      <c r="AR551" s="61"/>
    </row>
    <row r="552" ht="15.75" customHeight="1">
      <c r="K552" s="130"/>
      <c r="L552" s="130"/>
      <c r="M552" s="130"/>
      <c r="AR552" s="61"/>
    </row>
    <row r="553" ht="15.75" customHeight="1">
      <c r="K553" s="130"/>
      <c r="L553" s="130"/>
      <c r="M553" s="130"/>
      <c r="AR553" s="61"/>
    </row>
    <row r="554" ht="15.75" customHeight="1">
      <c r="K554" s="130"/>
      <c r="L554" s="130"/>
      <c r="M554" s="130"/>
      <c r="AR554" s="61"/>
    </row>
    <row r="555" ht="15.75" customHeight="1">
      <c r="K555" s="130"/>
      <c r="L555" s="130"/>
      <c r="M555" s="130"/>
      <c r="AR555" s="61"/>
    </row>
    <row r="556" ht="15.75" customHeight="1">
      <c r="K556" s="130"/>
      <c r="L556" s="130"/>
      <c r="M556" s="130"/>
      <c r="AR556" s="61"/>
    </row>
    <row r="557" ht="15.75" customHeight="1">
      <c r="K557" s="130"/>
      <c r="L557" s="130"/>
      <c r="M557" s="130"/>
      <c r="AR557" s="61"/>
    </row>
    <row r="558" ht="15.75" customHeight="1">
      <c r="K558" s="130"/>
      <c r="L558" s="130"/>
      <c r="M558" s="130"/>
      <c r="AR558" s="61"/>
    </row>
    <row r="559" ht="15.75" customHeight="1">
      <c r="K559" s="130"/>
      <c r="L559" s="130"/>
      <c r="M559" s="130"/>
      <c r="AR559" s="61"/>
    </row>
    <row r="560" ht="15.75" customHeight="1">
      <c r="K560" s="130"/>
      <c r="L560" s="130"/>
      <c r="M560" s="130"/>
      <c r="AR560" s="61"/>
    </row>
    <row r="561" ht="15.75" customHeight="1">
      <c r="K561" s="130"/>
      <c r="L561" s="130"/>
      <c r="M561" s="130"/>
      <c r="AR561" s="61"/>
    </row>
    <row r="562" ht="15.75" customHeight="1">
      <c r="K562" s="130"/>
      <c r="L562" s="130"/>
      <c r="M562" s="130"/>
      <c r="AR562" s="61"/>
    </row>
    <row r="563" ht="15.75" customHeight="1">
      <c r="K563" s="130"/>
      <c r="L563" s="130"/>
      <c r="M563" s="130"/>
      <c r="AR563" s="61"/>
    </row>
    <row r="564" ht="15.75" customHeight="1">
      <c r="K564" s="130"/>
      <c r="L564" s="130"/>
      <c r="M564" s="130"/>
      <c r="AR564" s="61"/>
    </row>
    <row r="565" ht="15.75" customHeight="1">
      <c r="K565" s="130"/>
      <c r="L565" s="130"/>
      <c r="M565" s="130"/>
      <c r="AR565" s="61"/>
    </row>
    <row r="566" ht="15.75" customHeight="1">
      <c r="K566" s="130"/>
      <c r="L566" s="130"/>
      <c r="M566" s="130"/>
      <c r="AR566" s="61"/>
    </row>
    <row r="567" ht="15.75" customHeight="1">
      <c r="K567" s="130"/>
      <c r="L567" s="130"/>
      <c r="M567" s="130"/>
      <c r="AR567" s="61"/>
    </row>
    <row r="568" ht="15.75" customHeight="1">
      <c r="K568" s="130"/>
      <c r="L568" s="130"/>
      <c r="M568" s="130"/>
      <c r="AR568" s="61"/>
    </row>
    <row r="569" ht="15.75" customHeight="1">
      <c r="K569" s="130"/>
      <c r="L569" s="130"/>
      <c r="M569" s="130"/>
      <c r="AR569" s="61"/>
    </row>
    <row r="570" ht="15.75" customHeight="1">
      <c r="K570" s="130"/>
      <c r="L570" s="130"/>
      <c r="M570" s="130"/>
      <c r="AR570" s="61"/>
    </row>
    <row r="571" ht="15.75" customHeight="1">
      <c r="K571" s="130"/>
      <c r="L571" s="130"/>
      <c r="M571" s="130"/>
      <c r="AR571" s="61"/>
    </row>
    <row r="572" ht="15.75" customHeight="1">
      <c r="K572" s="130"/>
      <c r="L572" s="130"/>
      <c r="M572" s="130"/>
      <c r="AR572" s="61"/>
    </row>
    <row r="573" ht="15.75" customHeight="1">
      <c r="K573" s="130"/>
      <c r="L573" s="130"/>
      <c r="M573" s="130"/>
      <c r="AR573" s="61"/>
    </row>
    <row r="574" ht="15.75" customHeight="1">
      <c r="K574" s="130"/>
      <c r="L574" s="130"/>
      <c r="M574" s="130"/>
      <c r="AR574" s="61"/>
    </row>
    <row r="575" ht="15.75" customHeight="1">
      <c r="K575" s="130"/>
      <c r="L575" s="130"/>
      <c r="M575" s="130"/>
      <c r="AR575" s="61"/>
    </row>
    <row r="576" ht="15.75" customHeight="1">
      <c r="K576" s="130"/>
      <c r="L576" s="130"/>
      <c r="M576" s="130"/>
      <c r="AR576" s="61"/>
    </row>
    <row r="577" ht="15.75" customHeight="1">
      <c r="K577" s="130"/>
      <c r="L577" s="130"/>
      <c r="M577" s="130"/>
      <c r="AR577" s="61"/>
    </row>
    <row r="578" ht="15.75" customHeight="1">
      <c r="K578" s="130"/>
      <c r="L578" s="130"/>
      <c r="M578" s="130"/>
      <c r="AR578" s="61"/>
    </row>
    <row r="579" ht="15.75" customHeight="1">
      <c r="K579" s="130"/>
      <c r="L579" s="130"/>
      <c r="M579" s="130"/>
      <c r="AR579" s="61"/>
    </row>
    <row r="580" ht="15.75" customHeight="1">
      <c r="K580" s="130"/>
      <c r="L580" s="130"/>
      <c r="M580" s="130"/>
      <c r="AR580" s="61"/>
    </row>
    <row r="581" ht="15.75" customHeight="1">
      <c r="K581" s="130"/>
      <c r="L581" s="130"/>
      <c r="M581" s="130"/>
      <c r="AR581" s="61"/>
    </row>
    <row r="582" ht="15.75" customHeight="1">
      <c r="K582" s="130"/>
      <c r="L582" s="130"/>
      <c r="M582" s="130"/>
      <c r="AR582" s="61"/>
    </row>
    <row r="583" ht="15.75" customHeight="1">
      <c r="K583" s="130"/>
      <c r="L583" s="130"/>
      <c r="M583" s="130"/>
      <c r="AR583" s="61"/>
    </row>
    <row r="584" ht="15.75" customHeight="1">
      <c r="K584" s="130"/>
      <c r="L584" s="130"/>
      <c r="M584" s="130"/>
      <c r="AR584" s="61"/>
    </row>
    <row r="585" ht="15.75" customHeight="1">
      <c r="K585" s="130"/>
      <c r="L585" s="130"/>
      <c r="M585" s="130"/>
      <c r="AR585" s="61"/>
    </row>
    <row r="586" ht="15.75" customHeight="1">
      <c r="K586" s="130"/>
      <c r="L586" s="130"/>
      <c r="M586" s="130"/>
      <c r="AR586" s="61"/>
    </row>
    <row r="587" ht="15.75" customHeight="1">
      <c r="K587" s="130"/>
      <c r="L587" s="130"/>
      <c r="M587" s="130"/>
      <c r="AR587" s="61"/>
    </row>
    <row r="588" ht="15.75" customHeight="1">
      <c r="K588" s="130"/>
      <c r="L588" s="130"/>
      <c r="M588" s="130"/>
      <c r="AR588" s="61"/>
    </row>
    <row r="589" ht="15.75" customHeight="1">
      <c r="K589" s="130"/>
      <c r="L589" s="130"/>
      <c r="M589" s="130"/>
      <c r="AR589" s="61"/>
    </row>
    <row r="590" ht="15.75" customHeight="1">
      <c r="K590" s="130"/>
      <c r="L590" s="130"/>
      <c r="M590" s="130"/>
      <c r="AR590" s="61"/>
    </row>
    <row r="591" ht="15.75" customHeight="1">
      <c r="K591" s="130"/>
      <c r="L591" s="130"/>
      <c r="M591" s="130"/>
      <c r="AR591" s="61"/>
    </row>
    <row r="592" ht="15.75" customHeight="1">
      <c r="K592" s="130"/>
      <c r="L592" s="130"/>
      <c r="M592" s="130"/>
      <c r="AR592" s="61"/>
    </row>
    <row r="593" ht="15.75" customHeight="1">
      <c r="K593" s="130"/>
      <c r="L593" s="130"/>
      <c r="M593" s="130"/>
      <c r="AR593" s="61"/>
    </row>
    <row r="594" ht="15.75" customHeight="1">
      <c r="K594" s="130"/>
      <c r="L594" s="130"/>
      <c r="M594" s="130"/>
      <c r="AR594" s="61"/>
    </row>
    <row r="595" ht="15.75" customHeight="1">
      <c r="K595" s="130"/>
      <c r="L595" s="130"/>
      <c r="M595" s="130"/>
      <c r="AR595" s="61"/>
    </row>
    <row r="596" ht="15.75" customHeight="1">
      <c r="K596" s="130"/>
      <c r="L596" s="130"/>
      <c r="M596" s="130"/>
      <c r="AR596" s="61"/>
    </row>
    <row r="597" ht="15.75" customHeight="1">
      <c r="K597" s="130"/>
      <c r="L597" s="130"/>
      <c r="M597" s="130"/>
      <c r="AR597" s="61"/>
    </row>
    <row r="598" ht="15.75" customHeight="1">
      <c r="K598" s="130"/>
      <c r="L598" s="130"/>
      <c r="M598" s="130"/>
      <c r="AR598" s="61"/>
    </row>
    <row r="599" ht="15.75" customHeight="1">
      <c r="K599" s="130"/>
      <c r="L599" s="130"/>
      <c r="M599" s="130"/>
      <c r="AR599" s="61"/>
    </row>
    <row r="600" ht="15.75" customHeight="1">
      <c r="K600" s="130"/>
      <c r="L600" s="130"/>
      <c r="M600" s="130"/>
      <c r="AR600" s="61"/>
    </row>
    <row r="601" ht="15.75" customHeight="1">
      <c r="K601" s="130"/>
      <c r="L601" s="130"/>
      <c r="M601" s="130"/>
      <c r="AR601" s="61"/>
    </row>
    <row r="602" ht="15.75" customHeight="1">
      <c r="K602" s="130"/>
      <c r="L602" s="130"/>
      <c r="M602" s="130"/>
      <c r="AR602" s="61"/>
    </row>
    <row r="603" ht="15.75" customHeight="1">
      <c r="K603" s="130"/>
      <c r="L603" s="130"/>
      <c r="M603" s="130"/>
      <c r="AR603" s="61"/>
    </row>
    <row r="604" ht="15.75" customHeight="1">
      <c r="K604" s="130"/>
      <c r="L604" s="130"/>
      <c r="M604" s="130"/>
      <c r="AR604" s="61"/>
    </row>
    <row r="605" ht="15.75" customHeight="1">
      <c r="K605" s="130"/>
      <c r="L605" s="130"/>
      <c r="M605" s="130"/>
      <c r="AR605" s="61"/>
    </row>
    <row r="606" ht="15.75" customHeight="1">
      <c r="K606" s="130"/>
      <c r="L606" s="130"/>
      <c r="M606" s="130"/>
      <c r="AR606" s="61"/>
    </row>
    <row r="607" ht="15.75" customHeight="1">
      <c r="K607" s="130"/>
      <c r="L607" s="130"/>
      <c r="M607" s="130"/>
      <c r="AR607" s="61"/>
    </row>
    <row r="608" ht="15.75" customHeight="1">
      <c r="K608" s="130"/>
      <c r="L608" s="130"/>
      <c r="M608" s="130"/>
      <c r="AR608" s="61"/>
    </row>
    <row r="609" ht="15.75" customHeight="1">
      <c r="K609" s="130"/>
      <c r="L609" s="130"/>
      <c r="M609" s="130"/>
      <c r="AR609" s="61"/>
    </row>
    <row r="610" ht="15.75" customHeight="1">
      <c r="K610" s="130"/>
      <c r="L610" s="130"/>
      <c r="M610" s="130"/>
      <c r="AR610" s="61"/>
    </row>
    <row r="611" ht="15.75" customHeight="1">
      <c r="K611" s="130"/>
      <c r="L611" s="130"/>
      <c r="M611" s="130"/>
      <c r="AR611" s="61"/>
    </row>
    <row r="612" ht="15.75" customHeight="1">
      <c r="K612" s="130"/>
      <c r="L612" s="130"/>
      <c r="M612" s="130"/>
      <c r="AR612" s="61"/>
    </row>
    <row r="613" ht="15.75" customHeight="1">
      <c r="K613" s="130"/>
      <c r="L613" s="130"/>
      <c r="M613" s="130"/>
      <c r="AR613" s="61"/>
    </row>
    <row r="614" ht="15.75" customHeight="1">
      <c r="K614" s="130"/>
      <c r="L614" s="130"/>
      <c r="M614" s="130"/>
      <c r="AR614" s="61"/>
    </row>
    <row r="615" ht="15.75" customHeight="1">
      <c r="K615" s="130"/>
      <c r="L615" s="130"/>
      <c r="M615" s="130"/>
      <c r="AR615" s="61"/>
    </row>
    <row r="616" ht="15.75" customHeight="1">
      <c r="K616" s="130"/>
      <c r="L616" s="130"/>
      <c r="M616" s="130"/>
      <c r="AR616" s="61"/>
    </row>
    <row r="617" ht="15.75" customHeight="1">
      <c r="K617" s="130"/>
      <c r="L617" s="130"/>
      <c r="M617" s="130"/>
      <c r="AR617" s="61"/>
    </row>
    <row r="618" ht="15.75" customHeight="1">
      <c r="K618" s="130"/>
      <c r="L618" s="130"/>
      <c r="M618" s="130"/>
      <c r="AR618" s="61"/>
    </row>
    <row r="619" ht="15.75" customHeight="1">
      <c r="K619" s="130"/>
      <c r="L619" s="130"/>
      <c r="M619" s="130"/>
      <c r="AR619" s="61"/>
    </row>
    <row r="620" ht="15.75" customHeight="1">
      <c r="K620" s="130"/>
      <c r="L620" s="130"/>
      <c r="M620" s="130"/>
      <c r="AR620" s="61"/>
    </row>
    <row r="621" ht="15.75" customHeight="1">
      <c r="K621" s="130"/>
      <c r="L621" s="130"/>
      <c r="M621" s="130"/>
      <c r="AR621" s="61"/>
    </row>
    <row r="622" ht="15.75" customHeight="1">
      <c r="K622" s="130"/>
      <c r="L622" s="130"/>
      <c r="M622" s="130"/>
      <c r="AR622" s="61"/>
    </row>
    <row r="623" ht="15.75" customHeight="1">
      <c r="K623" s="130"/>
      <c r="L623" s="130"/>
      <c r="M623" s="130"/>
      <c r="AR623" s="61"/>
    </row>
    <row r="624" ht="15.75" customHeight="1">
      <c r="K624" s="130"/>
      <c r="L624" s="130"/>
      <c r="M624" s="130"/>
      <c r="AR624" s="61"/>
    </row>
    <row r="625" ht="15.75" customHeight="1">
      <c r="K625" s="130"/>
      <c r="L625" s="130"/>
      <c r="M625" s="130"/>
      <c r="AR625" s="61"/>
    </row>
    <row r="626" ht="15.75" customHeight="1">
      <c r="K626" s="130"/>
      <c r="L626" s="130"/>
      <c r="M626" s="130"/>
      <c r="AR626" s="61"/>
    </row>
    <row r="627" ht="15.75" customHeight="1">
      <c r="K627" s="130"/>
      <c r="L627" s="130"/>
      <c r="M627" s="130"/>
      <c r="AR627" s="61"/>
    </row>
    <row r="628" ht="15.75" customHeight="1">
      <c r="K628" s="130"/>
      <c r="L628" s="130"/>
      <c r="M628" s="130"/>
      <c r="AR628" s="61"/>
    </row>
    <row r="629" ht="15.75" customHeight="1">
      <c r="K629" s="130"/>
      <c r="L629" s="130"/>
      <c r="M629" s="130"/>
      <c r="AR629" s="61"/>
    </row>
    <row r="630" ht="15.75" customHeight="1">
      <c r="K630" s="130"/>
      <c r="L630" s="130"/>
      <c r="M630" s="130"/>
      <c r="AR630" s="61"/>
    </row>
    <row r="631" ht="15.75" customHeight="1">
      <c r="K631" s="130"/>
      <c r="L631" s="130"/>
      <c r="M631" s="130"/>
      <c r="AR631" s="61"/>
    </row>
    <row r="632" ht="15.75" customHeight="1">
      <c r="K632" s="130"/>
      <c r="L632" s="130"/>
      <c r="M632" s="130"/>
      <c r="AR632" s="61"/>
    </row>
    <row r="633" ht="15.75" customHeight="1">
      <c r="K633" s="130"/>
      <c r="L633" s="130"/>
      <c r="M633" s="130"/>
      <c r="AR633" s="61"/>
    </row>
    <row r="634" ht="15.75" customHeight="1">
      <c r="K634" s="130"/>
      <c r="L634" s="130"/>
      <c r="M634" s="130"/>
      <c r="AR634" s="61"/>
    </row>
    <row r="635" ht="15.75" customHeight="1">
      <c r="K635" s="130"/>
      <c r="L635" s="130"/>
      <c r="M635" s="130"/>
      <c r="AR635" s="61"/>
    </row>
    <row r="636" ht="15.75" customHeight="1">
      <c r="K636" s="130"/>
      <c r="L636" s="130"/>
      <c r="M636" s="130"/>
      <c r="AR636" s="61"/>
    </row>
    <row r="637" ht="15.75" customHeight="1">
      <c r="K637" s="130"/>
      <c r="L637" s="130"/>
      <c r="M637" s="130"/>
      <c r="AR637" s="61"/>
    </row>
    <row r="638" ht="15.75" customHeight="1">
      <c r="K638" s="130"/>
      <c r="L638" s="130"/>
      <c r="M638" s="130"/>
      <c r="AR638" s="61"/>
    </row>
    <row r="639" ht="15.75" customHeight="1">
      <c r="K639" s="130"/>
      <c r="L639" s="130"/>
      <c r="M639" s="130"/>
      <c r="AR639" s="61"/>
    </row>
    <row r="640" ht="15.75" customHeight="1">
      <c r="K640" s="130"/>
      <c r="L640" s="130"/>
      <c r="M640" s="130"/>
      <c r="AR640" s="61"/>
    </row>
    <row r="641" ht="15.75" customHeight="1">
      <c r="K641" s="130"/>
      <c r="L641" s="130"/>
      <c r="M641" s="130"/>
      <c r="AR641" s="61"/>
    </row>
    <row r="642" ht="15.75" customHeight="1">
      <c r="K642" s="130"/>
      <c r="L642" s="130"/>
      <c r="M642" s="130"/>
      <c r="AR642" s="61"/>
    </row>
    <row r="643" ht="15.75" customHeight="1">
      <c r="K643" s="130"/>
      <c r="L643" s="130"/>
      <c r="M643" s="130"/>
      <c r="AR643" s="61"/>
    </row>
    <row r="644" ht="15.75" customHeight="1">
      <c r="K644" s="130"/>
      <c r="L644" s="130"/>
      <c r="M644" s="130"/>
      <c r="AR644" s="61"/>
    </row>
    <row r="645" ht="15.75" customHeight="1">
      <c r="K645" s="130"/>
      <c r="L645" s="130"/>
      <c r="M645" s="130"/>
      <c r="AR645" s="61"/>
    </row>
    <row r="646" ht="15.75" customHeight="1">
      <c r="K646" s="130"/>
      <c r="L646" s="130"/>
      <c r="M646" s="130"/>
      <c r="AR646" s="61"/>
    </row>
    <row r="647" ht="15.75" customHeight="1">
      <c r="K647" s="130"/>
      <c r="L647" s="130"/>
      <c r="M647" s="130"/>
      <c r="AR647" s="61"/>
    </row>
    <row r="648" ht="15.75" customHeight="1">
      <c r="K648" s="130"/>
      <c r="L648" s="130"/>
      <c r="M648" s="130"/>
      <c r="AR648" s="61"/>
    </row>
    <row r="649" ht="15.75" customHeight="1">
      <c r="K649" s="130"/>
      <c r="L649" s="130"/>
      <c r="M649" s="130"/>
      <c r="AR649" s="61"/>
    </row>
    <row r="650" ht="15.75" customHeight="1">
      <c r="K650" s="130"/>
      <c r="L650" s="130"/>
      <c r="M650" s="130"/>
      <c r="AR650" s="61"/>
    </row>
    <row r="651" ht="15.75" customHeight="1">
      <c r="K651" s="130"/>
      <c r="L651" s="130"/>
      <c r="M651" s="130"/>
      <c r="AR651" s="61"/>
    </row>
    <row r="652" ht="15.75" customHeight="1">
      <c r="K652" s="130"/>
      <c r="L652" s="130"/>
      <c r="M652" s="130"/>
      <c r="AR652" s="61"/>
    </row>
    <row r="653" ht="15.75" customHeight="1">
      <c r="K653" s="130"/>
      <c r="L653" s="130"/>
      <c r="M653" s="130"/>
      <c r="AR653" s="61"/>
    </row>
    <row r="654" ht="15.75" customHeight="1">
      <c r="K654" s="130"/>
      <c r="L654" s="130"/>
      <c r="M654" s="130"/>
      <c r="AR654" s="61"/>
    </row>
    <row r="655" ht="15.75" customHeight="1">
      <c r="K655" s="130"/>
      <c r="L655" s="130"/>
      <c r="M655" s="130"/>
      <c r="AR655" s="61"/>
    </row>
    <row r="656" ht="15.75" customHeight="1">
      <c r="K656" s="130"/>
      <c r="L656" s="130"/>
      <c r="M656" s="130"/>
      <c r="AR656" s="61"/>
    </row>
    <row r="657" ht="15.75" customHeight="1">
      <c r="K657" s="130"/>
      <c r="L657" s="130"/>
      <c r="M657" s="130"/>
      <c r="AR657" s="61"/>
    </row>
    <row r="658" ht="15.75" customHeight="1">
      <c r="K658" s="130"/>
      <c r="L658" s="130"/>
      <c r="M658" s="130"/>
      <c r="AR658" s="61"/>
    </row>
    <row r="659" ht="15.75" customHeight="1">
      <c r="K659" s="130"/>
      <c r="L659" s="130"/>
      <c r="M659" s="130"/>
      <c r="AR659" s="61"/>
    </row>
    <row r="660" ht="15.75" customHeight="1">
      <c r="K660" s="130"/>
      <c r="L660" s="130"/>
      <c r="M660" s="130"/>
      <c r="AR660" s="61"/>
    </row>
    <row r="661" ht="15.75" customHeight="1">
      <c r="K661" s="130"/>
      <c r="L661" s="130"/>
      <c r="M661" s="130"/>
      <c r="AR661" s="61"/>
    </row>
    <row r="662" ht="15.75" customHeight="1">
      <c r="K662" s="130"/>
      <c r="L662" s="130"/>
      <c r="M662" s="130"/>
      <c r="AR662" s="61"/>
    </row>
    <row r="663" ht="15.75" customHeight="1">
      <c r="K663" s="130"/>
      <c r="L663" s="130"/>
      <c r="M663" s="130"/>
      <c r="AR663" s="61"/>
    </row>
    <row r="664" ht="15.75" customHeight="1">
      <c r="K664" s="130"/>
      <c r="L664" s="130"/>
      <c r="M664" s="130"/>
      <c r="AR664" s="61"/>
    </row>
    <row r="665" ht="15.75" customHeight="1">
      <c r="K665" s="130"/>
      <c r="L665" s="130"/>
      <c r="M665" s="130"/>
      <c r="AR665" s="61"/>
    </row>
    <row r="666" ht="15.75" customHeight="1">
      <c r="K666" s="130"/>
      <c r="L666" s="130"/>
      <c r="M666" s="130"/>
      <c r="AR666" s="61"/>
    </row>
    <row r="667" ht="15.75" customHeight="1">
      <c r="K667" s="130"/>
      <c r="L667" s="130"/>
      <c r="M667" s="130"/>
      <c r="AR667" s="61"/>
    </row>
    <row r="668" ht="15.75" customHeight="1">
      <c r="K668" s="130"/>
      <c r="L668" s="130"/>
      <c r="M668" s="130"/>
      <c r="AR668" s="61"/>
    </row>
    <row r="669" ht="15.75" customHeight="1">
      <c r="K669" s="130"/>
      <c r="L669" s="130"/>
      <c r="M669" s="130"/>
      <c r="AR669" s="61"/>
    </row>
    <row r="670" ht="15.75" customHeight="1">
      <c r="K670" s="130"/>
      <c r="L670" s="130"/>
      <c r="M670" s="130"/>
      <c r="AR670" s="61"/>
    </row>
    <row r="671" ht="15.75" customHeight="1">
      <c r="K671" s="130"/>
      <c r="L671" s="130"/>
      <c r="M671" s="130"/>
      <c r="AR671" s="61"/>
    </row>
    <row r="672" ht="15.75" customHeight="1">
      <c r="K672" s="130"/>
      <c r="L672" s="130"/>
      <c r="M672" s="130"/>
      <c r="AR672" s="61"/>
    </row>
    <row r="673" ht="15.75" customHeight="1">
      <c r="K673" s="130"/>
      <c r="L673" s="130"/>
      <c r="M673" s="130"/>
      <c r="AR673" s="61"/>
    </row>
    <row r="674" ht="15.75" customHeight="1">
      <c r="K674" s="130"/>
      <c r="L674" s="130"/>
      <c r="M674" s="130"/>
      <c r="AR674" s="61"/>
    </row>
    <row r="675" ht="15.75" customHeight="1">
      <c r="K675" s="130"/>
      <c r="L675" s="130"/>
      <c r="M675" s="130"/>
      <c r="AR675" s="61"/>
    </row>
    <row r="676" ht="15.75" customHeight="1">
      <c r="K676" s="130"/>
      <c r="L676" s="130"/>
      <c r="M676" s="130"/>
      <c r="AR676" s="61"/>
    </row>
    <row r="677" ht="15.75" customHeight="1">
      <c r="K677" s="130"/>
      <c r="L677" s="130"/>
      <c r="M677" s="130"/>
      <c r="AR677" s="61"/>
    </row>
    <row r="678" ht="15.75" customHeight="1">
      <c r="K678" s="130"/>
      <c r="L678" s="130"/>
      <c r="M678" s="130"/>
      <c r="AR678" s="61"/>
    </row>
    <row r="679" ht="15.75" customHeight="1">
      <c r="K679" s="130"/>
      <c r="L679" s="130"/>
      <c r="M679" s="130"/>
      <c r="AR679" s="61"/>
    </row>
    <row r="680" ht="15.75" customHeight="1">
      <c r="K680" s="130"/>
      <c r="L680" s="130"/>
      <c r="M680" s="130"/>
      <c r="AR680" s="61"/>
    </row>
    <row r="681" ht="15.75" customHeight="1">
      <c r="K681" s="130"/>
      <c r="L681" s="130"/>
      <c r="M681" s="130"/>
      <c r="AR681" s="61"/>
    </row>
    <row r="682" ht="15.75" customHeight="1">
      <c r="K682" s="130"/>
      <c r="L682" s="130"/>
      <c r="M682" s="130"/>
      <c r="AR682" s="61"/>
    </row>
    <row r="683" ht="15.75" customHeight="1">
      <c r="K683" s="130"/>
      <c r="L683" s="130"/>
      <c r="M683" s="130"/>
      <c r="AR683" s="61"/>
    </row>
    <row r="684" ht="15.75" customHeight="1">
      <c r="K684" s="130"/>
      <c r="L684" s="130"/>
      <c r="M684" s="130"/>
      <c r="AR684" s="61"/>
    </row>
    <row r="685" ht="15.75" customHeight="1">
      <c r="K685" s="130"/>
      <c r="L685" s="130"/>
      <c r="M685" s="130"/>
      <c r="AR685" s="61"/>
    </row>
    <row r="686" ht="15.75" customHeight="1">
      <c r="K686" s="130"/>
      <c r="L686" s="130"/>
      <c r="M686" s="130"/>
      <c r="AR686" s="61"/>
    </row>
    <row r="687" ht="15.75" customHeight="1">
      <c r="K687" s="130"/>
      <c r="L687" s="130"/>
      <c r="M687" s="130"/>
      <c r="AR687" s="61"/>
    </row>
    <row r="688" ht="15.75" customHeight="1">
      <c r="K688" s="130"/>
      <c r="L688" s="130"/>
      <c r="M688" s="130"/>
      <c r="AR688" s="61"/>
    </row>
    <row r="689" ht="15.75" customHeight="1">
      <c r="K689" s="130"/>
      <c r="L689" s="130"/>
      <c r="M689" s="130"/>
      <c r="AR689" s="61"/>
    </row>
    <row r="690" ht="15.75" customHeight="1">
      <c r="K690" s="130"/>
      <c r="L690" s="130"/>
      <c r="M690" s="130"/>
      <c r="AR690" s="61"/>
    </row>
    <row r="691" ht="15.75" customHeight="1">
      <c r="K691" s="130"/>
      <c r="L691" s="130"/>
      <c r="M691" s="130"/>
      <c r="AR691" s="61"/>
    </row>
    <row r="692" ht="15.75" customHeight="1">
      <c r="K692" s="130"/>
      <c r="L692" s="130"/>
      <c r="M692" s="130"/>
      <c r="AR692" s="61"/>
    </row>
    <row r="693" ht="15.75" customHeight="1">
      <c r="K693" s="130"/>
      <c r="L693" s="130"/>
      <c r="M693" s="130"/>
      <c r="AR693" s="61"/>
    </row>
    <row r="694" ht="15.75" customHeight="1">
      <c r="K694" s="130"/>
      <c r="L694" s="130"/>
      <c r="M694" s="130"/>
      <c r="AR694" s="61"/>
    </row>
    <row r="695" ht="15.75" customHeight="1">
      <c r="K695" s="130"/>
      <c r="L695" s="130"/>
      <c r="M695" s="130"/>
      <c r="AR695" s="61"/>
    </row>
    <row r="696" ht="15.75" customHeight="1">
      <c r="K696" s="130"/>
      <c r="L696" s="130"/>
      <c r="M696" s="130"/>
      <c r="AR696" s="61"/>
    </row>
    <row r="697" ht="15.75" customHeight="1">
      <c r="K697" s="130"/>
      <c r="L697" s="130"/>
      <c r="M697" s="130"/>
      <c r="AR697" s="61"/>
    </row>
    <row r="698" ht="15.75" customHeight="1">
      <c r="K698" s="130"/>
      <c r="L698" s="130"/>
      <c r="M698" s="130"/>
      <c r="AR698" s="61"/>
    </row>
    <row r="699" ht="15.75" customHeight="1">
      <c r="K699" s="130"/>
      <c r="L699" s="130"/>
      <c r="M699" s="130"/>
      <c r="AR699" s="61"/>
    </row>
    <row r="700" ht="15.75" customHeight="1">
      <c r="K700" s="130"/>
      <c r="L700" s="130"/>
      <c r="M700" s="130"/>
      <c r="AR700" s="61"/>
    </row>
    <row r="701" ht="15.75" customHeight="1">
      <c r="K701" s="130"/>
      <c r="L701" s="130"/>
      <c r="M701" s="130"/>
      <c r="AR701" s="61"/>
    </row>
    <row r="702" ht="15.75" customHeight="1">
      <c r="K702" s="130"/>
      <c r="L702" s="130"/>
      <c r="M702" s="130"/>
      <c r="AR702" s="61"/>
    </row>
    <row r="703" ht="15.75" customHeight="1">
      <c r="K703" s="130"/>
      <c r="L703" s="130"/>
      <c r="M703" s="130"/>
      <c r="AR703" s="61"/>
    </row>
    <row r="704" ht="15.75" customHeight="1">
      <c r="K704" s="130"/>
      <c r="L704" s="130"/>
      <c r="M704" s="130"/>
      <c r="AR704" s="61"/>
    </row>
    <row r="705" ht="15.75" customHeight="1">
      <c r="K705" s="130"/>
      <c r="L705" s="130"/>
      <c r="M705" s="130"/>
      <c r="AR705" s="61"/>
    </row>
    <row r="706" ht="15.75" customHeight="1">
      <c r="K706" s="130"/>
      <c r="L706" s="130"/>
      <c r="M706" s="130"/>
      <c r="AR706" s="61"/>
    </row>
    <row r="707" ht="15.75" customHeight="1">
      <c r="K707" s="130"/>
      <c r="L707" s="130"/>
      <c r="M707" s="130"/>
      <c r="AR707" s="61"/>
    </row>
    <row r="708" ht="15.75" customHeight="1">
      <c r="K708" s="130"/>
      <c r="L708" s="130"/>
      <c r="M708" s="130"/>
      <c r="AR708" s="61"/>
    </row>
    <row r="709" ht="15.75" customHeight="1">
      <c r="K709" s="130"/>
      <c r="L709" s="130"/>
      <c r="M709" s="130"/>
      <c r="AR709" s="61"/>
    </row>
    <row r="710" ht="15.75" customHeight="1">
      <c r="K710" s="130"/>
      <c r="L710" s="130"/>
      <c r="M710" s="130"/>
      <c r="AR710" s="61"/>
    </row>
    <row r="711" ht="15.75" customHeight="1">
      <c r="K711" s="130"/>
      <c r="L711" s="130"/>
      <c r="M711" s="130"/>
      <c r="AR711" s="61"/>
    </row>
    <row r="712" ht="15.75" customHeight="1">
      <c r="K712" s="130"/>
      <c r="L712" s="130"/>
      <c r="M712" s="130"/>
      <c r="AR712" s="61"/>
    </row>
    <row r="713" ht="15.75" customHeight="1">
      <c r="K713" s="130"/>
      <c r="L713" s="130"/>
      <c r="M713" s="130"/>
      <c r="AR713" s="61"/>
    </row>
    <row r="714" ht="15.75" customHeight="1">
      <c r="K714" s="130"/>
      <c r="L714" s="130"/>
      <c r="M714" s="130"/>
      <c r="AR714" s="61"/>
    </row>
    <row r="715" ht="15.75" customHeight="1">
      <c r="K715" s="130"/>
      <c r="L715" s="130"/>
      <c r="M715" s="130"/>
      <c r="AR715" s="61"/>
    </row>
    <row r="716" ht="15.75" customHeight="1">
      <c r="K716" s="130"/>
      <c r="L716" s="130"/>
      <c r="M716" s="130"/>
      <c r="AR716" s="61"/>
    </row>
    <row r="717" ht="15.75" customHeight="1">
      <c r="K717" s="130"/>
      <c r="L717" s="130"/>
      <c r="M717" s="130"/>
      <c r="AR717" s="61"/>
    </row>
    <row r="718" ht="15.75" customHeight="1">
      <c r="K718" s="130"/>
      <c r="L718" s="130"/>
      <c r="M718" s="130"/>
      <c r="AR718" s="61"/>
    </row>
    <row r="719" ht="15.75" customHeight="1">
      <c r="K719" s="130"/>
      <c r="L719" s="130"/>
      <c r="M719" s="130"/>
      <c r="AR719" s="61"/>
    </row>
    <row r="720" ht="15.75" customHeight="1">
      <c r="K720" s="130"/>
      <c r="L720" s="130"/>
      <c r="M720" s="130"/>
      <c r="AR720" s="61"/>
    </row>
    <row r="721" ht="15.75" customHeight="1">
      <c r="K721" s="130"/>
      <c r="L721" s="130"/>
      <c r="M721" s="130"/>
      <c r="AR721" s="61"/>
    </row>
    <row r="722" ht="15.75" customHeight="1">
      <c r="K722" s="130"/>
      <c r="L722" s="130"/>
      <c r="M722" s="130"/>
      <c r="AR722" s="61"/>
    </row>
    <row r="723" ht="15.75" customHeight="1">
      <c r="K723" s="130"/>
      <c r="L723" s="130"/>
      <c r="M723" s="130"/>
      <c r="AR723" s="61"/>
    </row>
    <row r="724" ht="15.75" customHeight="1">
      <c r="K724" s="130"/>
      <c r="L724" s="130"/>
      <c r="M724" s="130"/>
      <c r="AR724" s="61"/>
    </row>
    <row r="725" ht="15.75" customHeight="1">
      <c r="K725" s="130"/>
      <c r="L725" s="130"/>
      <c r="M725" s="130"/>
      <c r="AR725" s="61"/>
    </row>
    <row r="726" ht="15.75" customHeight="1">
      <c r="K726" s="130"/>
      <c r="L726" s="130"/>
      <c r="M726" s="130"/>
      <c r="AR726" s="61"/>
    </row>
    <row r="727" ht="15.75" customHeight="1">
      <c r="K727" s="130"/>
      <c r="L727" s="130"/>
      <c r="M727" s="130"/>
      <c r="AR727" s="61"/>
    </row>
    <row r="728" ht="15.75" customHeight="1">
      <c r="K728" s="130"/>
      <c r="L728" s="130"/>
      <c r="M728" s="130"/>
      <c r="AR728" s="61"/>
    </row>
    <row r="729" ht="15.75" customHeight="1">
      <c r="K729" s="130"/>
      <c r="L729" s="130"/>
      <c r="M729" s="130"/>
      <c r="AR729" s="61"/>
    </row>
    <row r="730" ht="15.75" customHeight="1">
      <c r="K730" s="130"/>
      <c r="L730" s="130"/>
      <c r="M730" s="130"/>
      <c r="AR730" s="61"/>
    </row>
    <row r="731" ht="15.75" customHeight="1">
      <c r="K731" s="130"/>
      <c r="L731" s="130"/>
      <c r="M731" s="130"/>
      <c r="AR731" s="61"/>
    </row>
    <row r="732" ht="15.75" customHeight="1">
      <c r="K732" s="130"/>
      <c r="L732" s="130"/>
      <c r="M732" s="130"/>
      <c r="AR732" s="61"/>
    </row>
    <row r="733" ht="15.75" customHeight="1">
      <c r="K733" s="130"/>
      <c r="L733" s="130"/>
      <c r="M733" s="130"/>
      <c r="AR733" s="61"/>
    </row>
    <row r="734" ht="15.75" customHeight="1">
      <c r="K734" s="130"/>
      <c r="L734" s="130"/>
      <c r="M734" s="130"/>
      <c r="AR734" s="61"/>
    </row>
    <row r="735" ht="15.75" customHeight="1">
      <c r="K735" s="130"/>
      <c r="L735" s="130"/>
      <c r="M735" s="130"/>
      <c r="AR735" s="61"/>
    </row>
    <row r="736" ht="15.75" customHeight="1">
      <c r="K736" s="130"/>
      <c r="L736" s="130"/>
      <c r="M736" s="130"/>
      <c r="AR736" s="61"/>
    </row>
    <row r="737" ht="15.75" customHeight="1">
      <c r="K737" s="130"/>
      <c r="L737" s="130"/>
      <c r="M737" s="130"/>
      <c r="AR737" s="61"/>
    </row>
    <row r="738" ht="15.75" customHeight="1">
      <c r="K738" s="130"/>
      <c r="L738" s="130"/>
      <c r="M738" s="130"/>
      <c r="AR738" s="61"/>
    </row>
    <row r="739" ht="15.75" customHeight="1">
      <c r="K739" s="130"/>
      <c r="L739" s="130"/>
      <c r="M739" s="130"/>
      <c r="AR739" s="61"/>
    </row>
    <row r="740" ht="15.75" customHeight="1">
      <c r="K740" s="130"/>
      <c r="L740" s="130"/>
      <c r="M740" s="130"/>
      <c r="AR740" s="61"/>
    </row>
    <row r="741" ht="15.75" customHeight="1">
      <c r="K741" s="130"/>
      <c r="L741" s="130"/>
      <c r="M741" s="130"/>
      <c r="AR741" s="61"/>
    </row>
    <row r="742" ht="15.75" customHeight="1">
      <c r="K742" s="130"/>
      <c r="L742" s="130"/>
      <c r="M742" s="130"/>
      <c r="AR742" s="61"/>
    </row>
    <row r="743" ht="15.75" customHeight="1">
      <c r="K743" s="130"/>
      <c r="L743" s="130"/>
      <c r="M743" s="130"/>
      <c r="AR743" s="61"/>
    </row>
    <row r="744" ht="15.75" customHeight="1">
      <c r="K744" s="130"/>
      <c r="L744" s="130"/>
      <c r="M744" s="130"/>
      <c r="AR744" s="61"/>
    </row>
    <row r="745" ht="15.75" customHeight="1">
      <c r="K745" s="130"/>
      <c r="L745" s="130"/>
      <c r="M745" s="130"/>
      <c r="AR745" s="61"/>
    </row>
    <row r="746" ht="15.75" customHeight="1">
      <c r="K746" s="130"/>
      <c r="L746" s="130"/>
      <c r="M746" s="130"/>
      <c r="AR746" s="61"/>
    </row>
    <row r="747" ht="15.75" customHeight="1">
      <c r="K747" s="130"/>
      <c r="L747" s="130"/>
      <c r="M747" s="130"/>
      <c r="AR747" s="61"/>
    </row>
    <row r="748" ht="15.75" customHeight="1">
      <c r="K748" s="130"/>
      <c r="L748" s="130"/>
      <c r="M748" s="130"/>
      <c r="AR748" s="61"/>
    </row>
    <row r="749" ht="15.75" customHeight="1">
      <c r="K749" s="130"/>
      <c r="L749" s="130"/>
      <c r="M749" s="130"/>
      <c r="AR749" s="61"/>
    </row>
    <row r="750" ht="15.75" customHeight="1">
      <c r="K750" s="130"/>
      <c r="L750" s="130"/>
      <c r="M750" s="130"/>
      <c r="AR750" s="61"/>
    </row>
    <row r="751" ht="15.75" customHeight="1">
      <c r="K751" s="130"/>
      <c r="L751" s="130"/>
      <c r="M751" s="130"/>
      <c r="AR751" s="61"/>
    </row>
    <row r="752" ht="15.75" customHeight="1">
      <c r="K752" s="130"/>
      <c r="L752" s="130"/>
      <c r="M752" s="130"/>
      <c r="AR752" s="61"/>
    </row>
    <row r="753" ht="15.75" customHeight="1">
      <c r="K753" s="130"/>
      <c r="L753" s="130"/>
      <c r="M753" s="130"/>
      <c r="AR753" s="61"/>
    </row>
    <row r="754" ht="15.75" customHeight="1">
      <c r="K754" s="130"/>
      <c r="L754" s="130"/>
      <c r="M754" s="130"/>
      <c r="AR754" s="61"/>
    </row>
    <row r="755" ht="15.75" customHeight="1">
      <c r="K755" s="130"/>
      <c r="L755" s="130"/>
      <c r="M755" s="130"/>
      <c r="AR755" s="61"/>
    </row>
    <row r="756" ht="15.75" customHeight="1">
      <c r="K756" s="130"/>
      <c r="L756" s="130"/>
      <c r="M756" s="130"/>
      <c r="AR756" s="61"/>
    </row>
    <row r="757" ht="15.75" customHeight="1">
      <c r="K757" s="130"/>
      <c r="L757" s="130"/>
      <c r="M757" s="130"/>
      <c r="AR757" s="61"/>
    </row>
    <row r="758" ht="15.75" customHeight="1">
      <c r="K758" s="130"/>
      <c r="L758" s="130"/>
      <c r="M758" s="130"/>
      <c r="AR758" s="61"/>
    </row>
    <row r="759" ht="15.75" customHeight="1">
      <c r="K759" s="130"/>
      <c r="L759" s="130"/>
      <c r="M759" s="130"/>
      <c r="AR759" s="61"/>
    </row>
    <row r="760" ht="15.75" customHeight="1">
      <c r="K760" s="130"/>
      <c r="L760" s="130"/>
      <c r="M760" s="130"/>
      <c r="AR760" s="61"/>
    </row>
    <row r="761" ht="15.75" customHeight="1">
      <c r="K761" s="130"/>
      <c r="L761" s="130"/>
      <c r="M761" s="130"/>
      <c r="AR761" s="61"/>
    </row>
    <row r="762" ht="15.75" customHeight="1">
      <c r="K762" s="130"/>
      <c r="L762" s="130"/>
      <c r="M762" s="130"/>
      <c r="AR762" s="61"/>
    </row>
    <row r="763" ht="15.75" customHeight="1">
      <c r="K763" s="130"/>
      <c r="L763" s="130"/>
      <c r="M763" s="130"/>
      <c r="AR763" s="61"/>
    </row>
    <row r="764" ht="15.75" customHeight="1">
      <c r="K764" s="130"/>
      <c r="L764" s="130"/>
      <c r="M764" s="130"/>
      <c r="AR764" s="61"/>
    </row>
    <row r="765" ht="15.75" customHeight="1">
      <c r="K765" s="130"/>
      <c r="L765" s="130"/>
      <c r="M765" s="130"/>
      <c r="AR765" s="61"/>
    </row>
    <row r="766" ht="15.75" customHeight="1">
      <c r="K766" s="130"/>
      <c r="L766" s="130"/>
      <c r="M766" s="130"/>
      <c r="AR766" s="61"/>
    </row>
    <row r="767" ht="15.75" customHeight="1">
      <c r="K767" s="130"/>
      <c r="L767" s="130"/>
      <c r="M767" s="130"/>
      <c r="AR767" s="61"/>
    </row>
    <row r="768" ht="15.75" customHeight="1">
      <c r="K768" s="130"/>
      <c r="L768" s="130"/>
      <c r="M768" s="130"/>
      <c r="AR768" s="61"/>
    </row>
    <row r="769" ht="15.75" customHeight="1">
      <c r="K769" s="130"/>
      <c r="L769" s="130"/>
      <c r="M769" s="130"/>
      <c r="AR769" s="61"/>
    </row>
    <row r="770" ht="15.75" customHeight="1">
      <c r="K770" s="130"/>
      <c r="L770" s="130"/>
      <c r="M770" s="130"/>
      <c r="AR770" s="61"/>
    </row>
    <row r="771" ht="15.75" customHeight="1">
      <c r="K771" s="130"/>
      <c r="L771" s="130"/>
      <c r="M771" s="130"/>
      <c r="AR771" s="61"/>
    </row>
    <row r="772" ht="15.75" customHeight="1">
      <c r="K772" s="130"/>
      <c r="L772" s="130"/>
      <c r="M772" s="130"/>
      <c r="AR772" s="61"/>
    </row>
    <row r="773" ht="15.75" customHeight="1">
      <c r="K773" s="130"/>
      <c r="L773" s="130"/>
      <c r="M773" s="130"/>
      <c r="AR773" s="61"/>
    </row>
    <row r="774" ht="15.75" customHeight="1">
      <c r="K774" s="130"/>
      <c r="L774" s="130"/>
      <c r="M774" s="130"/>
      <c r="AR774" s="61"/>
    </row>
    <row r="775" ht="15.75" customHeight="1">
      <c r="K775" s="130"/>
      <c r="L775" s="130"/>
      <c r="M775" s="130"/>
      <c r="AR775" s="61"/>
    </row>
    <row r="776" ht="15.75" customHeight="1">
      <c r="K776" s="130"/>
      <c r="L776" s="130"/>
      <c r="M776" s="130"/>
      <c r="AR776" s="61"/>
    </row>
    <row r="777" ht="15.75" customHeight="1">
      <c r="K777" s="130"/>
      <c r="L777" s="130"/>
      <c r="M777" s="130"/>
      <c r="AR777" s="61"/>
    </row>
    <row r="778" ht="15.75" customHeight="1">
      <c r="K778" s="130"/>
      <c r="L778" s="130"/>
      <c r="M778" s="130"/>
      <c r="AR778" s="61"/>
    </row>
    <row r="779" ht="15.75" customHeight="1">
      <c r="K779" s="130"/>
      <c r="L779" s="130"/>
      <c r="M779" s="130"/>
      <c r="AR779" s="61"/>
    </row>
    <row r="780" ht="15.75" customHeight="1">
      <c r="K780" s="130"/>
      <c r="L780" s="130"/>
      <c r="M780" s="130"/>
      <c r="AR780" s="61"/>
    </row>
    <row r="781" ht="15.75" customHeight="1">
      <c r="K781" s="130"/>
      <c r="L781" s="130"/>
      <c r="M781" s="130"/>
      <c r="AR781" s="61"/>
    </row>
    <row r="782" ht="15.75" customHeight="1">
      <c r="K782" s="130"/>
      <c r="L782" s="130"/>
      <c r="M782" s="130"/>
      <c r="AR782" s="61"/>
    </row>
    <row r="783" ht="15.75" customHeight="1">
      <c r="K783" s="130"/>
      <c r="L783" s="130"/>
      <c r="M783" s="130"/>
      <c r="AR783" s="61"/>
    </row>
    <row r="784" ht="15.75" customHeight="1">
      <c r="K784" s="130"/>
      <c r="L784" s="130"/>
      <c r="M784" s="130"/>
      <c r="AR784" s="61"/>
    </row>
    <row r="785" ht="15.75" customHeight="1">
      <c r="K785" s="130"/>
      <c r="L785" s="130"/>
      <c r="M785" s="130"/>
      <c r="AR785" s="61"/>
    </row>
    <row r="786" ht="15.75" customHeight="1">
      <c r="K786" s="130"/>
      <c r="L786" s="130"/>
      <c r="M786" s="130"/>
      <c r="AR786" s="61"/>
    </row>
    <row r="787" ht="15.75" customHeight="1">
      <c r="K787" s="130"/>
      <c r="L787" s="130"/>
      <c r="M787" s="130"/>
      <c r="AR787" s="61"/>
    </row>
    <row r="788" ht="15.75" customHeight="1">
      <c r="K788" s="130"/>
      <c r="L788" s="130"/>
      <c r="M788" s="130"/>
      <c r="AR788" s="61"/>
    </row>
    <row r="789" ht="15.75" customHeight="1">
      <c r="K789" s="130"/>
      <c r="L789" s="130"/>
      <c r="M789" s="130"/>
      <c r="AR789" s="61"/>
    </row>
    <row r="790" ht="15.75" customHeight="1">
      <c r="K790" s="130"/>
      <c r="L790" s="130"/>
      <c r="M790" s="130"/>
      <c r="AR790" s="61"/>
    </row>
    <row r="791" ht="15.75" customHeight="1">
      <c r="K791" s="130"/>
      <c r="L791" s="130"/>
      <c r="M791" s="130"/>
      <c r="AR791" s="61"/>
    </row>
    <row r="792" ht="15.75" customHeight="1">
      <c r="K792" s="130"/>
      <c r="L792" s="130"/>
      <c r="M792" s="130"/>
      <c r="AR792" s="61"/>
    </row>
    <row r="793" ht="15.75" customHeight="1">
      <c r="K793" s="130"/>
      <c r="L793" s="130"/>
      <c r="M793" s="130"/>
      <c r="AR793" s="61"/>
    </row>
    <row r="794" ht="15.75" customHeight="1">
      <c r="K794" s="130"/>
      <c r="L794" s="130"/>
      <c r="M794" s="130"/>
      <c r="AR794" s="61"/>
    </row>
    <row r="795" ht="15.75" customHeight="1">
      <c r="K795" s="130"/>
      <c r="L795" s="130"/>
      <c r="M795" s="130"/>
      <c r="AR795" s="61"/>
    </row>
    <row r="796" ht="15.75" customHeight="1">
      <c r="K796" s="130"/>
      <c r="L796" s="130"/>
      <c r="M796" s="130"/>
      <c r="AR796" s="61"/>
    </row>
    <row r="797" ht="15.75" customHeight="1">
      <c r="K797" s="130"/>
      <c r="L797" s="130"/>
      <c r="M797" s="130"/>
      <c r="AR797" s="61"/>
    </row>
    <row r="798" ht="15.75" customHeight="1">
      <c r="K798" s="130"/>
      <c r="L798" s="130"/>
      <c r="M798" s="130"/>
      <c r="AR798" s="61"/>
    </row>
    <row r="799" ht="15.75" customHeight="1">
      <c r="K799" s="130"/>
      <c r="L799" s="130"/>
      <c r="M799" s="130"/>
      <c r="AR799" s="61"/>
    </row>
    <row r="800" ht="15.75" customHeight="1">
      <c r="K800" s="130"/>
      <c r="L800" s="130"/>
      <c r="M800" s="130"/>
      <c r="AR800" s="61"/>
    </row>
    <row r="801" ht="15.75" customHeight="1">
      <c r="K801" s="130"/>
      <c r="L801" s="130"/>
      <c r="M801" s="130"/>
      <c r="AR801" s="61"/>
    </row>
    <row r="802" ht="15.75" customHeight="1">
      <c r="K802" s="130"/>
      <c r="L802" s="130"/>
      <c r="M802" s="130"/>
      <c r="AR802" s="61"/>
    </row>
    <row r="803" ht="15.75" customHeight="1">
      <c r="K803" s="130"/>
      <c r="L803" s="130"/>
      <c r="M803" s="130"/>
      <c r="AR803" s="61"/>
    </row>
    <row r="804" ht="15.75" customHeight="1">
      <c r="K804" s="130"/>
      <c r="L804" s="130"/>
      <c r="M804" s="130"/>
      <c r="AR804" s="61"/>
    </row>
    <row r="805" ht="15.75" customHeight="1">
      <c r="K805" s="130"/>
      <c r="L805" s="130"/>
      <c r="M805" s="130"/>
      <c r="AR805" s="61"/>
    </row>
    <row r="806" ht="15.75" customHeight="1">
      <c r="K806" s="130"/>
      <c r="L806" s="130"/>
      <c r="M806" s="130"/>
      <c r="AR806" s="61"/>
    </row>
    <row r="807" ht="15.75" customHeight="1">
      <c r="K807" s="130"/>
      <c r="L807" s="130"/>
      <c r="M807" s="130"/>
      <c r="AR807" s="61"/>
    </row>
    <row r="808" ht="15.75" customHeight="1">
      <c r="K808" s="130"/>
      <c r="L808" s="130"/>
      <c r="M808" s="130"/>
      <c r="AR808" s="61"/>
    </row>
    <row r="809" ht="15.75" customHeight="1">
      <c r="K809" s="130"/>
      <c r="L809" s="130"/>
      <c r="M809" s="130"/>
      <c r="AR809" s="61"/>
    </row>
    <row r="810" ht="15.75" customHeight="1">
      <c r="K810" s="130"/>
      <c r="L810" s="130"/>
      <c r="M810" s="130"/>
      <c r="AR810" s="61"/>
    </row>
    <row r="811" ht="15.75" customHeight="1">
      <c r="K811" s="130"/>
      <c r="L811" s="130"/>
      <c r="M811" s="130"/>
      <c r="AR811" s="61"/>
    </row>
    <row r="812" ht="15.75" customHeight="1">
      <c r="K812" s="130"/>
      <c r="L812" s="130"/>
      <c r="M812" s="130"/>
      <c r="AR812" s="61"/>
    </row>
    <row r="813" ht="15.75" customHeight="1">
      <c r="K813" s="130"/>
      <c r="L813" s="130"/>
      <c r="M813" s="130"/>
      <c r="AR813" s="61"/>
    </row>
    <row r="814" ht="15.75" customHeight="1">
      <c r="K814" s="130"/>
      <c r="L814" s="130"/>
      <c r="M814" s="130"/>
      <c r="AR814" s="61"/>
    </row>
    <row r="815" ht="15.75" customHeight="1">
      <c r="K815" s="130"/>
      <c r="L815" s="130"/>
      <c r="M815" s="130"/>
      <c r="AR815" s="61"/>
    </row>
    <row r="816" ht="15.75" customHeight="1">
      <c r="K816" s="130"/>
      <c r="L816" s="130"/>
      <c r="M816" s="130"/>
      <c r="AR816" s="61"/>
    </row>
    <row r="817" ht="15.75" customHeight="1">
      <c r="K817" s="130"/>
      <c r="L817" s="130"/>
      <c r="M817" s="130"/>
      <c r="AR817" s="61"/>
    </row>
    <row r="818" ht="15.75" customHeight="1">
      <c r="K818" s="130"/>
      <c r="L818" s="130"/>
      <c r="M818" s="130"/>
      <c r="AR818" s="61"/>
    </row>
    <row r="819" ht="15.75" customHeight="1">
      <c r="K819" s="130"/>
      <c r="L819" s="130"/>
      <c r="M819" s="130"/>
      <c r="AR819" s="61"/>
    </row>
    <row r="820" ht="15.75" customHeight="1">
      <c r="K820" s="130"/>
      <c r="L820" s="130"/>
      <c r="M820" s="130"/>
      <c r="AR820" s="61"/>
    </row>
    <row r="821" ht="15.75" customHeight="1">
      <c r="K821" s="130"/>
      <c r="L821" s="130"/>
      <c r="M821" s="130"/>
      <c r="AR821" s="61"/>
    </row>
    <row r="822" ht="15.75" customHeight="1">
      <c r="K822" s="130"/>
      <c r="L822" s="130"/>
      <c r="M822" s="130"/>
      <c r="AR822" s="61"/>
    </row>
    <row r="823" ht="15.75" customHeight="1">
      <c r="K823" s="130"/>
      <c r="L823" s="130"/>
      <c r="M823" s="130"/>
      <c r="AR823" s="61"/>
    </row>
    <row r="824" ht="15.75" customHeight="1">
      <c r="K824" s="130"/>
      <c r="L824" s="130"/>
      <c r="M824" s="130"/>
      <c r="AR824" s="61"/>
    </row>
    <row r="825" ht="15.75" customHeight="1">
      <c r="K825" s="130"/>
      <c r="L825" s="130"/>
      <c r="M825" s="130"/>
      <c r="AR825" s="61"/>
    </row>
    <row r="826" ht="15.75" customHeight="1">
      <c r="K826" s="130"/>
      <c r="L826" s="130"/>
      <c r="M826" s="130"/>
      <c r="AR826" s="61"/>
    </row>
    <row r="827" ht="15.75" customHeight="1">
      <c r="K827" s="130"/>
      <c r="L827" s="130"/>
      <c r="M827" s="130"/>
      <c r="AR827" s="61"/>
    </row>
    <row r="828" ht="15.75" customHeight="1">
      <c r="K828" s="130"/>
      <c r="L828" s="130"/>
      <c r="M828" s="130"/>
      <c r="AR828" s="61"/>
    </row>
    <row r="829" ht="15.75" customHeight="1">
      <c r="K829" s="130"/>
      <c r="L829" s="130"/>
      <c r="M829" s="130"/>
      <c r="AR829" s="61"/>
    </row>
    <row r="830" ht="15.75" customHeight="1">
      <c r="K830" s="130"/>
      <c r="L830" s="130"/>
      <c r="M830" s="130"/>
      <c r="AR830" s="61"/>
    </row>
    <row r="831" ht="15.75" customHeight="1">
      <c r="K831" s="130"/>
      <c r="L831" s="130"/>
      <c r="M831" s="130"/>
      <c r="AR831" s="61"/>
    </row>
    <row r="832" ht="15.75" customHeight="1">
      <c r="K832" s="130"/>
      <c r="L832" s="130"/>
      <c r="M832" s="130"/>
      <c r="AR832" s="61"/>
    </row>
    <row r="833" ht="15.75" customHeight="1">
      <c r="K833" s="130"/>
      <c r="L833" s="130"/>
      <c r="M833" s="130"/>
      <c r="AR833" s="61"/>
    </row>
    <row r="834" ht="15.75" customHeight="1">
      <c r="K834" s="130"/>
      <c r="L834" s="130"/>
      <c r="M834" s="130"/>
      <c r="AR834" s="61"/>
    </row>
    <row r="835" ht="15.75" customHeight="1">
      <c r="K835" s="130"/>
      <c r="L835" s="130"/>
      <c r="M835" s="130"/>
      <c r="AR835" s="61"/>
    </row>
    <row r="836" ht="15.75" customHeight="1">
      <c r="K836" s="130"/>
      <c r="L836" s="130"/>
      <c r="M836" s="130"/>
      <c r="AR836" s="61"/>
    </row>
    <row r="837" ht="15.75" customHeight="1">
      <c r="K837" s="130"/>
      <c r="L837" s="130"/>
      <c r="M837" s="130"/>
      <c r="AR837" s="61"/>
    </row>
    <row r="838" ht="15.75" customHeight="1">
      <c r="K838" s="130"/>
      <c r="L838" s="130"/>
      <c r="M838" s="130"/>
      <c r="AR838" s="61"/>
    </row>
    <row r="839" ht="15.75" customHeight="1">
      <c r="K839" s="130"/>
      <c r="L839" s="130"/>
      <c r="M839" s="130"/>
      <c r="AR839" s="61"/>
    </row>
    <row r="840" ht="15.75" customHeight="1">
      <c r="K840" s="130"/>
      <c r="L840" s="130"/>
      <c r="M840" s="130"/>
      <c r="AR840" s="61"/>
    </row>
    <row r="841" ht="15.75" customHeight="1">
      <c r="K841" s="130"/>
      <c r="L841" s="130"/>
      <c r="M841" s="130"/>
      <c r="AR841" s="61"/>
    </row>
    <row r="842" ht="15.75" customHeight="1">
      <c r="K842" s="130"/>
      <c r="L842" s="130"/>
      <c r="M842" s="130"/>
      <c r="AR842" s="61"/>
    </row>
    <row r="843" ht="15.75" customHeight="1">
      <c r="K843" s="130"/>
      <c r="L843" s="130"/>
      <c r="M843" s="130"/>
      <c r="AR843" s="61"/>
    </row>
    <row r="844" ht="15.75" customHeight="1">
      <c r="K844" s="130"/>
      <c r="L844" s="130"/>
      <c r="M844" s="130"/>
      <c r="AR844" s="61"/>
    </row>
    <row r="845" ht="15.75" customHeight="1">
      <c r="K845" s="130"/>
      <c r="L845" s="130"/>
      <c r="M845" s="130"/>
      <c r="AR845" s="61"/>
    </row>
    <row r="846" ht="15.75" customHeight="1">
      <c r="K846" s="130"/>
      <c r="L846" s="130"/>
      <c r="M846" s="130"/>
      <c r="AR846" s="61"/>
    </row>
    <row r="847" ht="15.75" customHeight="1">
      <c r="K847" s="130"/>
      <c r="L847" s="130"/>
      <c r="M847" s="130"/>
      <c r="AR847" s="61"/>
    </row>
    <row r="848" ht="15.75" customHeight="1">
      <c r="K848" s="130"/>
      <c r="L848" s="130"/>
      <c r="M848" s="130"/>
      <c r="AR848" s="61"/>
    </row>
    <row r="849" ht="15.75" customHeight="1">
      <c r="K849" s="130"/>
      <c r="L849" s="130"/>
      <c r="M849" s="130"/>
      <c r="AR849" s="61"/>
    </row>
    <row r="850" ht="15.75" customHeight="1">
      <c r="K850" s="130"/>
      <c r="L850" s="130"/>
      <c r="M850" s="130"/>
      <c r="AR850" s="61"/>
    </row>
    <row r="851" ht="15.75" customHeight="1">
      <c r="K851" s="130"/>
      <c r="L851" s="130"/>
      <c r="M851" s="130"/>
      <c r="AR851" s="61"/>
    </row>
    <row r="852" ht="15.75" customHeight="1">
      <c r="K852" s="130"/>
      <c r="L852" s="130"/>
      <c r="M852" s="130"/>
      <c r="AR852" s="61"/>
    </row>
    <row r="853" ht="15.75" customHeight="1">
      <c r="K853" s="130"/>
      <c r="L853" s="130"/>
      <c r="M853" s="130"/>
      <c r="AR853" s="61"/>
    </row>
    <row r="854" ht="15.75" customHeight="1">
      <c r="K854" s="130"/>
      <c r="L854" s="130"/>
      <c r="M854" s="130"/>
      <c r="AR854" s="61"/>
    </row>
    <row r="855" ht="15.75" customHeight="1">
      <c r="K855" s="130"/>
      <c r="L855" s="130"/>
      <c r="M855" s="130"/>
      <c r="AR855" s="61"/>
    </row>
    <row r="856" ht="15.75" customHeight="1">
      <c r="K856" s="130"/>
      <c r="L856" s="130"/>
      <c r="M856" s="130"/>
      <c r="AR856" s="61"/>
    </row>
    <row r="857" ht="15.75" customHeight="1">
      <c r="K857" s="130"/>
      <c r="L857" s="130"/>
      <c r="M857" s="130"/>
      <c r="AR857" s="61"/>
    </row>
    <row r="858" ht="15.75" customHeight="1">
      <c r="K858" s="130"/>
      <c r="L858" s="130"/>
      <c r="M858" s="130"/>
      <c r="AR858" s="61"/>
    </row>
    <row r="859" ht="15.75" customHeight="1">
      <c r="K859" s="130"/>
      <c r="L859" s="130"/>
      <c r="M859" s="130"/>
      <c r="AR859" s="61"/>
    </row>
    <row r="860" ht="15.75" customHeight="1">
      <c r="K860" s="130"/>
      <c r="L860" s="130"/>
      <c r="M860" s="130"/>
      <c r="AR860" s="61"/>
    </row>
    <row r="861" ht="15.75" customHeight="1">
      <c r="K861" s="130"/>
      <c r="L861" s="130"/>
      <c r="M861" s="130"/>
      <c r="AR861" s="61"/>
    </row>
    <row r="862" ht="15.75" customHeight="1">
      <c r="K862" s="130"/>
      <c r="L862" s="130"/>
      <c r="M862" s="130"/>
      <c r="AR862" s="61"/>
    </row>
    <row r="863" ht="15.75" customHeight="1">
      <c r="K863" s="130"/>
      <c r="L863" s="130"/>
      <c r="M863" s="130"/>
      <c r="AR863" s="61"/>
    </row>
    <row r="864" ht="15.75" customHeight="1">
      <c r="K864" s="130"/>
      <c r="L864" s="130"/>
      <c r="M864" s="130"/>
      <c r="AR864" s="61"/>
    </row>
    <row r="865" ht="15.75" customHeight="1">
      <c r="K865" s="130"/>
      <c r="L865" s="130"/>
      <c r="M865" s="130"/>
      <c r="AR865" s="61"/>
    </row>
    <row r="866" ht="15.75" customHeight="1">
      <c r="K866" s="130"/>
      <c r="L866" s="130"/>
      <c r="M866" s="130"/>
      <c r="AR866" s="61"/>
    </row>
    <row r="867" ht="15.75" customHeight="1">
      <c r="K867" s="130"/>
      <c r="L867" s="130"/>
      <c r="M867" s="130"/>
      <c r="AR867" s="61"/>
    </row>
    <row r="868" ht="15.75" customHeight="1">
      <c r="K868" s="130"/>
      <c r="L868" s="130"/>
      <c r="M868" s="130"/>
      <c r="AR868" s="61"/>
    </row>
    <row r="869" ht="15.75" customHeight="1">
      <c r="K869" s="130"/>
      <c r="L869" s="130"/>
      <c r="M869" s="130"/>
      <c r="AR869" s="61"/>
    </row>
    <row r="870" ht="15.75" customHeight="1">
      <c r="K870" s="130"/>
      <c r="L870" s="130"/>
      <c r="M870" s="130"/>
      <c r="AR870" s="61"/>
    </row>
    <row r="871" ht="15.75" customHeight="1">
      <c r="K871" s="130"/>
      <c r="L871" s="130"/>
      <c r="M871" s="130"/>
      <c r="AR871" s="61"/>
    </row>
    <row r="872" ht="15.75" customHeight="1">
      <c r="K872" s="130"/>
      <c r="L872" s="130"/>
      <c r="M872" s="130"/>
      <c r="AR872" s="61"/>
    </row>
    <row r="873" ht="15.75" customHeight="1">
      <c r="K873" s="130"/>
      <c r="L873" s="130"/>
      <c r="M873" s="130"/>
      <c r="AR873" s="61"/>
    </row>
    <row r="874" ht="15.75" customHeight="1">
      <c r="K874" s="130"/>
      <c r="L874" s="130"/>
      <c r="M874" s="130"/>
      <c r="AR874" s="61"/>
    </row>
    <row r="875" ht="15.75" customHeight="1">
      <c r="K875" s="130"/>
      <c r="L875" s="130"/>
      <c r="M875" s="130"/>
      <c r="AR875" s="61"/>
    </row>
    <row r="876" ht="15.75" customHeight="1">
      <c r="K876" s="130"/>
      <c r="L876" s="130"/>
      <c r="M876" s="130"/>
      <c r="AR876" s="61"/>
    </row>
    <row r="877" ht="15.75" customHeight="1">
      <c r="K877" s="130"/>
      <c r="L877" s="130"/>
      <c r="M877" s="130"/>
      <c r="AR877" s="61"/>
    </row>
    <row r="878" ht="15.75" customHeight="1">
      <c r="K878" s="130"/>
      <c r="L878" s="130"/>
      <c r="M878" s="130"/>
      <c r="AR878" s="61"/>
    </row>
    <row r="879" ht="15.75" customHeight="1">
      <c r="K879" s="130"/>
      <c r="L879" s="130"/>
      <c r="M879" s="130"/>
      <c r="AR879" s="61"/>
    </row>
    <row r="880" ht="15.75" customHeight="1">
      <c r="K880" s="130"/>
      <c r="L880" s="130"/>
      <c r="M880" s="130"/>
      <c r="AR880" s="61"/>
    </row>
    <row r="881" ht="15.75" customHeight="1">
      <c r="K881" s="130"/>
      <c r="L881" s="130"/>
      <c r="M881" s="130"/>
      <c r="AR881" s="61"/>
    </row>
    <row r="882" ht="15.75" customHeight="1">
      <c r="K882" s="130"/>
      <c r="L882" s="130"/>
      <c r="M882" s="130"/>
      <c r="AR882" s="61"/>
    </row>
    <row r="883" ht="15.75" customHeight="1">
      <c r="K883" s="130"/>
      <c r="L883" s="130"/>
      <c r="M883" s="130"/>
      <c r="AR883" s="61"/>
    </row>
    <row r="884" ht="15.75" customHeight="1">
      <c r="K884" s="130"/>
      <c r="L884" s="130"/>
      <c r="M884" s="130"/>
      <c r="AR884" s="61"/>
    </row>
    <row r="885" ht="15.75" customHeight="1">
      <c r="K885" s="130"/>
      <c r="L885" s="130"/>
      <c r="M885" s="130"/>
      <c r="AR885" s="61"/>
    </row>
    <row r="886" ht="15.75" customHeight="1">
      <c r="K886" s="130"/>
      <c r="L886" s="130"/>
      <c r="M886" s="130"/>
      <c r="AR886" s="61"/>
    </row>
    <row r="887" ht="15.75" customHeight="1">
      <c r="K887" s="130"/>
      <c r="L887" s="130"/>
      <c r="M887" s="130"/>
      <c r="AR887" s="61"/>
    </row>
    <row r="888" ht="15.75" customHeight="1">
      <c r="K888" s="130"/>
      <c r="L888" s="130"/>
      <c r="M888" s="130"/>
      <c r="AR888" s="61"/>
    </row>
    <row r="889" ht="15.75" customHeight="1">
      <c r="K889" s="130"/>
      <c r="L889" s="130"/>
      <c r="M889" s="130"/>
      <c r="AR889" s="61"/>
    </row>
    <row r="890" ht="15.75" customHeight="1">
      <c r="K890" s="130"/>
      <c r="L890" s="130"/>
      <c r="M890" s="130"/>
      <c r="AR890" s="61"/>
    </row>
    <row r="891" ht="15.75" customHeight="1">
      <c r="K891" s="130"/>
      <c r="L891" s="130"/>
      <c r="M891" s="130"/>
      <c r="AR891" s="61"/>
    </row>
    <row r="892" ht="15.75" customHeight="1">
      <c r="K892" s="130"/>
      <c r="L892" s="130"/>
      <c r="M892" s="130"/>
      <c r="AR892" s="61"/>
    </row>
    <row r="893" ht="15.75" customHeight="1">
      <c r="K893" s="130"/>
      <c r="L893" s="130"/>
      <c r="M893" s="130"/>
      <c r="AR893" s="61"/>
    </row>
    <row r="894" ht="15.75" customHeight="1">
      <c r="K894" s="130"/>
      <c r="L894" s="130"/>
      <c r="M894" s="130"/>
      <c r="AR894" s="61"/>
    </row>
    <row r="895" ht="15.75" customHeight="1">
      <c r="K895" s="130"/>
      <c r="L895" s="130"/>
      <c r="M895" s="130"/>
      <c r="AR895" s="61"/>
    </row>
    <row r="896" ht="15.75" customHeight="1">
      <c r="K896" s="130"/>
      <c r="L896" s="130"/>
      <c r="M896" s="130"/>
      <c r="AR896" s="61"/>
    </row>
    <row r="897" ht="15.75" customHeight="1">
      <c r="K897" s="130"/>
      <c r="L897" s="130"/>
      <c r="M897" s="130"/>
      <c r="AR897" s="61"/>
    </row>
    <row r="898" ht="15.75" customHeight="1">
      <c r="K898" s="130"/>
      <c r="L898" s="130"/>
      <c r="M898" s="130"/>
      <c r="AR898" s="61"/>
    </row>
    <row r="899" ht="15.75" customHeight="1">
      <c r="K899" s="130"/>
      <c r="L899" s="130"/>
      <c r="M899" s="130"/>
      <c r="AR899" s="61"/>
    </row>
    <row r="900" ht="15.75" customHeight="1">
      <c r="K900" s="130"/>
      <c r="L900" s="130"/>
      <c r="M900" s="130"/>
      <c r="AR900" s="61"/>
    </row>
    <row r="901" ht="15.75" customHeight="1">
      <c r="K901" s="130"/>
      <c r="L901" s="130"/>
      <c r="M901" s="130"/>
      <c r="AR901" s="61"/>
    </row>
    <row r="902" ht="15.75" customHeight="1">
      <c r="K902" s="130"/>
      <c r="L902" s="130"/>
      <c r="M902" s="130"/>
      <c r="AR902" s="61"/>
    </row>
    <row r="903" ht="15.75" customHeight="1">
      <c r="K903" s="130"/>
      <c r="L903" s="130"/>
      <c r="M903" s="130"/>
      <c r="AR903" s="61"/>
    </row>
    <row r="904" ht="15.75" customHeight="1">
      <c r="K904" s="130"/>
      <c r="L904" s="130"/>
      <c r="M904" s="130"/>
      <c r="AR904" s="61"/>
    </row>
    <row r="905" ht="15.75" customHeight="1">
      <c r="K905" s="130"/>
      <c r="L905" s="130"/>
      <c r="M905" s="130"/>
      <c r="AR905" s="61"/>
    </row>
    <row r="906" ht="15.75" customHeight="1">
      <c r="K906" s="130"/>
      <c r="L906" s="130"/>
      <c r="M906" s="130"/>
      <c r="AR906" s="61"/>
    </row>
    <row r="907" ht="15.75" customHeight="1">
      <c r="K907" s="130"/>
      <c r="L907" s="130"/>
      <c r="M907" s="130"/>
      <c r="AR907" s="61"/>
    </row>
    <row r="908" ht="15.75" customHeight="1">
      <c r="K908" s="130"/>
      <c r="L908" s="130"/>
      <c r="M908" s="130"/>
      <c r="AR908" s="61"/>
    </row>
    <row r="909" ht="15.75" customHeight="1">
      <c r="K909" s="130"/>
      <c r="L909" s="130"/>
      <c r="M909" s="130"/>
      <c r="AR909" s="61"/>
    </row>
    <row r="910" ht="15.75" customHeight="1">
      <c r="K910" s="130"/>
      <c r="L910" s="130"/>
      <c r="M910" s="130"/>
      <c r="AR910" s="61"/>
    </row>
    <row r="911" ht="15.75" customHeight="1">
      <c r="K911" s="130"/>
      <c r="L911" s="130"/>
      <c r="M911" s="130"/>
      <c r="AR911" s="61"/>
    </row>
    <row r="912" ht="15.75" customHeight="1">
      <c r="K912" s="130"/>
      <c r="L912" s="130"/>
      <c r="M912" s="130"/>
      <c r="AR912" s="61"/>
    </row>
    <row r="913" ht="15.75" customHeight="1">
      <c r="K913" s="130"/>
      <c r="L913" s="130"/>
      <c r="M913" s="130"/>
      <c r="AR913" s="61"/>
    </row>
    <row r="914" ht="15.75" customHeight="1">
      <c r="K914" s="130"/>
      <c r="L914" s="130"/>
      <c r="M914" s="130"/>
      <c r="AR914" s="61"/>
    </row>
    <row r="915" ht="15.75" customHeight="1">
      <c r="K915" s="130"/>
      <c r="L915" s="130"/>
      <c r="M915" s="130"/>
      <c r="AR915" s="61"/>
    </row>
    <row r="916" ht="15.75" customHeight="1">
      <c r="K916" s="130"/>
      <c r="L916" s="130"/>
      <c r="M916" s="130"/>
      <c r="AR916" s="61"/>
    </row>
    <row r="917" ht="15.75" customHeight="1">
      <c r="K917" s="130"/>
      <c r="L917" s="130"/>
      <c r="M917" s="130"/>
      <c r="AR917" s="61"/>
    </row>
    <row r="918" ht="15.75" customHeight="1">
      <c r="K918" s="130"/>
      <c r="L918" s="130"/>
      <c r="M918" s="130"/>
      <c r="AR918" s="61"/>
    </row>
    <row r="919" ht="15.75" customHeight="1">
      <c r="K919" s="130"/>
      <c r="L919" s="130"/>
      <c r="M919" s="130"/>
      <c r="AR919" s="61"/>
    </row>
    <row r="920" ht="15.75" customHeight="1">
      <c r="K920" s="130"/>
      <c r="L920" s="130"/>
      <c r="M920" s="130"/>
      <c r="AR920" s="61"/>
    </row>
    <row r="921" ht="15.75" customHeight="1">
      <c r="K921" s="130"/>
      <c r="L921" s="130"/>
      <c r="M921" s="130"/>
      <c r="AR921" s="61"/>
    </row>
    <row r="922" ht="15.75" customHeight="1">
      <c r="K922" s="130"/>
      <c r="L922" s="130"/>
      <c r="M922" s="130"/>
      <c r="AR922" s="61"/>
    </row>
    <row r="923" ht="15.75" customHeight="1">
      <c r="K923" s="130"/>
      <c r="L923" s="130"/>
      <c r="M923" s="130"/>
      <c r="AR923" s="61"/>
    </row>
    <row r="924" ht="15.75" customHeight="1">
      <c r="K924" s="130"/>
      <c r="L924" s="130"/>
      <c r="M924" s="130"/>
      <c r="AR924" s="61"/>
    </row>
    <row r="925" ht="15.75" customHeight="1">
      <c r="K925" s="130"/>
      <c r="L925" s="130"/>
      <c r="M925" s="130"/>
      <c r="AR925" s="61"/>
    </row>
    <row r="926" ht="15.75" customHeight="1">
      <c r="K926" s="130"/>
      <c r="L926" s="130"/>
      <c r="M926" s="130"/>
      <c r="AR926" s="61"/>
    </row>
    <row r="927" ht="15.75" customHeight="1">
      <c r="K927" s="130"/>
      <c r="L927" s="130"/>
      <c r="M927" s="130"/>
      <c r="AR927" s="61"/>
    </row>
    <row r="928" ht="15.75" customHeight="1">
      <c r="K928" s="130"/>
      <c r="L928" s="130"/>
      <c r="M928" s="130"/>
      <c r="AR928" s="61"/>
    </row>
    <row r="929" ht="15.75" customHeight="1">
      <c r="K929" s="130"/>
      <c r="L929" s="130"/>
      <c r="M929" s="130"/>
      <c r="AR929" s="61"/>
    </row>
    <row r="930" ht="15.75" customHeight="1">
      <c r="K930" s="130"/>
      <c r="L930" s="130"/>
      <c r="M930" s="130"/>
      <c r="AR930" s="61"/>
    </row>
    <row r="931" ht="15.75" customHeight="1">
      <c r="K931" s="130"/>
      <c r="L931" s="130"/>
      <c r="M931" s="130"/>
      <c r="AR931" s="61"/>
    </row>
    <row r="932" ht="15.75" customHeight="1">
      <c r="K932" s="130"/>
      <c r="L932" s="130"/>
      <c r="M932" s="130"/>
      <c r="AR932" s="61"/>
    </row>
    <row r="933" ht="15.75" customHeight="1">
      <c r="K933" s="130"/>
      <c r="L933" s="130"/>
      <c r="M933" s="130"/>
      <c r="AR933" s="61"/>
    </row>
    <row r="934" ht="15.75" customHeight="1">
      <c r="K934" s="130"/>
      <c r="L934" s="130"/>
      <c r="M934" s="130"/>
      <c r="AR934" s="61"/>
    </row>
    <row r="935" ht="15.75" customHeight="1">
      <c r="K935" s="130"/>
      <c r="L935" s="130"/>
      <c r="M935" s="130"/>
      <c r="AR935" s="61"/>
    </row>
    <row r="936" ht="15.75" customHeight="1">
      <c r="K936" s="130"/>
      <c r="L936" s="130"/>
      <c r="M936" s="130"/>
      <c r="AR936" s="61"/>
    </row>
    <row r="937" ht="15.75" customHeight="1">
      <c r="K937" s="130"/>
      <c r="L937" s="130"/>
      <c r="M937" s="130"/>
      <c r="AR937" s="61"/>
    </row>
    <row r="938" ht="15.75" customHeight="1">
      <c r="K938" s="130"/>
      <c r="L938" s="130"/>
      <c r="M938" s="130"/>
      <c r="AR938" s="61"/>
    </row>
    <row r="939" ht="15.75" customHeight="1">
      <c r="K939" s="130"/>
      <c r="L939" s="130"/>
      <c r="M939" s="130"/>
      <c r="AR939" s="61"/>
    </row>
    <row r="940" ht="15.75" customHeight="1">
      <c r="K940" s="130"/>
      <c r="L940" s="130"/>
      <c r="M940" s="130"/>
      <c r="AR940" s="61"/>
    </row>
    <row r="941" ht="15.75" customHeight="1">
      <c r="K941" s="130"/>
      <c r="L941" s="130"/>
      <c r="M941" s="130"/>
      <c r="AR941" s="61"/>
    </row>
    <row r="942" ht="15.75" customHeight="1">
      <c r="K942" s="130"/>
      <c r="L942" s="130"/>
      <c r="M942" s="130"/>
      <c r="AR942" s="61"/>
    </row>
    <row r="943" ht="15.75" customHeight="1">
      <c r="K943" s="130"/>
      <c r="L943" s="130"/>
      <c r="M943" s="130"/>
      <c r="AR943" s="61"/>
    </row>
    <row r="944" ht="15.75" customHeight="1">
      <c r="K944" s="130"/>
      <c r="L944" s="130"/>
      <c r="M944" s="130"/>
      <c r="AR944" s="61"/>
    </row>
    <row r="945" ht="15.75" customHeight="1">
      <c r="K945" s="130"/>
      <c r="L945" s="130"/>
      <c r="M945" s="130"/>
      <c r="AR945" s="61"/>
    </row>
    <row r="946" ht="15.75" customHeight="1">
      <c r="K946" s="130"/>
      <c r="L946" s="130"/>
      <c r="M946" s="130"/>
      <c r="AR946" s="61"/>
    </row>
    <row r="947" ht="15.75" customHeight="1">
      <c r="K947" s="130"/>
      <c r="L947" s="130"/>
      <c r="M947" s="130"/>
      <c r="AR947" s="61"/>
    </row>
    <row r="948" ht="15.75" customHeight="1">
      <c r="K948" s="130"/>
      <c r="L948" s="130"/>
      <c r="M948" s="130"/>
      <c r="AR948" s="61"/>
    </row>
    <row r="949" ht="15.75" customHeight="1">
      <c r="K949" s="130"/>
      <c r="L949" s="130"/>
      <c r="M949" s="130"/>
      <c r="AR949" s="61"/>
    </row>
    <row r="950" ht="15.75" customHeight="1">
      <c r="K950" s="130"/>
      <c r="L950" s="130"/>
      <c r="M950" s="130"/>
      <c r="AR950" s="61"/>
    </row>
    <row r="951" ht="15.75" customHeight="1">
      <c r="K951" s="130"/>
      <c r="L951" s="130"/>
      <c r="M951" s="130"/>
      <c r="AR951" s="61"/>
    </row>
    <row r="952" ht="15.75" customHeight="1">
      <c r="K952" s="130"/>
      <c r="L952" s="130"/>
      <c r="M952" s="130"/>
      <c r="AR952" s="61"/>
    </row>
    <row r="953" ht="15.75" customHeight="1">
      <c r="K953" s="130"/>
      <c r="L953" s="130"/>
      <c r="M953" s="130"/>
      <c r="AR953" s="61"/>
    </row>
    <row r="954" ht="15.75" customHeight="1">
      <c r="K954" s="130"/>
      <c r="L954" s="130"/>
      <c r="M954" s="130"/>
      <c r="AR954" s="61"/>
    </row>
    <row r="955" ht="15.75" customHeight="1">
      <c r="K955" s="130"/>
      <c r="L955" s="130"/>
      <c r="M955" s="130"/>
      <c r="AR955" s="61"/>
    </row>
    <row r="956" ht="15.75" customHeight="1">
      <c r="K956" s="130"/>
      <c r="L956" s="130"/>
      <c r="M956" s="130"/>
      <c r="AR956" s="61"/>
    </row>
    <row r="957" ht="15.75" customHeight="1">
      <c r="K957" s="130"/>
      <c r="L957" s="130"/>
      <c r="M957" s="130"/>
      <c r="AR957" s="61"/>
    </row>
    <row r="958" ht="15.75" customHeight="1">
      <c r="K958" s="130"/>
      <c r="L958" s="130"/>
      <c r="M958" s="130"/>
      <c r="AR958" s="61"/>
    </row>
    <row r="959" ht="15.75" customHeight="1">
      <c r="K959" s="130"/>
      <c r="L959" s="130"/>
      <c r="M959" s="130"/>
      <c r="AR959" s="61"/>
    </row>
    <row r="960" ht="15.75" customHeight="1">
      <c r="K960" s="130"/>
      <c r="L960" s="130"/>
      <c r="M960" s="130"/>
      <c r="AR960" s="61"/>
    </row>
    <row r="961" ht="15.75" customHeight="1">
      <c r="K961" s="130"/>
      <c r="L961" s="130"/>
      <c r="M961" s="130"/>
      <c r="AR961" s="61"/>
    </row>
    <row r="962" ht="15.75" customHeight="1">
      <c r="K962" s="130"/>
      <c r="L962" s="130"/>
      <c r="M962" s="130"/>
      <c r="AR962" s="61"/>
    </row>
    <row r="963" ht="15.75" customHeight="1">
      <c r="K963" s="130"/>
      <c r="L963" s="130"/>
      <c r="M963" s="130"/>
      <c r="AR963" s="61"/>
    </row>
    <row r="964" ht="15.75" customHeight="1">
      <c r="K964" s="130"/>
      <c r="L964" s="130"/>
      <c r="M964" s="130"/>
      <c r="AR964" s="61"/>
    </row>
    <row r="965" ht="15.75" customHeight="1">
      <c r="K965" s="130"/>
      <c r="L965" s="130"/>
      <c r="M965" s="130"/>
      <c r="AR965" s="61"/>
    </row>
    <row r="966" ht="15.75" customHeight="1">
      <c r="K966" s="130"/>
      <c r="L966" s="130"/>
      <c r="M966" s="130"/>
      <c r="AR966" s="61"/>
    </row>
    <row r="967" ht="15.75" customHeight="1">
      <c r="K967" s="130"/>
      <c r="L967" s="130"/>
      <c r="M967" s="130"/>
      <c r="AR967" s="61"/>
    </row>
    <row r="968" ht="15.75" customHeight="1">
      <c r="K968" s="130"/>
      <c r="L968" s="130"/>
      <c r="M968" s="130"/>
      <c r="AR968" s="61"/>
    </row>
    <row r="969" ht="15.75" customHeight="1">
      <c r="K969" s="130"/>
      <c r="L969" s="130"/>
      <c r="M969" s="130"/>
      <c r="AR969" s="61"/>
    </row>
    <row r="970" ht="15.75" customHeight="1">
      <c r="K970" s="130"/>
      <c r="L970" s="130"/>
      <c r="M970" s="130"/>
      <c r="AR970" s="61"/>
    </row>
    <row r="971" ht="15.75" customHeight="1">
      <c r="K971" s="130"/>
      <c r="L971" s="130"/>
      <c r="M971" s="130"/>
      <c r="AR971" s="61"/>
    </row>
    <row r="972" ht="15.75" customHeight="1">
      <c r="K972" s="130"/>
      <c r="L972" s="130"/>
      <c r="M972" s="130"/>
      <c r="AR972" s="61"/>
    </row>
    <row r="973" ht="15.75" customHeight="1">
      <c r="K973" s="130"/>
      <c r="L973" s="130"/>
      <c r="M973" s="130"/>
      <c r="AR973" s="61"/>
    </row>
    <row r="974" ht="15.75" customHeight="1">
      <c r="K974" s="130"/>
      <c r="L974" s="130"/>
      <c r="M974" s="130"/>
      <c r="AR974" s="61"/>
    </row>
    <row r="975" ht="15.75" customHeight="1">
      <c r="K975" s="130"/>
      <c r="L975" s="130"/>
      <c r="M975" s="130"/>
      <c r="AR975" s="61"/>
    </row>
    <row r="976" ht="15.75" customHeight="1">
      <c r="K976" s="130"/>
      <c r="L976" s="130"/>
      <c r="M976" s="130"/>
      <c r="AR976" s="61"/>
    </row>
    <row r="977" ht="15.75" customHeight="1">
      <c r="K977" s="130"/>
      <c r="L977" s="130"/>
      <c r="M977" s="130"/>
      <c r="AR977" s="61"/>
    </row>
    <row r="978" ht="15.75" customHeight="1">
      <c r="K978" s="130"/>
      <c r="L978" s="130"/>
      <c r="M978" s="130"/>
      <c r="AR978" s="61"/>
    </row>
    <row r="979" ht="15.75" customHeight="1">
      <c r="K979" s="130"/>
      <c r="L979" s="130"/>
      <c r="M979" s="130"/>
      <c r="AR979" s="61"/>
    </row>
    <row r="980" ht="15.75" customHeight="1">
      <c r="K980" s="130"/>
      <c r="L980" s="130"/>
      <c r="M980" s="130"/>
      <c r="AR980" s="61"/>
    </row>
    <row r="981" ht="15.75" customHeight="1">
      <c r="K981" s="130"/>
      <c r="L981" s="130"/>
      <c r="M981" s="130"/>
      <c r="AR981" s="61"/>
    </row>
    <row r="982" ht="15.75" customHeight="1">
      <c r="K982" s="130"/>
      <c r="L982" s="130"/>
      <c r="M982" s="130"/>
      <c r="AR982" s="61"/>
    </row>
    <row r="983" ht="15.75" customHeight="1">
      <c r="K983" s="130"/>
      <c r="L983" s="130"/>
      <c r="M983" s="130"/>
      <c r="AR983" s="61"/>
    </row>
    <row r="984" ht="15.75" customHeight="1">
      <c r="K984" s="130"/>
      <c r="L984" s="130"/>
      <c r="M984" s="130"/>
      <c r="AR984" s="61"/>
    </row>
    <row r="985" ht="15.75" customHeight="1">
      <c r="K985" s="130"/>
      <c r="L985" s="130"/>
      <c r="M985" s="130"/>
      <c r="AR985" s="61"/>
    </row>
    <row r="986" ht="15.75" customHeight="1">
      <c r="K986" s="130"/>
      <c r="L986" s="130"/>
      <c r="M986" s="130"/>
      <c r="AR986" s="61"/>
    </row>
    <row r="987" ht="15.75" customHeight="1">
      <c r="K987" s="130"/>
      <c r="L987" s="130"/>
      <c r="M987" s="130"/>
      <c r="AR987" s="61"/>
    </row>
    <row r="988" ht="15.75" customHeight="1">
      <c r="K988" s="130"/>
      <c r="L988" s="130"/>
      <c r="M988" s="130"/>
      <c r="AR988" s="61"/>
    </row>
    <row r="989" ht="15.75" customHeight="1">
      <c r="K989" s="130"/>
      <c r="L989" s="130"/>
      <c r="M989" s="130"/>
      <c r="AR989" s="61"/>
    </row>
    <row r="990" ht="15.75" customHeight="1">
      <c r="K990" s="130"/>
      <c r="L990" s="130"/>
      <c r="M990" s="130"/>
      <c r="AR990" s="61"/>
    </row>
    <row r="991" ht="15.75" customHeight="1">
      <c r="K991" s="130"/>
      <c r="L991" s="130"/>
      <c r="M991" s="130"/>
      <c r="AR991" s="61"/>
    </row>
    <row r="992" ht="15.75" customHeight="1">
      <c r="K992" s="130"/>
      <c r="L992" s="130"/>
      <c r="M992" s="130"/>
      <c r="AR992" s="61"/>
    </row>
    <row r="993" ht="15.75" customHeight="1">
      <c r="K993" s="130"/>
      <c r="L993" s="130"/>
      <c r="M993" s="130"/>
      <c r="AR993" s="61"/>
    </row>
    <row r="994" ht="15.75" customHeight="1">
      <c r="K994" s="130"/>
      <c r="L994" s="130"/>
      <c r="M994" s="130"/>
      <c r="AR994" s="61"/>
    </row>
    <row r="995" ht="15.75" customHeight="1">
      <c r="K995" s="130"/>
      <c r="L995" s="130"/>
      <c r="M995" s="130"/>
      <c r="AR995" s="61"/>
    </row>
    <row r="996" ht="15.75" customHeight="1">
      <c r="K996" s="130"/>
      <c r="L996" s="130"/>
      <c r="M996" s="130"/>
      <c r="AR996" s="61"/>
    </row>
    <row r="997" ht="15.75" customHeight="1">
      <c r="K997" s="130"/>
      <c r="L997" s="130"/>
      <c r="M997" s="130"/>
      <c r="AR997" s="61"/>
    </row>
    <row r="998" ht="15.75" customHeight="1">
      <c r="K998" s="130"/>
      <c r="L998" s="130"/>
      <c r="M998" s="130"/>
      <c r="AR998" s="61"/>
    </row>
    <row r="999" ht="15.75" customHeight="1">
      <c r="K999" s="130"/>
      <c r="L999" s="130"/>
      <c r="M999" s="130"/>
      <c r="AR999" s="61"/>
    </row>
    <row r="1000" ht="15.75" customHeight="1">
      <c r="K1000" s="130"/>
      <c r="L1000" s="130"/>
      <c r="M1000" s="130"/>
      <c r="AR1000" s="61"/>
    </row>
    <row r="1001" ht="15.75" customHeight="1">
      <c r="K1001" s="130"/>
      <c r="L1001" s="130"/>
      <c r="M1001" s="130"/>
      <c r="AR1001" s="61"/>
    </row>
    <row r="1002" ht="15.75" customHeight="1">
      <c r="K1002" s="130"/>
      <c r="L1002" s="130"/>
      <c r="M1002" s="130"/>
      <c r="AR1002" s="61"/>
    </row>
    <row r="1003" ht="15.75" customHeight="1">
      <c r="K1003" s="130"/>
      <c r="L1003" s="130"/>
      <c r="M1003" s="130"/>
      <c r="AR1003" s="61"/>
    </row>
    <row r="1004" ht="15.75" customHeight="1">
      <c r="K1004" s="130"/>
      <c r="L1004" s="130"/>
      <c r="M1004" s="130"/>
      <c r="AR1004" s="61"/>
    </row>
    <row r="1005" ht="15.75" customHeight="1">
      <c r="K1005" s="130"/>
      <c r="L1005" s="130"/>
      <c r="M1005" s="130"/>
      <c r="AR1005" s="61"/>
    </row>
    <row r="1006" ht="15.75" customHeight="1">
      <c r="K1006" s="130"/>
      <c r="L1006" s="130"/>
      <c r="M1006" s="130"/>
      <c r="AR1006" s="61"/>
    </row>
    <row r="1007" ht="15.75" customHeight="1">
      <c r="K1007" s="130"/>
      <c r="L1007" s="130"/>
      <c r="M1007" s="130"/>
      <c r="AR1007" s="61"/>
    </row>
    <row r="1008" ht="15.75" customHeight="1">
      <c r="K1008" s="130"/>
      <c r="L1008" s="130"/>
      <c r="M1008" s="130"/>
      <c r="AR1008" s="61"/>
    </row>
    <row r="1009" ht="15.75" customHeight="1">
      <c r="K1009" s="130"/>
      <c r="L1009" s="130"/>
      <c r="M1009" s="130"/>
      <c r="AR1009" s="61"/>
    </row>
    <row r="1010" ht="15.75" customHeight="1">
      <c r="K1010" s="130"/>
      <c r="L1010" s="130"/>
      <c r="M1010" s="130"/>
      <c r="AR1010" s="61"/>
    </row>
    <row r="1011" ht="15.75" customHeight="1">
      <c r="K1011" s="130"/>
      <c r="L1011" s="130"/>
      <c r="M1011" s="130"/>
      <c r="AR1011" s="61"/>
    </row>
    <row r="1012" ht="15.75" customHeight="1">
      <c r="K1012" s="130"/>
      <c r="L1012" s="130"/>
      <c r="M1012" s="130"/>
      <c r="AR1012" s="61"/>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5:AX31">
      <formula1>"A+,A,B,C,D,E"</formula1>
    </dataValidation>
  </dataValidations>
  <hyperlinks>
    <hyperlink display="HOME" location="HOME!A1" ref="A1"/>
  </hyperlink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2" max="2" width="24.25"/>
    <col customWidth="1" min="3" max="3" width="11.63"/>
    <col customWidth="1" min="4" max="4" width="10.63"/>
    <col customWidth="1" min="5" max="5" width="10.5"/>
    <col customWidth="1" min="6" max="6" width="7.88"/>
    <col customWidth="1" min="7" max="7" width="10.5"/>
    <col customWidth="1" min="8" max="8" width="9.38"/>
    <col customWidth="1" min="9" max="9" width="10.0"/>
    <col customWidth="1" min="10" max="10" width="7.88"/>
    <col customWidth="1" min="11" max="11" width="9.13"/>
    <col customWidth="1" min="12" max="12" width="6.0"/>
    <col customWidth="1" min="13" max="13" width="9.25"/>
    <col customWidth="1" min="14" max="14" width="5.63"/>
    <col customWidth="1" min="15" max="15" width="7.25"/>
    <col customWidth="1" min="16" max="16" width="8.63"/>
    <col customWidth="1" min="17" max="17" width="9.5"/>
    <col customWidth="1" min="18" max="18" width="8.88"/>
    <col customWidth="1" min="19" max="19" width="9.0"/>
    <col customWidth="1" min="20" max="20" width="11.13"/>
    <col customWidth="1" min="21" max="21" width="8.5"/>
    <col customWidth="1" min="22" max="22" width="5.5"/>
    <col customWidth="1" min="23" max="23" width="11.13"/>
    <col customWidth="1" min="24" max="24" width="10.75"/>
    <col customWidth="1" min="26" max="44" width="13.63"/>
    <col customWidth="1" min="46" max="46" width="14.0"/>
    <col customWidth="1" min="51" max="51" width="114.0"/>
  </cols>
  <sheetData>
    <row r="1" ht="20.25" customHeight="1">
      <c r="A1" s="118" t="s">
        <v>153</v>
      </c>
      <c r="B1" s="37"/>
      <c r="C1" s="38"/>
      <c r="D1" s="131"/>
      <c r="E1" s="38"/>
      <c r="F1" s="38"/>
      <c r="G1" s="39"/>
      <c r="H1" s="39"/>
      <c r="I1" s="39"/>
      <c r="J1" s="39"/>
      <c r="K1" s="39"/>
      <c r="L1" s="39"/>
      <c r="M1" s="3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132"/>
    </row>
    <row r="2" ht="11.25" customHeight="1">
      <c r="A2" s="40"/>
      <c r="B2" s="37"/>
      <c r="C2" s="38"/>
      <c r="D2" s="131"/>
      <c r="E2" s="38"/>
      <c r="F2" s="38"/>
      <c r="G2" s="39"/>
      <c r="H2" s="39"/>
      <c r="I2" s="39"/>
      <c r="J2" s="39"/>
      <c r="K2" s="39"/>
      <c r="L2" s="39"/>
      <c r="M2" s="3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132"/>
    </row>
    <row r="3" ht="41.25" customHeight="1">
      <c r="A3" s="42" t="s">
        <v>60</v>
      </c>
      <c r="B3" s="43" t="s">
        <v>61</v>
      </c>
      <c r="C3" s="44" t="s">
        <v>62</v>
      </c>
      <c r="D3" s="45"/>
      <c r="E3" s="45"/>
      <c r="F3" s="46"/>
      <c r="G3" s="47" t="s">
        <v>63</v>
      </c>
      <c r="H3" s="45"/>
      <c r="I3" s="45"/>
      <c r="J3" s="46"/>
      <c r="K3" s="48" t="s">
        <v>64</v>
      </c>
      <c r="L3" s="45"/>
      <c r="M3" s="45"/>
      <c r="N3" s="46"/>
      <c r="O3" s="49" t="s">
        <v>154</v>
      </c>
      <c r="P3" s="45"/>
      <c r="Q3" s="45"/>
      <c r="R3" s="46"/>
      <c r="S3" s="50" t="s">
        <v>66</v>
      </c>
      <c r="T3" s="45"/>
      <c r="U3" s="45"/>
      <c r="V3" s="46"/>
      <c r="W3" s="51" t="s">
        <v>67</v>
      </c>
      <c r="X3" s="45"/>
      <c r="Y3" s="45"/>
      <c r="Z3" s="46"/>
      <c r="AA3" s="52" t="s">
        <v>68</v>
      </c>
      <c r="AB3" s="45"/>
      <c r="AC3" s="45"/>
      <c r="AD3" s="46"/>
      <c r="AE3" s="53" t="s">
        <v>69</v>
      </c>
      <c r="AF3" s="45"/>
      <c r="AG3" s="45"/>
      <c r="AH3" s="46"/>
      <c r="AI3" s="54" t="s">
        <v>70</v>
      </c>
      <c r="AJ3" s="45"/>
      <c r="AK3" s="45"/>
      <c r="AL3" s="46"/>
      <c r="AM3" s="55" t="s">
        <v>71</v>
      </c>
      <c r="AN3" s="45"/>
      <c r="AO3" s="45"/>
      <c r="AP3" s="46"/>
      <c r="AQ3" s="56"/>
      <c r="AR3" s="57" t="s">
        <v>72</v>
      </c>
      <c r="AS3" s="43" t="s">
        <v>73</v>
      </c>
      <c r="AT3" s="43" t="s">
        <v>74</v>
      </c>
      <c r="AU3" s="42" t="s">
        <v>75</v>
      </c>
      <c r="AV3" s="42" t="s">
        <v>76</v>
      </c>
      <c r="AW3" s="121" t="s">
        <v>77</v>
      </c>
      <c r="AX3" s="42" t="s">
        <v>210</v>
      </c>
      <c r="AY3" s="96" t="s">
        <v>79</v>
      </c>
    </row>
    <row r="4" ht="41.25" customHeight="1">
      <c r="A4" s="42"/>
      <c r="B4" s="43"/>
      <c r="C4" s="56" t="s">
        <v>80</v>
      </c>
      <c r="D4" s="57" t="s">
        <v>81</v>
      </c>
      <c r="E4" s="56" t="s">
        <v>82</v>
      </c>
      <c r="F4" s="56" t="s">
        <v>83</v>
      </c>
      <c r="G4" s="56" t="s">
        <v>80</v>
      </c>
      <c r="H4" s="56" t="s">
        <v>81</v>
      </c>
      <c r="I4" s="56" t="s">
        <v>82</v>
      </c>
      <c r="J4" s="56" t="s">
        <v>83</v>
      </c>
      <c r="K4" s="56" t="s">
        <v>80</v>
      </c>
      <c r="L4" s="56" t="s">
        <v>81</v>
      </c>
      <c r="M4" s="56" t="s">
        <v>82</v>
      </c>
      <c r="N4" s="56" t="s">
        <v>83</v>
      </c>
      <c r="O4" s="56" t="s">
        <v>80</v>
      </c>
      <c r="P4" s="56" t="s">
        <v>81</v>
      </c>
      <c r="Q4" s="56" t="s">
        <v>82</v>
      </c>
      <c r="R4" s="56" t="s">
        <v>83</v>
      </c>
      <c r="S4" s="56" t="s">
        <v>80</v>
      </c>
      <c r="T4" s="56" t="s">
        <v>81</v>
      </c>
      <c r="U4" s="56" t="s">
        <v>82</v>
      </c>
      <c r="V4" s="56" t="s">
        <v>83</v>
      </c>
      <c r="W4" s="56" t="s">
        <v>80</v>
      </c>
      <c r="X4" s="56" t="s">
        <v>81</v>
      </c>
      <c r="Y4" s="56" t="s">
        <v>82</v>
      </c>
      <c r="Z4" s="56" t="s">
        <v>83</v>
      </c>
      <c r="AA4" s="58" t="s">
        <v>80</v>
      </c>
      <c r="AB4" s="59" t="s">
        <v>81</v>
      </c>
      <c r="AC4" s="59" t="s">
        <v>82</v>
      </c>
      <c r="AD4" s="59" t="s">
        <v>83</v>
      </c>
      <c r="AE4" s="58" t="s">
        <v>80</v>
      </c>
      <c r="AF4" s="59" t="s">
        <v>81</v>
      </c>
      <c r="AG4" s="59" t="s">
        <v>82</v>
      </c>
      <c r="AH4" s="59" t="s">
        <v>83</v>
      </c>
      <c r="AI4" s="58" t="s">
        <v>80</v>
      </c>
      <c r="AJ4" s="59" t="s">
        <v>81</v>
      </c>
      <c r="AK4" s="59" t="s">
        <v>82</v>
      </c>
      <c r="AL4" s="59" t="s">
        <v>83</v>
      </c>
      <c r="AM4" s="58" t="s">
        <v>80</v>
      </c>
      <c r="AN4" s="59" t="s">
        <v>81</v>
      </c>
      <c r="AO4" s="59" t="s">
        <v>82</v>
      </c>
      <c r="AP4" s="59" t="s">
        <v>83</v>
      </c>
      <c r="AQ4" s="60"/>
      <c r="AR4" s="61"/>
      <c r="AS4" s="43"/>
      <c r="AT4" s="43"/>
      <c r="AU4" s="42"/>
      <c r="AV4" s="42"/>
      <c r="AW4" s="42"/>
      <c r="AX4" s="42"/>
      <c r="AY4" s="96"/>
    </row>
    <row r="5" ht="41.25" customHeight="1">
      <c r="A5" s="42">
        <v>1.0</v>
      </c>
      <c r="B5" s="87" t="s">
        <v>211</v>
      </c>
      <c r="C5" s="66">
        <v>6.0</v>
      </c>
      <c r="D5" s="120">
        <v>11.0</v>
      </c>
      <c r="E5" s="57">
        <f t="shared" ref="E5:E29" si="1">C5+D5</f>
        <v>17</v>
      </c>
      <c r="F5" s="77" t="str">
        <f t="shared" ref="F5:F29" si="2">VLOOKUP(E5,$B$42:$C$50,2)</f>
        <v>U</v>
      </c>
      <c r="G5" s="133">
        <v>21.0</v>
      </c>
      <c r="H5" s="133">
        <v>19.0</v>
      </c>
      <c r="I5" s="56">
        <f t="shared" ref="I5:I29" si="3">G5+H5</f>
        <v>40</v>
      </c>
      <c r="J5" s="56" t="str">
        <f t="shared" ref="J5:J29" si="4">VLOOKUP(I5,$B$42:$C$50,2)</f>
        <v>E</v>
      </c>
      <c r="K5" s="66">
        <v>23.0</v>
      </c>
      <c r="L5" s="66">
        <v>23.0</v>
      </c>
      <c r="M5" s="56">
        <f t="shared" ref="M5:M29" si="5">K5+L5</f>
        <v>46</v>
      </c>
      <c r="N5" s="56" t="str">
        <f t="shared" ref="N5:N29" si="6">VLOOKUP(M5,$B$42:$C$50,2)</f>
        <v>E</v>
      </c>
      <c r="O5" s="129">
        <v>9.0</v>
      </c>
      <c r="P5" s="66">
        <v>36.0</v>
      </c>
      <c r="Q5" s="56">
        <f t="shared" ref="Q5:Q29" si="7">O5+P5</f>
        <v>45</v>
      </c>
      <c r="R5" s="56" t="str">
        <f t="shared" ref="R5:R29" si="8">VLOOKUP(Q5,$B$42:$C$50,2)</f>
        <v>E</v>
      </c>
      <c r="S5" s="66">
        <v>33.0</v>
      </c>
      <c r="T5" s="66">
        <v>22.0</v>
      </c>
      <c r="U5" s="56">
        <f t="shared" ref="U5:U29" si="9">S5+T5</f>
        <v>55</v>
      </c>
      <c r="V5" s="56" t="str">
        <f t="shared" ref="V5:V29" si="10">VLOOKUP(U5,$B$42:$C$50,2)</f>
        <v>D</v>
      </c>
      <c r="W5" s="66">
        <v>18.0</v>
      </c>
      <c r="X5" s="66">
        <v>40.0</v>
      </c>
      <c r="Y5" s="56">
        <f t="shared" ref="Y5:Y29" si="11">W5+X5</f>
        <v>58</v>
      </c>
      <c r="Z5" s="56" t="str">
        <f t="shared" ref="Z5:Z29" si="12">VLOOKUP(Y5,$B$42:$C$50,2)</f>
        <v>D</v>
      </c>
      <c r="AA5" s="67">
        <v>34.0</v>
      </c>
      <c r="AB5" s="68">
        <v>46.0</v>
      </c>
      <c r="AC5" s="59">
        <f t="shared" ref="AC5:AC29" si="13">AA5+AB5</f>
        <v>80</v>
      </c>
      <c r="AD5" s="56" t="str">
        <f t="shared" ref="AD5:AD29" si="14">VLOOKUP(AC5,$B$42:$C$50,2)</f>
        <v>A</v>
      </c>
      <c r="AE5" s="64">
        <v>28.0</v>
      </c>
      <c r="AF5" s="65">
        <v>42.0</v>
      </c>
      <c r="AG5" s="59">
        <f t="shared" ref="AG5:AG29" si="15">AE5+AF5</f>
        <v>70</v>
      </c>
      <c r="AH5" s="56" t="str">
        <f t="shared" ref="AH5:AH29" si="16">VLOOKUP(AG5,$B$42:$C$50,2)</f>
        <v>B</v>
      </c>
      <c r="AI5" s="67">
        <v>30.0</v>
      </c>
      <c r="AJ5" s="68">
        <v>36.0</v>
      </c>
      <c r="AK5" s="59">
        <f t="shared" ref="AK5:AK29" si="17">AI5+AJ5</f>
        <v>66</v>
      </c>
      <c r="AL5" s="56" t="str">
        <f t="shared" ref="AL5:AL29" si="18">VLOOKUP(AK5,$B$42:$C$50,2)</f>
        <v>C</v>
      </c>
      <c r="AM5" s="67">
        <v>20.7</v>
      </c>
      <c r="AN5" s="68">
        <v>53.0</v>
      </c>
      <c r="AO5" s="59">
        <f t="shared" ref="AO5:AO29" si="19">AM5+AN5</f>
        <v>73.7</v>
      </c>
      <c r="AP5" s="56" t="str">
        <f t="shared" ref="AP5:AP29" si="20">VLOOKUP(AO5,$B$42:$C$50,2)</f>
        <v>B</v>
      </c>
      <c r="AQ5" s="59"/>
      <c r="AR5" s="57">
        <f t="shared" ref="AR5:AR29" si="21">AVERAGE(E5,I5,M5,Q5,U5,Y5,AC5,AG5,AK5,AO5)</f>
        <v>55.07</v>
      </c>
      <c r="AS5" s="72">
        <f t="shared" ref="AS5:AS29" si="22">RANK(AR5,$AR$5:$AR$30)</f>
        <v>22</v>
      </c>
      <c r="AT5" s="134" t="s">
        <v>87</v>
      </c>
      <c r="AU5" s="134" t="s">
        <v>87</v>
      </c>
      <c r="AV5" s="134" t="s">
        <v>90</v>
      </c>
      <c r="AW5" s="134" t="s">
        <v>90</v>
      </c>
      <c r="AX5" s="134" t="s">
        <v>90</v>
      </c>
      <c r="AY5" s="135" t="s">
        <v>212</v>
      </c>
    </row>
    <row r="6" ht="41.25" customHeight="1">
      <c r="A6" s="42">
        <v>2.0</v>
      </c>
      <c r="B6" s="94" t="s">
        <v>213</v>
      </c>
      <c r="C6" s="66">
        <v>26.0</v>
      </c>
      <c r="D6" s="120">
        <v>36.0</v>
      </c>
      <c r="E6" s="57">
        <f t="shared" si="1"/>
        <v>62</v>
      </c>
      <c r="F6" s="56" t="str">
        <f t="shared" si="2"/>
        <v>C</v>
      </c>
      <c r="G6" s="133">
        <v>34.0</v>
      </c>
      <c r="H6" s="133">
        <v>41.0</v>
      </c>
      <c r="I6" s="56">
        <f t="shared" si="3"/>
        <v>75</v>
      </c>
      <c r="J6" s="56" t="str">
        <f t="shared" si="4"/>
        <v>B</v>
      </c>
      <c r="K6" s="66">
        <v>36.0</v>
      </c>
      <c r="L6" s="66">
        <v>47.0</v>
      </c>
      <c r="M6" s="56">
        <f t="shared" si="5"/>
        <v>83</v>
      </c>
      <c r="N6" s="56" t="str">
        <f t="shared" si="6"/>
        <v>A</v>
      </c>
      <c r="O6" s="129">
        <v>33.0</v>
      </c>
      <c r="P6" s="66">
        <v>47.0</v>
      </c>
      <c r="Q6" s="56">
        <f t="shared" si="7"/>
        <v>80</v>
      </c>
      <c r="R6" s="56" t="str">
        <f t="shared" si="8"/>
        <v>A</v>
      </c>
      <c r="S6" s="66">
        <v>38.0</v>
      </c>
      <c r="T6" s="66">
        <v>57.0</v>
      </c>
      <c r="U6" s="56">
        <f t="shared" si="9"/>
        <v>95</v>
      </c>
      <c r="V6" s="56" t="str">
        <f t="shared" si="10"/>
        <v>A*</v>
      </c>
      <c r="W6" s="66">
        <v>37.0</v>
      </c>
      <c r="X6" s="66">
        <v>51.0</v>
      </c>
      <c r="Y6" s="56">
        <f t="shared" si="11"/>
        <v>88</v>
      </c>
      <c r="Z6" s="56" t="str">
        <f t="shared" si="12"/>
        <v>A</v>
      </c>
      <c r="AA6" s="67">
        <v>35.0</v>
      </c>
      <c r="AB6" s="68">
        <v>59.0</v>
      </c>
      <c r="AC6" s="59">
        <f t="shared" si="13"/>
        <v>94</v>
      </c>
      <c r="AD6" s="56" t="str">
        <f t="shared" si="14"/>
        <v>A*</v>
      </c>
      <c r="AE6" s="75">
        <v>33.0</v>
      </c>
      <c r="AF6" s="76">
        <v>50.0</v>
      </c>
      <c r="AG6" s="59">
        <f t="shared" si="15"/>
        <v>83</v>
      </c>
      <c r="AH6" s="56" t="str">
        <f t="shared" si="16"/>
        <v>A</v>
      </c>
      <c r="AI6" s="67">
        <v>35.0</v>
      </c>
      <c r="AJ6" s="68">
        <v>55.0</v>
      </c>
      <c r="AK6" s="59">
        <f t="shared" si="17"/>
        <v>90</v>
      </c>
      <c r="AL6" s="56" t="str">
        <f t="shared" si="18"/>
        <v>A*</v>
      </c>
      <c r="AM6" s="67">
        <v>20.0</v>
      </c>
      <c r="AN6" s="68">
        <v>47.0</v>
      </c>
      <c r="AO6" s="59">
        <f t="shared" si="19"/>
        <v>67</v>
      </c>
      <c r="AP6" s="56" t="str">
        <f t="shared" si="20"/>
        <v>C</v>
      </c>
      <c r="AQ6" s="59"/>
      <c r="AR6" s="57">
        <f t="shared" si="21"/>
        <v>81.7</v>
      </c>
      <c r="AS6" s="72">
        <f t="shared" si="22"/>
        <v>1</v>
      </c>
      <c r="AT6" s="134" t="s">
        <v>85</v>
      </c>
      <c r="AU6" s="134" t="s">
        <v>85</v>
      </c>
      <c r="AV6" s="134" t="s">
        <v>85</v>
      </c>
      <c r="AW6" s="134" t="s">
        <v>85</v>
      </c>
      <c r="AX6" s="134" t="s">
        <v>85</v>
      </c>
      <c r="AY6" s="135" t="s">
        <v>214</v>
      </c>
    </row>
    <row r="7" ht="41.25" customHeight="1">
      <c r="A7" s="42">
        <v>3.0</v>
      </c>
      <c r="B7" s="94" t="s">
        <v>215</v>
      </c>
      <c r="C7" s="66">
        <v>30.0</v>
      </c>
      <c r="D7" s="120">
        <v>31.0</v>
      </c>
      <c r="E7" s="57">
        <f t="shared" si="1"/>
        <v>61</v>
      </c>
      <c r="F7" s="56" t="str">
        <f t="shared" si="2"/>
        <v>C</v>
      </c>
      <c r="G7" s="133">
        <v>19.0</v>
      </c>
      <c r="H7" s="133">
        <v>18.0</v>
      </c>
      <c r="I7" s="56">
        <f t="shared" si="3"/>
        <v>37</v>
      </c>
      <c r="J7" s="56" t="str">
        <f t="shared" si="4"/>
        <v>F</v>
      </c>
      <c r="K7" s="66">
        <v>27.0</v>
      </c>
      <c r="L7" s="66">
        <v>33.0</v>
      </c>
      <c r="M7" s="56">
        <f t="shared" si="5"/>
        <v>60</v>
      </c>
      <c r="N7" s="56" t="str">
        <f t="shared" si="6"/>
        <v>C</v>
      </c>
      <c r="O7" s="129">
        <v>34.0</v>
      </c>
      <c r="P7" s="66">
        <v>48.0</v>
      </c>
      <c r="Q7" s="56">
        <f t="shared" si="7"/>
        <v>82</v>
      </c>
      <c r="R7" s="56" t="str">
        <f t="shared" si="8"/>
        <v>A</v>
      </c>
      <c r="S7" s="66">
        <v>33.0</v>
      </c>
      <c r="T7" s="66">
        <v>41.0</v>
      </c>
      <c r="U7" s="56">
        <f t="shared" si="9"/>
        <v>74</v>
      </c>
      <c r="V7" s="56" t="str">
        <f t="shared" si="10"/>
        <v>B</v>
      </c>
      <c r="W7" s="66">
        <v>30.0</v>
      </c>
      <c r="X7" s="66">
        <v>35.0</v>
      </c>
      <c r="Y7" s="56">
        <f t="shared" si="11"/>
        <v>65</v>
      </c>
      <c r="Z7" s="56" t="str">
        <f t="shared" si="12"/>
        <v>C</v>
      </c>
      <c r="AA7" s="67">
        <v>27.0</v>
      </c>
      <c r="AB7" s="68">
        <v>39.0</v>
      </c>
      <c r="AC7" s="59">
        <f t="shared" si="13"/>
        <v>66</v>
      </c>
      <c r="AD7" s="56" t="str">
        <f t="shared" si="14"/>
        <v>C</v>
      </c>
      <c r="AE7" s="75">
        <v>31.0</v>
      </c>
      <c r="AF7" s="76">
        <v>45.0</v>
      </c>
      <c r="AG7" s="59">
        <f t="shared" si="15"/>
        <v>76</v>
      </c>
      <c r="AH7" s="56" t="str">
        <f t="shared" si="16"/>
        <v>B</v>
      </c>
      <c r="AI7" s="67">
        <v>35.0</v>
      </c>
      <c r="AJ7" s="68">
        <v>41.0</v>
      </c>
      <c r="AK7" s="59">
        <f t="shared" si="17"/>
        <v>76</v>
      </c>
      <c r="AL7" s="56" t="str">
        <f t="shared" si="18"/>
        <v>B</v>
      </c>
      <c r="AM7" s="67">
        <v>19.5</v>
      </c>
      <c r="AN7" s="68">
        <v>39.0</v>
      </c>
      <c r="AO7" s="59">
        <f t="shared" si="19"/>
        <v>58.5</v>
      </c>
      <c r="AP7" s="56" t="str">
        <f t="shared" si="20"/>
        <v>D</v>
      </c>
      <c r="AQ7" s="59"/>
      <c r="AR7" s="57">
        <f t="shared" si="21"/>
        <v>65.55</v>
      </c>
      <c r="AS7" s="72">
        <f t="shared" si="22"/>
        <v>18</v>
      </c>
      <c r="AT7" s="134" t="s">
        <v>87</v>
      </c>
      <c r="AU7" s="134" t="s">
        <v>87</v>
      </c>
      <c r="AV7" s="134" t="s">
        <v>87</v>
      </c>
      <c r="AW7" s="134" t="s">
        <v>85</v>
      </c>
      <c r="AX7" s="134" t="s">
        <v>85</v>
      </c>
      <c r="AY7" s="135" t="s">
        <v>216</v>
      </c>
    </row>
    <row r="8" ht="41.25" customHeight="1">
      <c r="A8" s="136">
        <v>4.0</v>
      </c>
      <c r="B8" s="137" t="s">
        <v>217</v>
      </c>
      <c r="C8" s="138">
        <v>14.0</v>
      </c>
      <c r="D8" s="139">
        <v>0.0</v>
      </c>
      <c r="E8" s="140">
        <f t="shared" si="1"/>
        <v>14</v>
      </c>
      <c r="F8" s="77" t="str">
        <f t="shared" si="2"/>
        <v>U</v>
      </c>
      <c r="G8" s="133"/>
      <c r="H8" s="133"/>
      <c r="I8" s="56">
        <f t="shared" si="3"/>
        <v>0</v>
      </c>
      <c r="J8" s="56" t="str">
        <f t="shared" si="4"/>
        <v>U</v>
      </c>
      <c r="K8" s="66">
        <v>0.0</v>
      </c>
      <c r="L8" s="66">
        <v>0.0</v>
      </c>
      <c r="M8" s="56">
        <f t="shared" si="5"/>
        <v>0</v>
      </c>
      <c r="N8" s="56" t="str">
        <f t="shared" si="6"/>
        <v>U</v>
      </c>
      <c r="O8" s="129">
        <v>15.0</v>
      </c>
      <c r="P8" s="66">
        <v>0.0</v>
      </c>
      <c r="Q8" s="56">
        <f t="shared" si="7"/>
        <v>15</v>
      </c>
      <c r="R8" s="56" t="str">
        <f t="shared" si="8"/>
        <v>U</v>
      </c>
      <c r="S8" s="56"/>
      <c r="T8" s="56"/>
      <c r="U8" s="56">
        <f t="shared" si="9"/>
        <v>0</v>
      </c>
      <c r="V8" s="56" t="str">
        <f t="shared" si="10"/>
        <v>U</v>
      </c>
      <c r="W8" s="66">
        <v>15.0</v>
      </c>
      <c r="X8" s="66"/>
      <c r="Y8" s="56">
        <f t="shared" si="11"/>
        <v>15</v>
      </c>
      <c r="Z8" s="56" t="str">
        <f t="shared" si="12"/>
        <v>U</v>
      </c>
      <c r="AA8" s="67">
        <v>10.0</v>
      </c>
      <c r="AB8" s="59"/>
      <c r="AC8" s="59">
        <f t="shared" si="13"/>
        <v>10</v>
      </c>
      <c r="AD8" s="56" t="str">
        <f t="shared" si="14"/>
        <v>U</v>
      </c>
      <c r="AE8" s="75">
        <v>12.0</v>
      </c>
      <c r="AF8" s="90"/>
      <c r="AG8" s="59">
        <f t="shared" si="15"/>
        <v>12</v>
      </c>
      <c r="AH8" s="56" t="str">
        <f t="shared" si="16"/>
        <v>U</v>
      </c>
      <c r="AI8" s="67">
        <v>14.0</v>
      </c>
      <c r="AJ8" s="68">
        <v>0.0</v>
      </c>
      <c r="AK8" s="59">
        <f t="shared" si="17"/>
        <v>14</v>
      </c>
      <c r="AL8" s="56" t="str">
        <f t="shared" si="18"/>
        <v>U</v>
      </c>
      <c r="AM8" s="67">
        <v>20.0</v>
      </c>
      <c r="AN8" s="68">
        <v>41.0</v>
      </c>
      <c r="AO8" s="59">
        <f t="shared" si="19"/>
        <v>61</v>
      </c>
      <c r="AP8" s="56" t="str">
        <f t="shared" si="20"/>
        <v>C</v>
      </c>
      <c r="AQ8" s="59"/>
      <c r="AR8" s="57">
        <f t="shared" si="21"/>
        <v>14.1</v>
      </c>
      <c r="AS8" s="72">
        <f t="shared" si="22"/>
        <v>24</v>
      </c>
      <c r="AT8" s="134" t="s">
        <v>87</v>
      </c>
      <c r="AU8" s="134" t="s">
        <v>90</v>
      </c>
      <c r="AV8" s="134" t="s">
        <v>90</v>
      </c>
      <c r="AW8" s="134" t="s">
        <v>90</v>
      </c>
      <c r="AX8" s="134" t="s">
        <v>90</v>
      </c>
      <c r="AY8" s="141" t="s">
        <v>218</v>
      </c>
    </row>
    <row r="9" ht="41.25" customHeight="1">
      <c r="A9" s="42">
        <v>5.0</v>
      </c>
      <c r="B9" s="94" t="s">
        <v>219</v>
      </c>
      <c r="C9" s="66">
        <v>24.0</v>
      </c>
      <c r="D9" s="120">
        <v>29.0</v>
      </c>
      <c r="E9" s="57">
        <f t="shared" si="1"/>
        <v>53</v>
      </c>
      <c r="F9" s="56" t="str">
        <f t="shared" si="2"/>
        <v>D</v>
      </c>
      <c r="G9" s="133">
        <v>31.0</v>
      </c>
      <c r="H9" s="133">
        <v>38.0</v>
      </c>
      <c r="I9" s="56">
        <f t="shared" si="3"/>
        <v>69</v>
      </c>
      <c r="J9" s="56" t="str">
        <f t="shared" si="4"/>
        <v>C</v>
      </c>
      <c r="K9" s="66">
        <v>37.0</v>
      </c>
      <c r="L9" s="66">
        <v>43.0</v>
      </c>
      <c r="M9" s="56">
        <f t="shared" si="5"/>
        <v>80</v>
      </c>
      <c r="N9" s="56" t="str">
        <f t="shared" si="6"/>
        <v>A</v>
      </c>
      <c r="O9" s="129">
        <v>28.0</v>
      </c>
      <c r="P9" s="66">
        <v>24.0</v>
      </c>
      <c r="Q9" s="56">
        <f t="shared" si="7"/>
        <v>52</v>
      </c>
      <c r="R9" s="56" t="str">
        <f t="shared" si="8"/>
        <v>D</v>
      </c>
      <c r="S9" s="66">
        <v>25.0</v>
      </c>
      <c r="T9" s="66">
        <v>46.0</v>
      </c>
      <c r="U9" s="56">
        <f t="shared" si="9"/>
        <v>71</v>
      </c>
      <c r="V9" s="56" t="str">
        <f t="shared" si="10"/>
        <v>B</v>
      </c>
      <c r="W9" s="66">
        <v>19.0</v>
      </c>
      <c r="X9" s="66">
        <v>35.0</v>
      </c>
      <c r="Y9" s="56">
        <f t="shared" si="11"/>
        <v>54</v>
      </c>
      <c r="Z9" s="56" t="str">
        <f t="shared" si="12"/>
        <v>D</v>
      </c>
      <c r="AA9" s="67">
        <v>32.0</v>
      </c>
      <c r="AB9" s="68">
        <v>42.0</v>
      </c>
      <c r="AC9" s="59">
        <f t="shared" si="13"/>
        <v>74</v>
      </c>
      <c r="AD9" s="56" t="str">
        <f t="shared" si="14"/>
        <v>B</v>
      </c>
      <c r="AE9" s="75">
        <v>26.0</v>
      </c>
      <c r="AF9" s="76">
        <v>44.0</v>
      </c>
      <c r="AG9" s="59">
        <f t="shared" si="15"/>
        <v>70</v>
      </c>
      <c r="AH9" s="56" t="str">
        <f t="shared" si="16"/>
        <v>B</v>
      </c>
      <c r="AI9" s="67">
        <v>28.0</v>
      </c>
      <c r="AJ9" s="68">
        <v>38.0</v>
      </c>
      <c r="AK9" s="59">
        <f t="shared" si="17"/>
        <v>66</v>
      </c>
      <c r="AL9" s="56" t="str">
        <f t="shared" si="18"/>
        <v>C</v>
      </c>
      <c r="AM9" s="67">
        <v>23.7</v>
      </c>
      <c r="AN9" s="68">
        <v>47.0</v>
      </c>
      <c r="AO9" s="59">
        <f t="shared" si="19"/>
        <v>70.7</v>
      </c>
      <c r="AP9" s="56" t="str">
        <f t="shared" si="20"/>
        <v>B</v>
      </c>
      <c r="AQ9" s="59"/>
      <c r="AR9" s="57">
        <f t="shared" si="21"/>
        <v>65.97</v>
      </c>
      <c r="AS9" s="72">
        <f t="shared" si="22"/>
        <v>16</v>
      </c>
      <c r="AT9" s="134" t="s">
        <v>87</v>
      </c>
      <c r="AU9" s="134" t="s">
        <v>87</v>
      </c>
      <c r="AV9" s="134" t="s">
        <v>90</v>
      </c>
      <c r="AW9" s="134" t="s">
        <v>87</v>
      </c>
      <c r="AX9" s="134" t="s">
        <v>90</v>
      </c>
      <c r="AY9" s="141" t="s">
        <v>220</v>
      </c>
    </row>
    <row r="10" ht="41.25" customHeight="1">
      <c r="A10" s="42">
        <v>6.0</v>
      </c>
      <c r="B10" s="94" t="s">
        <v>221</v>
      </c>
      <c r="C10" s="66">
        <v>26.0</v>
      </c>
      <c r="D10" s="120">
        <v>37.0</v>
      </c>
      <c r="E10" s="57">
        <f t="shared" si="1"/>
        <v>63</v>
      </c>
      <c r="F10" s="56" t="str">
        <f t="shared" si="2"/>
        <v>C</v>
      </c>
      <c r="G10" s="133">
        <v>10.0</v>
      </c>
      <c r="H10" s="133">
        <v>22.0</v>
      </c>
      <c r="I10" s="56">
        <f t="shared" si="3"/>
        <v>32</v>
      </c>
      <c r="J10" s="56" t="str">
        <f t="shared" si="4"/>
        <v>F</v>
      </c>
      <c r="K10" s="66">
        <v>32.0</v>
      </c>
      <c r="L10" s="66">
        <v>41.0</v>
      </c>
      <c r="M10" s="56">
        <f t="shared" si="5"/>
        <v>73</v>
      </c>
      <c r="N10" s="56" t="str">
        <f t="shared" si="6"/>
        <v>B</v>
      </c>
      <c r="O10" s="129">
        <v>26.0</v>
      </c>
      <c r="P10" s="66">
        <v>37.0</v>
      </c>
      <c r="Q10" s="56">
        <f t="shared" si="7"/>
        <v>63</v>
      </c>
      <c r="R10" s="56" t="str">
        <f t="shared" si="8"/>
        <v>C</v>
      </c>
      <c r="S10" s="66">
        <v>25.0</v>
      </c>
      <c r="T10" s="66">
        <v>32.0</v>
      </c>
      <c r="U10" s="56">
        <f t="shared" si="9"/>
        <v>57</v>
      </c>
      <c r="V10" s="56" t="str">
        <f t="shared" si="10"/>
        <v>D</v>
      </c>
      <c r="W10" s="66">
        <v>31.0</v>
      </c>
      <c r="X10" s="66">
        <v>49.0</v>
      </c>
      <c r="Y10" s="56">
        <f t="shared" si="11"/>
        <v>80</v>
      </c>
      <c r="Z10" s="56" t="str">
        <f t="shared" si="12"/>
        <v>A</v>
      </c>
      <c r="AA10" s="67">
        <v>24.0</v>
      </c>
      <c r="AB10" s="68">
        <v>27.0</v>
      </c>
      <c r="AC10" s="59">
        <f t="shared" si="13"/>
        <v>51</v>
      </c>
      <c r="AD10" s="56" t="str">
        <f t="shared" si="14"/>
        <v>D</v>
      </c>
      <c r="AE10" s="75">
        <v>31.0</v>
      </c>
      <c r="AF10" s="76">
        <v>41.0</v>
      </c>
      <c r="AG10" s="59">
        <f t="shared" si="15"/>
        <v>72</v>
      </c>
      <c r="AH10" s="56" t="str">
        <f t="shared" si="16"/>
        <v>B</v>
      </c>
      <c r="AI10" s="67">
        <v>30.0</v>
      </c>
      <c r="AJ10" s="68">
        <v>43.0</v>
      </c>
      <c r="AK10" s="59">
        <f t="shared" si="17"/>
        <v>73</v>
      </c>
      <c r="AL10" s="56" t="str">
        <f t="shared" si="18"/>
        <v>B</v>
      </c>
      <c r="AM10" s="67">
        <v>25.5</v>
      </c>
      <c r="AN10" s="68">
        <v>53.0</v>
      </c>
      <c r="AO10" s="59">
        <f t="shared" si="19"/>
        <v>78.5</v>
      </c>
      <c r="AP10" s="56" t="str">
        <f t="shared" si="20"/>
        <v>B</v>
      </c>
      <c r="AQ10" s="59"/>
      <c r="AR10" s="57">
        <f t="shared" si="21"/>
        <v>64.25</v>
      </c>
      <c r="AS10" s="72">
        <f t="shared" si="22"/>
        <v>20</v>
      </c>
      <c r="AT10" s="134" t="s">
        <v>87</v>
      </c>
      <c r="AU10" s="134" t="s">
        <v>90</v>
      </c>
      <c r="AV10" s="134" t="s">
        <v>90</v>
      </c>
      <c r="AW10" s="134" t="s">
        <v>87</v>
      </c>
      <c r="AX10" s="134" t="s">
        <v>90</v>
      </c>
      <c r="AY10" s="135" t="s">
        <v>222</v>
      </c>
    </row>
    <row r="11" ht="41.25" customHeight="1">
      <c r="A11" s="42">
        <v>7.0</v>
      </c>
      <c r="B11" s="94" t="s">
        <v>223</v>
      </c>
      <c r="C11" s="66">
        <v>6.0</v>
      </c>
      <c r="D11" s="120">
        <v>13.0</v>
      </c>
      <c r="E11" s="57">
        <f t="shared" si="1"/>
        <v>19</v>
      </c>
      <c r="F11" s="77" t="str">
        <f t="shared" si="2"/>
        <v>U</v>
      </c>
      <c r="G11" s="133">
        <v>8.0</v>
      </c>
      <c r="H11" s="133">
        <v>9.0</v>
      </c>
      <c r="I11" s="56">
        <f t="shared" si="3"/>
        <v>17</v>
      </c>
      <c r="J11" s="56" t="str">
        <f t="shared" si="4"/>
        <v>U</v>
      </c>
      <c r="K11" s="66">
        <v>0.0</v>
      </c>
      <c r="L11" s="66">
        <v>11.0</v>
      </c>
      <c r="M11" s="56">
        <f t="shared" si="5"/>
        <v>11</v>
      </c>
      <c r="N11" s="56" t="str">
        <f t="shared" si="6"/>
        <v>U</v>
      </c>
      <c r="O11" s="129">
        <v>0.0</v>
      </c>
      <c r="P11" s="66">
        <v>11.0</v>
      </c>
      <c r="Q11" s="56">
        <f t="shared" si="7"/>
        <v>11</v>
      </c>
      <c r="R11" s="56" t="str">
        <f t="shared" si="8"/>
        <v>U</v>
      </c>
      <c r="S11" s="66">
        <v>21.0</v>
      </c>
      <c r="T11" s="66">
        <v>18.0</v>
      </c>
      <c r="U11" s="56">
        <f t="shared" si="9"/>
        <v>39</v>
      </c>
      <c r="V11" s="56" t="str">
        <f t="shared" si="10"/>
        <v>F</v>
      </c>
      <c r="W11" s="66">
        <v>14.0</v>
      </c>
      <c r="X11" s="66">
        <v>18.0</v>
      </c>
      <c r="Y11" s="56">
        <f t="shared" si="11"/>
        <v>32</v>
      </c>
      <c r="Z11" s="56" t="str">
        <f t="shared" si="12"/>
        <v>F</v>
      </c>
      <c r="AA11" s="67">
        <v>9.0</v>
      </c>
      <c r="AB11" s="68">
        <v>15.0</v>
      </c>
      <c r="AC11" s="59">
        <f t="shared" si="13"/>
        <v>24</v>
      </c>
      <c r="AD11" s="56" t="str">
        <f t="shared" si="14"/>
        <v>G</v>
      </c>
      <c r="AE11" s="75">
        <v>27.0</v>
      </c>
      <c r="AF11" s="85">
        <v>41.0</v>
      </c>
      <c r="AG11" s="59">
        <f t="shared" si="15"/>
        <v>68</v>
      </c>
      <c r="AH11" s="56" t="str">
        <f t="shared" si="16"/>
        <v>C</v>
      </c>
      <c r="AI11" s="67">
        <v>29.0</v>
      </c>
      <c r="AJ11" s="68">
        <v>37.0</v>
      </c>
      <c r="AK11" s="59">
        <f t="shared" si="17"/>
        <v>66</v>
      </c>
      <c r="AL11" s="56" t="str">
        <f t="shared" si="18"/>
        <v>C</v>
      </c>
      <c r="AM11" s="67">
        <v>20.0</v>
      </c>
      <c r="AN11" s="68">
        <v>40.0</v>
      </c>
      <c r="AO11" s="59">
        <f t="shared" si="19"/>
        <v>60</v>
      </c>
      <c r="AP11" s="56" t="str">
        <f t="shared" si="20"/>
        <v>C</v>
      </c>
      <c r="AQ11" s="59"/>
      <c r="AR11" s="57">
        <f t="shared" si="21"/>
        <v>34.7</v>
      </c>
      <c r="AS11" s="72">
        <f t="shared" si="22"/>
        <v>23</v>
      </c>
      <c r="AT11" s="134" t="s">
        <v>87</v>
      </c>
      <c r="AU11" s="134" t="s">
        <v>87</v>
      </c>
      <c r="AV11" s="134" t="s">
        <v>87</v>
      </c>
      <c r="AW11" s="134" t="s">
        <v>87</v>
      </c>
      <c r="AX11" s="134" t="s">
        <v>87</v>
      </c>
      <c r="AY11" s="135" t="s">
        <v>224</v>
      </c>
    </row>
    <row r="12" ht="41.25" customHeight="1">
      <c r="A12" s="42">
        <v>8.0</v>
      </c>
      <c r="B12" s="94" t="s">
        <v>225</v>
      </c>
      <c r="C12" s="66">
        <v>21.0</v>
      </c>
      <c r="D12" s="120">
        <v>25.0</v>
      </c>
      <c r="E12" s="57">
        <f t="shared" si="1"/>
        <v>46</v>
      </c>
      <c r="F12" s="77" t="str">
        <f t="shared" si="2"/>
        <v>E</v>
      </c>
      <c r="G12" s="133">
        <v>15.0</v>
      </c>
      <c r="H12" s="133">
        <v>25.0</v>
      </c>
      <c r="I12" s="56">
        <f t="shared" si="3"/>
        <v>40</v>
      </c>
      <c r="J12" s="56" t="str">
        <f t="shared" si="4"/>
        <v>E</v>
      </c>
      <c r="K12" s="66">
        <v>23.0</v>
      </c>
      <c r="L12" s="66">
        <v>40.0</v>
      </c>
      <c r="M12" s="56">
        <f t="shared" si="5"/>
        <v>63</v>
      </c>
      <c r="N12" s="56" t="str">
        <f t="shared" si="6"/>
        <v>C</v>
      </c>
      <c r="O12" s="129">
        <v>25.0</v>
      </c>
      <c r="P12" s="66">
        <v>34.0</v>
      </c>
      <c r="Q12" s="56">
        <f t="shared" si="7"/>
        <v>59</v>
      </c>
      <c r="R12" s="56" t="str">
        <f t="shared" si="8"/>
        <v>D</v>
      </c>
      <c r="S12" s="66">
        <v>20.0</v>
      </c>
      <c r="T12" s="66">
        <v>33.0</v>
      </c>
      <c r="U12" s="56">
        <f t="shared" si="9"/>
        <v>53</v>
      </c>
      <c r="V12" s="56" t="str">
        <f t="shared" si="10"/>
        <v>D</v>
      </c>
      <c r="W12" s="66">
        <v>24.0</v>
      </c>
      <c r="X12" s="66">
        <v>38.0</v>
      </c>
      <c r="Y12" s="56">
        <f t="shared" si="11"/>
        <v>62</v>
      </c>
      <c r="Z12" s="56" t="str">
        <f t="shared" si="12"/>
        <v>C</v>
      </c>
      <c r="AA12" s="67">
        <v>17.0</v>
      </c>
      <c r="AB12" s="68">
        <v>25.0</v>
      </c>
      <c r="AC12" s="59">
        <f t="shared" si="13"/>
        <v>42</v>
      </c>
      <c r="AD12" s="56" t="str">
        <f t="shared" si="14"/>
        <v>E</v>
      </c>
      <c r="AE12" s="75">
        <v>26.0</v>
      </c>
      <c r="AF12" s="76">
        <v>42.0</v>
      </c>
      <c r="AG12" s="59">
        <f t="shared" si="15"/>
        <v>68</v>
      </c>
      <c r="AH12" s="56" t="str">
        <f t="shared" si="16"/>
        <v>C</v>
      </c>
      <c r="AI12" s="67">
        <v>27.0</v>
      </c>
      <c r="AJ12" s="68">
        <v>39.0</v>
      </c>
      <c r="AK12" s="59">
        <f t="shared" si="17"/>
        <v>66</v>
      </c>
      <c r="AL12" s="56" t="str">
        <f t="shared" si="18"/>
        <v>C</v>
      </c>
      <c r="AM12" s="67">
        <v>20.0</v>
      </c>
      <c r="AN12" s="68">
        <v>49.0</v>
      </c>
      <c r="AO12" s="59">
        <f t="shared" si="19"/>
        <v>69</v>
      </c>
      <c r="AP12" s="56" t="str">
        <f t="shared" si="20"/>
        <v>C</v>
      </c>
      <c r="AQ12" s="59"/>
      <c r="AR12" s="57">
        <f t="shared" si="21"/>
        <v>56.8</v>
      </c>
      <c r="AS12" s="72">
        <f t="shared" si="22"/>
        <v>21</v>
      </c>
      <c r="AT12" s="134" t="s">
        <v>87</v>
      </c>
      <c r="AU12" s="134" t="s">
        <v>85</v>
      </c>
      <c r="AV12" s="134" t="s">
        <v>87</v>
      </c>
      <c r="AW12" s="134" t="s">
        <v>87</v>
      </c>
      <c r="AX12" s="134" t="s">
        <v>87</v>
      </c>
      <c r="AY12" s="135" t="s">
        <v>226</v>
      </c>
    </row>
    <row r="13" ht="41.25" customHeight="1">
      <c r="A13" s="42">
        <v>9.0</v>
      </c>
      <c r="B13" s="94" t="s">
        <v>227</v>
      </c>
      <c r="C13" s="66">
        <v>18.0</v>
      </c>
      <c r="D13" s="120">
        <v>28.0</v>
      </c>
      <c r="E13" s="57">
        <f t="shared" si="1"/>
        <v>46</v>
      </c>
      <c r="F13" s="77" t="str">
        <f t="shared" si="2"/>
        <v>E</v>
      </c>
      <c r="G13" s="133">
        <v>33.0</v>
      </c>
      <c r="H13" s="133">
        <v>47.0</v>
      </c>
      <c r="I13" s="56">
        <f t="shared" si="3"/>
        <v>80</v>
      </c>
      <c r="J13" s="56" t="str">
        <f t="shared" si="4"/>
        <v>A</v>
      </c>
      <c r="K13" s="66">
        <v>31.0</v>
      </c>
      <c r="L13" s="66">
        <v>35.0</v>
      </c>
      <c r="M13" s="56">
        <f t="shared" si="5"/>
        <v>66</v>
      </c>
      <c r="N13" s="56" t="str">
        <f t="shared" si="6"/>
        <v>C</v>
      </c>
      <c r="O13" s="129">
        <v>31.0</v>
      </c>
      <c r="P13" s="66">
        <v>37.0</v>
      </c>
      <c r="Q13" s="56">
        <f t="shared" si="7"/>
        <v>68</v>
      </c>
      <c r="R13" s="56" t="str">
        <f t="shared" si="8"/>
        <v>C</v>
      </c>
      <c r="S13" s="66">
        <v>36.0</v>
      </c>
      <c r="T13" s="66">
        <v>53.0</v>
      </c>
      <c r="U13" s="56">
        <f t="shared" si="9"/>
        <v>89</v>
      </c>
      <c r="V13" s="56" t="str">
        <f t="shared" si="10"/>
        <v>A</v>
      </c>
      <c r="W13" s="66">
        <v>30.0</v>
      </c>
      <c r="X13" s="66">
        <v>46.0</v>
      </c>
      <c r="Y13" s="56">
        <f t="shared" si="11"/>
        <v>76</v>
      </c>
      <c r="Z13" s="56" t="str">
        <f t="shared" si="12"/>
        <v>B</v>
      </c>
      <c r="AA13" s="67">
        <v>32.0</v>
      </c>
      <c r="AB13" s="68">
        <v>33.0</v>
      </c>
      <c r="AC13" s="59">
        <f t="shared" si="13"/>
        <v>65</v>
      </c>
      <c r="AD13" s="56" t="str">
        <f t="shared" si="14"/>
        <v>C</v>
      </c>
      <c r="AE13" s="75">
        <v>31.0</v>
      </c>
      <c r="AF13" s="76">
        <v>48.0</v>
      </c>
      <c r="AG13" s="59">
        <f t="shared" si="15"/>
        <v>79</v>
      </c>
      <c r="AH13" s="56" t="str">
        <f t="shared" si="16"/>
        <v>B</v>
      </c>
      <c r="AI13" s="67">
        <v>34.0</v>
      </c>
      <c r="AJ13" s="68">
        <v>47.0</v>
      </c>
      <c r="AK13" s="59">
        <f t="shared" si="17"/>
        <v>81</v>
      </c>
      <c r="AL13" s="56" t="str">
        <f t="shared" si="18"/>
        <v>A</v>
      </c>
      <c r="AM13" s="67">
        <v>20.0</v>
      </c>
      <c r="AN13" s="68">
        <v>50.0</v>
      </c>
      <c r="AO13" s="59">
        <f t="shared" si="19"/>
        <v>70</v>
      </c>
      <c r="AP13" s="56" t="str">
        <f t="shared" si="20"/>
        <v>B</v>
      </c>
      <c r="AQ13" s="59"/>
      <c r="AR13" s="57">
        <f t="shared" si="21"/>
        <v>72</v>
      </c>
      <c r="AS13" s="72">
        <f t="shared" si="22"/>
        <v>9</v>
      </c>
      <c r="AT13" s="134" t="s">
        <v>87</v>
      </c>
      <c r="AU13" s="134" t="s">
        <v>85</v>
      </c>
      <c r="AV13" s="134" t="s">
        <v>85</v>
      </c>
      <c r="AW13" s="134" t="s">
        <v>87</v>
      </c>
      <c r="AX13" s="134" t="s">
        <v>85</v>
      </c>
      <c r="AY13" s="135" t="s">
        <v>228</v>
      </c>
    </row>
    <row r="14" ht="41.25" customHeight="1">
      <c r="A14" s="42">
        <v>10.0</v>
      </c>
      <c r="B14" s="94" t="s">
        <v>229</v>
      </c>
      <c r="C14" s="66">
        <v>22.0</v>
      </c>
      <c r="D14" s="120">
        <v>35.0</v>
      </c>
      <c r="E14" s="57">
        <f t="shared" si="1"/>
        <v>57</v>
      </c>
      <c r="F14" s="56" t="str">
        <f t="shared" si="2"/>
        <v>D</v>
      </c>
      <c r="G14" s="133">
        <v>25.0</v>
      </c>
      <c r="H14" s="133">
        <v>43.0</v>
      </c>
      <c r="I14" s="56">
        <f t="shared" si="3"/>
        <v>68</v>
      </c>
      <c r="J14" s="56" t="str">
        <f t="shared" si="4"/>
        <v>C</v>
      </c>
      <c r="K14" s="66">
        <v>33.0</v>
      </c>
      <c r="L14" s="66">
        <v>43.0</v>
      </c>
      <c r="M14" s="56">
        <f t="shared" si="5"/>
        <v>76</v>
      </c>
      <c r="N14" s="56" t="str">
        <f t="shared" si="6"/>
        <v>B</v>
      </c>
      <c r="O14" s="129">
        <v>37.0</v>
      </c>
      <c r="P14" s="66">
        <v>42.0</v>
      </c>
      <c r="Q14" s="56">
        <f t="shared" si="7"/>
        <v>79</v>
      </c>
      <c r="R14" s="56" t="str">
        <f t="shared" si="8"/>
        <v>B</v>
      </c>
      <c r="S14" s="66">
        <v>34.0</v>
      </c>
      <c r="T14" s="66">
        <v>53.0</v>
      </c>
      <c r="U14" s="56">
        <f t="shared" si="9"/>
        <v>87</v>
      </c>
      <c r="V14" s="56" t="str">
        <f t="shared" si="10"/>
        <v>A</v>
      </c>
      <c r="W14" s="66">
        <v>38.0</v>
      </c>
      <c r="X14" s="66">
        <v>54.0</v>
      </c>
      <c r="Y14" s="56">
        <f t="shared" si="11"/>
        <v>92</v>
      </c>
      <c r="Z14" s="56" t="str">
        <f t="shared" si="12"/>
        <v>A*</v>
      </c>
      <c r="AA14" s="67">
        <v>28.0</v>
      </c>
      <c r="AB14" s="68">
        <v>35.0</v>
      </c>
      <c r="AC14" s="59">
        <f t="shared" si="13"/>
        <v>63</v>
      </c>
      <c r="AD14" s="56" t="str">
        <f t="shared" si="14"/>
        <v>C</v>
      </c>
      <c r="AE14" s="75">
        <v>28.0</v>
      </c>
      <c r="AF14" s="76">
        <v>42.0</v>
      </c>
      <c r="AG14" s="59">
        <f t="shared" si="15"/>
        <v>70</v>
      </c>
      <c r="AH14" s="56" t="str">
        <f t="shared" si="16"/>
        <v>B</v>
      </c>
      <c r="AI14" s="67">
        <v>30.0</v>
      </c>
      <c r="AJ14" s="68">
        <v>55.0</v>
      </c>
      <c r="AK14" s="59">
        <f t="shared" si="17"/>
        <v>85</v>
      </c>
      <c r="AL14" s="56" t="str">
        <f t="shared" si="18"/>
        <v>A</v>
      </c>
      <c r="AM14" s="67">
        <v>21.7</v>
      </c>
      <c r="AN14" s="68">
        <v>48.0</v>
      </c>
      <c r="AO14" s="59">
        <f t="shared" si="19"/>
        <v>69.7</v>
      </c>
      <c r="AP14" s="56" t="str">
        <f t="shared" si="20"/>
        <v>C</v>
      </c>
      <c r="AQ14" s="59"/>
      <c r="AR14" s="57">
        <f t="shared" si="21"/>
        <v>74.67</v>
      </c>
      <c r="AS14" s="72">
        <f t="shared" si="22"/>
        <v>6</v>
      </c>
      <c r="AT14" s="134" t="s">
        <v>85</v>
      </c>
      <c r="AU14" s="134" t="s">
        <v>87</v>
      </c>
      <c r="AV14" s="134" t="s">
        <v>87</v>
      </c>
      <c r="AW14" s="134" t="s">
        <v>87</v>
      </c>
      <c r="AX14" s="134" t="s">
        <v>87</v>
      </c>
      <c r="AY14" s="135" t="s">
        <v>230</v>
      </c>
    </row>
    <row r="15" ht="41.25" customHeight="1">
      <c r="A15" s="42">
        <v>11.0</v>
      </c>
      <c r="B15" s="94" t="s">
        <v>231</v>
      </c>
      <c r="C15" s="66">
        <v>28.0</v>
      </c>
      <c r="D15" s="120">
        <v>34.0</v>
      </c>
      <c r="E15" s="57">
        <f t="shared" si="1"/>
        <v>62</v>
      </c>
      <c r="F15" s="56" t="str">
        <f t="shared" si="2"/>
        <v>C</v>
      </c>
      <c r="G15" s="133">
        <v>26.0</v>
      </c>
      <c r="H15" s="133">
        <v>41.0</v>
      </c>
      <c r="I15" s="56">
        <f t="shared" si="3"/>
        <v>67</v>
      </c>
      <c r="J15" s="56" t="str">
        <f t="shared" si="4"/>
        <v>C</v>
      </c>
      <c r="K15" s="66">
        <v>28.0</v>
      </c>
      <c r="L15" s="66">
        <v>38.0</v>
      </c>
      <c r="M15" s="56">
        <f t="shared" si="5"/>
        <v>66</v>
      </c>
      <c r="N15" s="56" t="str">
        <f t="shared" si="6"/>
        <v>C</v>
      </c>
      <c r="O15" s="129">
        <v>35.0</v>
      </c>
      <c r="P15" s="66">
        <v>34.0</v>
      </c>
      <c r="Q15" s="56">
        <f t="shared" si="7"/>
        <v>69</v>
      </c>
      <c r="R15" s="56" t="str">
        <f t="shared" si="8"/>
        <v>C</v>
      </c>
      <c r="S15" s="66">
        <v>27.0</v>
      </c>
      <c r="T15" s="66">
        <v>44.0</v>
      </c>
      <c r="U15" s="56">
        <f t="shared" si="9"/>
        <v>71</v>
      </c>
      <c r="V15" s="56" t="str">
        <f t="shared" si="10"/>
        <v>B</v>
      </c>
      <c r="W15" s="66">
        <v>12.0</v>
      </c>
      <c r="X15" s="66">
        <v>39.0</v>
      </c>
      <c r="Y15" s="56">
        <f t="shared" si="11"/>
        <v>51</v>
      </c>
      <c r="Z15" s="56" t="str">
        <f t="shared" si="12"/>
        <v>D</v>
      </c>
      <c r="AA15" s="67">
        <v>16.0</v>
      </c>
      <c r="AB15" s="68">
        <v>34.0</v>
      </c>
      <c r="AC15" s="59">
        <f t="shared" si="13"/>
        <v>50</v>
      </c>
      <c r="AD15" s="56" t="str">
        <f t="shared" si="14"/>
        <v>D</v>
      </c>
      <c r="AE15" s="75">
        <v>23.0</v>
      </c>
      <c r="AF15" s="76">
        <v>46.0</v>
      </c>
      <c r="AG15" s="59">
        <f t="shared" si="15"/>
        <v>69</v>
      </c>
      <c r="AH15" s="56" t="str">
        <f t="shared" si="16"/>
        <v>C</v>
      </c>
      <c r="AI15" s="67">
        <v>29.0</v>
      </c>
      <c r="AJ15" s="68">
        <v>42.0</v>
      </c>
      <c r="AK15" s="59">
        <f t="shared" si="17"/>
        <v>71</v>
      </c>
      <c r="AL15" s="56" t="str">
        <f t="shared" si="18"/>
        <v>B</v>
      </c>
      <c r="AM15" s="67">
        <v>27.0</v>
      </c>
      <c r="AN15" s="68">
        <v>52.0</v>
      </c>
      <c r="AO15" s="59">
        <f t="shared" si="19"/>
        <v>79</v>
      </c>
      <c r="AP15" s="56" t="str">
        <f t="shared" si="20"/>
        <v>B</v>
      </c>
      <c r="AQ15" s="59"/>
      <c r="AR15" s="57">
        <f t="shared" si="21"/>
        <v>65.5</v>
      </c>
      <c r="AS15" s="72">
        <f t="shared" si="22"/>
        <v>19</v>
      </c>
      <c r="AT15" s="134" t="s">
        <v>87</v>
      </c>
      <c r="AU15" s="134" t="s">
        <v>87</v>
      </c>
      <c r="AV15" s="134" t="s">
        <v>90</v>
      </c>
      <c r="AW15" s="134" t="s">
        <v>87</v>
      </c>
      <c r="AX15" s="134" t="s">
        <v>87</v>
      </c>
      <c r="AY15" s="135" t="s">
        <v>232</v>
      </c>
    </row>
    <row r="16" ht="41.25" customHeight="1">
      <c r="A16" s="42">
        <v>12.0</v>
      </c>
      <c r="B16" s="94" t="s">
        <v>233</v>
      </c>
      <c r="C16" s="66">
        <v>25.0</v>
      </c>
      <c r="D16" s="120">
        <v>35.0</v>
      </c>
      <c r="E16" s="57">
        <f t="shared" si="1"/>
        <v>60</v>
      </c>
      <c r="F16" s="56" t="str">
        <f t="shared" si="2"/>
        <v>C</v>
      </c>
      <c r="G16" s="133">
        <v>29.0</v>
      </c>
      <c r="H16" s="133">
        <v>42.0</v>
      </c>
      <c r="I16" s="56">
        <f t="shared" si="3"/>
        <v>71</v>
      </c>
      <c r="J16" s="56" t="str">
        <f t="shared" si="4"/>
        <v>B</v>
      </c>
      <c r="K16" s="66">
        <v>19.0</v>
      </c>
      <c r="L16" s="66">
        <v>49.0</v>
      </c>
      <c r="M16" s="56">
        <f t="shared" si="5"/>
        <v>68</v>
      </c>
      <c r="N16" s="56" t="str">
        <f t="shared" si="6"/>
        <v>C</v>
      </c>
      <c r="O16" s="129">
        <v>35.0</v>
      </c>
      <c r="P16" s="66">
        <v>48.0</v>
      </c>
      <c r="Q16" s="56">
        <f t="shared" si="7"/>
        <v>83</v>
      </c>
      <c r="R16" s="56" t="str">
        <f t="shared" si="8"/>
        <v>A</v>
      </c>
      <c r="S16" s="66">
        <v>36.0</v>
      </c>
      <c r="T16" s="66">
        <v>57.0</v>
      </c>
      <c r="U16" s="56">
        <f t="shared" si="9"/>
        <v>93</v>
      </c>
      <c r="V16" s="56" t="str">
        <f t="shared" si="10"/>
        <v>A*</v>
      </c>
      <c r="W16" s="66">
        <v>40.0</v>
      </c>
      <c r="X16" s="66">
        <v>59.0</v>
      </c>
      <c r="Y16" s="56">
        <f t="shared" si="11"/>
        <v>99</v>
      </c>
      <c r="Z16" s="56" t="str">
        <f t="shared" si="12"/>
        <v>A*</v>
      </c>
      <c r="AA16" s="67">
        <v>30.0</v>
      </c>
      <c r="AB16" s="68">
        <v>40.0</v>
      </c>
      <c r="AC16" s="59">
        <f t="shared" si="13"/>
        <v>70</v>
      </c>
      <c r="AD16" s="56" t="str">
        <f t="shared" si="14"/>
        <v>B</v>
      </c>
      <c r="AE16" s="75">
        <v>25.0</v>
      </c>
      <c r="AF16" s="76">
        <v>46.0</v>
      </c>
      <c r="AG16" s="59">
        <f t="shared" si="15"/>
        <v>71</v>
      </c>
      <c r="AH16" s="56" t="str">
        <f t="shared" si="16"/>
        <v>B</v>
      </c>
      <c r="AI16" s="67">
        <v>26.0</v>
      </c>
      <c r="AJ16" s="68">
        <v>53.0</v>
      </c>
      <c r="AK16" s="59">
        <f t="shared" si="17"/>
        <v>79</v>
      </c>
      <c r="AL16" s="56" t="str">
        <f t="shared" si="18"/>
        <v>B</v>
      </c>
      <c r="AM16" s="67">
        <v>24.0</v>
      </c>
      <c r="AN16" s="68">
        <v>47.0</v>
      </c>
      <c r="AO16" s="59">
        <f t="shared" si="19"/>
        <v>71</v>
      </c>
      <c r="AP16" s="56" t="str">
        <f t="shared" si="20"/>
        <v>B</v>
      </c>
      <c r="AQ16" s="59"/>
      <c r="AR16" s="57">
        <f t="shared" si="21"/>
        <v>76.5</v>
      </c>
      <c r="AS16" s="72">
        <f t="shared" si="22"/>
        <v>5</v>
      </c>
      <c r="AT16" s="134" t="s">
        <v>87</v>
      </c>
      <c r="AU16" s="134" t="s">
        <v>87</v>
      </c>
      <c r="AV16" s="134" t="s">
        <v>90</v>
      </c>
      <c r="AW16" s="134" t="s">
        <v>90</v>
      </c>
      <c r="AX16" s="134" t="s">
        <v>87</v>
      </c>
      <c r="AY16" s="135" t="s">
        <v>234</v>
      </c>
    </row>
    <row r="17" ht="41.25" customHeight="1">
      <c r="A17" s="42">
        <v>13.0</v>
      </c>
      <c r="B17" s="94" t="s">
        <v>235</v>
      </c>
      <c r="C17" s="66">
        <v>24.0</v>
      </c>
      <c r="D17" s="120">
        <v>36.0</v>
      </c>
      <c r="E17" s="57">
        <f t="shared" si="1"/>
        <v>60</v>
      </c>
      <c r="F17" s="56" t="str">
        <f t="shared" si="2"/>
        <v>C</v>
      </c>
      <c r="G17" s="133">
        <v>29.0</v>
      </c>
      <c r="H17" s="133">
        <v>50.0</v>
      </c>
      <c r="I17" s="56">
        <f t="shared" si="3"/>
        <v>79</v>
      </c>
      <c r="J17" s="56" t="str">
        <f t="shared" si="4"/>
        <v>B</v>
      </c>
      <c r="K17" s="66">
        <v>36.0</v>
      </c>
      <c r="L17" s="66">
        <v>52.0</v>
      </c>
      <c r="M17" s="56">
        <f t="shared" si="5"/>
        <v>88</v>
      </c>
      <c r="N17" s="56" t="str">
        <f t="shared" si="6"/>
        <v>A</v>
      </c>
      <c r="O17" s="129">
        <v>29.0</v>
      </c>
      <c r="P17" s="66">
        <v>46.0</v>
      </c>
      <c r="Q17" s="56">
        <f t="shared" si="7"/>
        <v>75</v>
      </c>
      <c r="R17" s="56" t="str">
        <f t="shared" si="8"/>
        <v>B</v>
      </c>
      <c r="S17" s="66">
        <v>33.0</v>
      </c>
      <c r="T17" s="66">
        <v>51.0</v>
      </c>
      <c r="U17" s="56">
        <f t="shared" si="9"/>
        <v>84</v>
      </c>
      <c r="V17" s="56" t="str">
        <f t="shared" si="10"/>
        <v>A</v>
      </c>
      <c r="W17" s="66">
        <v>39.0</v>
      </c>
      <c r="X17" s="66">
        <v>54.0</v>
      </c>
      <c r="Y17" s="56">
        <f t="shared" si="11"/>
        <v>93</v>
      </c>
      <c r="Z17" s="56" t="str">
        <f t="shared" si="12"/>
        <v>A*</v>
      </c>
      <c r="AA17" s="67">
        <v>34.0</v>
      </c>
      <c r="AB17" s="68">
        <v>59.0</v>
      </c>
      <c r="AC17" s="59">
        <f t="shared" si="13"/>
        <v>93</v>
      </c>
      <c r="AD17" s="56" t="str">
        <f t="shared" si="14"/>
        <v>A*</v>
      </c>
      <c r="AE17" s="75">
        <v>27.0</v>
      </c>
      <c r="AF17" s="76">
        <v>44.0</v>
      </c>
      <c r="AG17" s="59">
        <f t="shared" si="15"/>
        <v>71</v>
      </c>
      <c r="AH17" s="56" t="str">
        <f t="shared" si="16"/>
        <v>B</v>
      </c>
      <c r="AI17" s="67">
        <v>35.0</v>
      </c>
      <c r="AJ17" s="68">
        <v>48.0</v>
      </c>
      <c r="AK17" s="59">
        <f t="shared" si="17"/>
        <v>83</v>
      </c>
      <c r="AL17" s="56" t="str">
        <f t="shared" si="18"/>
        <v>A</v>
      </c>
      <c r="AM17" s="67">
        <v>24.0</v>
      </c>
      <c r="AN17" s="68">
        <v>49.0</v>
      </c>
      <c r="AO17" s="59">
        <f t="shared" si="19"/>
        <v>73</v>
      </c>
      <c r="AP17" s="56" t="str">
        <f t="shared" si="20"/>
        <v>B</v>
      </c>
      <c r="AQ17" s="59"/>
      <c r="AR17" s="57">
        <f t="shared" si="21"/>
        <v>79.9</v>
      </c>
      <c r="AS17" s="72">
        <f t="shared" si="22"/>
        <v>2</v>
      </c>
      <c r="AT17" s="134" t="s">
        <v>87</v>
      </c>
      <c r="AU17" s="134" t="s">
        <v>87</v>
      </c>
      <c r="AV17" s="134" t="s">
        <v>87</v>
      </c>
      <c r="AW17" s="134" t="s">
        <v>90</v>
      </c>
      <c r="AX17" s="134" t="s">
        <v>87</v>
      </c>
      <c r="AY17" s="135" t="s">
        <v>236</v>
      </c>
    </row>
    <row r="18" ht="41.25" customHeight="1">
      <c r="A18" s="42">
        <v>14.0</v>
      </c>
      <c r="B18" s="94" t="s">
        <v>237</v>
      </c>
      <c r="C18" s="56"/>
      <c r="D18" s="120">
        <v>0.0</v>
      </c>
      <c r="E18" s="57">
        <f t="shared" si="1"/>
        <v>0</v>
      </c>
      <c r="F18" s="72" t="str">
        <f t="shared" si="2"/>
        <v>U</v>
      </c>
      <c r="G18" s="133">
        <v>12.0</v>
      </c>
      <c r="H18" s="133"/>
      <c r="I18" s="56">
        <f t="shared" si="3"/>
        <v>12</v>
      </c>
      <c r="J18" s="56" t="str">
        <f t="shared" si="4"/>
        <v>U</v>
      </c>
      <c r="K18" s="66">
        <v>0.0</v>
      </c>
      <c r="L18" s="66">
        <v>0.0</v>
      </c>
      <c r="M18" s="56">
        <f t="shared" si="5"/>
        <v>0</v>
      </c>
      <c r="N18" s="56" t="str">
        <f t="shared" si="6"/>
        <v>U</v>
      </c>
      <c r="O18" s="129">
        <v>0.0</v>
      </c>
      <c r="P18" s="66">
        <v>0.0</v>
      </c>
      <c r="Q18" s="56">
        <f t="shared" si="7"/>
        <v>0</v>
      </c>
      <c r="R18" s="56" t="str">
        <f t="shared" si="8"/>
        <v>U</v>
      </c>
      <c r="S18" s="56"/>
      <c r="T18" s="56"/>
      <c r="U18" s="56">
        <f t="shared" si="9"/>
        <v>0</v>
      </c>
      <c r="V18" s="56" t="str">
        <f t="shared" si="10"/>
        <v>U</v>
      </c>
      <c r="W18" s="66">
        <v>11.0</v>
      </c>
      <c r="X18" s="66"/>
      <c r="Y18" s="56">
        <f t="shared" si="11"/>
        <v>11</v>
      </c>
      <c r="Z18" s="56" t="str">
        <f t="shared" si="12"/>
        <v>U</v>
      </c>
      <c r="AA18" s="67">
        <v>17.0</v>
      </c>
      <c r="AB18" s="59"/>
      <c r="AC18" s="59">
        <f t="shared" si="13"/>
        <v>17</v>
      </c>
      <c r="AD18" s="56" t="str">
        <f t="shared" si="14"/>
        <v>U</v>
      </c>
      <c r="AE18" s="75">
        <v>15.0</v>
      </c>
      <c r="AF18" s="76"/>
      <c r="AG18" s="59">
        <f t="shared" si="15"/>
        <v>15</v>
      </c>
      <c r="AH18" s="56" t="str">
        <f t="shared" si="16"/>
        <v>U</v>
      </c>
      <c r="AI18" s="67">
        <v>0.0</v>
      </c>
      <c r="AJ18" s="68">
        <v>0.0</v>
      </c>
      <c r="AK18" s="59">
        <f t="shared" si="17"/>
        <v>0</v>
      </c>
      <c r="AL18" s="56" t="str">
        <f t="shared" si="18"/>
        <v>U</v>
      </c>
      <c r="AM18" s="67"/>
      <c r="AN18" s="59"/>
      <c r="AO18" s="59">
        <f t="shared" si="19"/>
        <v>0</v>
      </c>
      <c r="AP18" s="56" t="str">
        <f t="shared" si="20"/>
        <v>U</v>
      </c>
      <c r="AQ18" s="59"/>
      <c r="AR18" s="57">
        <f t="shared" si="21"/>
        <v>5.5</v>
      </c>
      <c r="AS18" s="72">
        <f t="shared" si="22"/>
        <v>25</v>
      </c>
      <c r="AT18" s="134" t="s">
        <v>87</v>
      </c>
      <c r="AU18" s="134" t="s">
        <v>85</v>
      </c>
      <c r="AV18" s="134" t="s">
        <v>87</v>
      </c>
      <c r="AW18" s="134" t="s">
        <v>85</v>
      </c>
      <c r="AX18" s="134" t="s">
        <v>87</v>
      </c>
      <c r="AY18" s="96"/>
    </row>
    <row r="19" ht="41.25" customHeight="1">
      <c r="A19" s="42">
        <v>15.0</v>
      </c>
      <c r="B19" s="94" t="s">
        <v>238</v>
      </c>
      <c r="C19" s="66">
        <v>27.0</v>
      </c>
      <c r="D19" s="120">
        <v>35.0</v>
      </c>
      <c r="E19" s="57">
        <f t="shared" si="1"/>
        <v>62</v>
      </c>
      <c r="F19" s="56" t="str">
        <f t="shared" si="2"/>
        <v>C</v>
      </c>
      <c r="G19" s="133">
        <v>31.0</v>
      </c>
      <c r="H19" s="133">
        <v>49.0</v>
      </c>
      <c r="I19" s="56">
        <f t="shared" si="3"/>
        <v>80</v>
      </c>
      <c r="J19" s="56" t="str">
        <f t="shared" si="4"/>
        <v>A</v>
      </c>
      <c r="K19" s="66">
        <v>39.0</v>
      </c>
      <c r="L19" s="66">
        <v>45.0</v>
      </c>
      <c r="M19" s="56">
        <f t="shared" si="5"/>
        <v>84</v>
      </c>
      <c r="N19" s="56" t="str">
        <f t="shared" si="6"/>
        <v>A</v>
      </c>
      <c r="O19" s="129">
        <v>37.0</v>
      </c>
      <c r="P19" s="66">
        <v>48.0</v>
      </c>
      <c r="Q19" s="56">
        <f t="shared" si="7"/>
        <v>85</v>
      </c>
      <c r="R19" s="56" t="str">
        <f t="shared" si="8"/>
        <v>A</v>
      </c>
      <c r="S19" s="66">
        <v>40.0</v>
      </c>
      <c r="T19" s="66">
        <v>53.0</v>
      </c>
      <c r="U19" s="56">
        <f t="shared" si="9"/>
        <v>93</v>
      </c>
      <c r="V19" s="56" t="str">
        <f t="shared" si="10"/>
        <v>A*</v>
      </c>
      <c r="W19" s="66">
        <v>34.0</v>
      </c>
      <c r="X19" s="66">
        <v>46.0</v>
      </c>
      <c r="Y19" s="56">
        <f t="shared" si="11"/>
        <v>80</v>
      </c>
      <c r="Z19" s="56" t="str">
        <f t="shared" si="12"/>
        <v>A</v>
      </c>
      <c r="AA19" s="67">
        <v>32.0</v>
      </c>
      <c r="AB19" s="68">
        <v>52.0</v>
      </c>
      <c r="AC19" s="59">
        <f t="shared" si="13"/>
        <v>84</v>
      </c>
      <c r="AD19" s="56" t="str">
        <f t="shared" si="14"/>
        <v>A</v>
      </c>
      <c r="AE19" s="75">
        <v>26.0</v>
      </c>
      <c r="AF19" s="76">
        <v>43.0</v>
      </c>
      <c r="AG19" s="59">
        <f t="shared" si="15"/>
        <v>69</v>
      </c>
      <c r="AH19" s="56" t="str">
        <f t="shared" si="16"/>
        <v>C</v>
      </c>
      <c r="AI19" s="67">
        <v>36.0</v>
      </c>
      <c r="AJ19" s="68">
        <v>51.0</v>
      </c>
      <c r="AK19" s="59">
        <f t="shared" si="17"/>
        <v>87</v>
      </c>
      <c r="AL19" s="56" t="str">
        <f t="shared" si="18"/>
        <v>A</v>
      </c>
      <c r="AM19" s="67">
        <v>23.5</v>
      </c>
      <c r="AN19" s="68">
        <v>49.0</v>
      </c>
      <c r="AO19" s="59">
        <f t="shared" si="19"/>
        <v>72.5</v>
      </c>
      <c r="AP19" s="56" t="str">
        <f t="shared" si="20"/>
        <v>B</v>
      </c>
      <c r="AQ19" s="59"/>
      <c r="AR19" s="57">
        <f t="shared" si="21"/>
        <v>79.65</v>
      </c>
      <c r="AS19" s="72">
        <f t="shared" si="22"/>
        <v>3</v>
      </c>
      <c r="AT19" s="134" t="s">
        <v>87</v>
      </c>
      <c r="AU19" s="134" t="s">
        <v>85</v>
      </c>
      <c r="AV19" s="134" t="s">
        <v>87</v>
      </c>
      <c r="AW19" s="134" t="s">
        <v>87</v>
      </c>
      <c r="AX19" s="134" t="s">
        <v>87</v>
      </c>
      <c r="AY19" s="135" t="s">
        <v>239</v>
      </c>
    </row>
    <row r="20" ht="41.25" customHeight="1">
      <c r="A20" s="42">
        <v>16.0</v>
      </c>
      <c r="B20" s="94" t="s">
        <v>240</v>
      </c>
      <c r="C20" s="66">
        <v>21.0</v>
      </c>
      <c r="D20" s="120">
        <v>36.0</v>
      </c>
      <c r="E20" s="57">
        <f t="shared" si="1"/>
        <v>57</v>
      </c>
      <c r="F20" s="56" t="str">
        <f t="shared" si="2"/>
        <v>D</v>
      </c>
      <c r="G20" s="133">
        <v>24.0</v>
      </c>
      <c r="H20" s="133">
        <v>39.0</v>
      </c>
      <c r="I20" s="56">
        <f t="shared" si="3"/>
        <v>63</v>
      </c>
      <c r="J20" s="56" t="str">
        <f t="shared" si="4"/>
        <v>C</v>
      </c>
      <c r="K20" s="66">
        <v>35.0</v>
      </c>
      <c r="L20" s="66">
        <v>50.0</v>
      </c>
      <c r="M20" s="56">
        <f t="shared" si="5"/>
        <v>85</v>
      </c>
      <c r="N20" s="56" t="str">
        <f t="shared" si="6"/>
        <v>A</v>
      </c>
      <c r="O20" s="129">
        <v>21.0</v>
      </c>
      <c r="P20" s="66">
        <v>44.0</v>
      </c>
      <c r="Q20" s="56">
        <f t="shared" si="7"/>
        <v>65</v>
      </c>
      <c r="R20" s="56" t="str">
        <f t="shared" si="8"/>
        <v>C</v>
      </c>
      <c r="S20" s="66">
        <v>36.0</v>
      </c>
      <c r="T20" s="66">
        <v>49.0</v>
      </c>
      <c r="U20" s="56">
        <f t="shared" si="9"/>
        <v>85</v>
      </c>
      <c r="V20" s="56" t="str">
        <f t="shared" si="10"/>
        <v>A</v>
      </c>
      <c r="W20" s="66">
        <v>40.0</v>
      </c>
      <c r="X20" s="66">
        <v>56.0</v>
      </c>
      <c r="Y20" s="56">
        <f t="shared" si="11"/>
        <v>96</v>
      </c>
      <c r="Z20" s="56" t="str">
        <f t="shared" si="12"/>
        <v>A*</v>
      </c>
      <c r="AA20" s="67">
        <v>32.0</v>
      </c>
      <c r="AB20" s="68">
        <v>54.0</v>
      </c>
      <c r="AC20" s="59">
        <f t="shared" si="13"/>
        <v>86</v>
      </c>
      <c r="AD20" s="56" t="str">
        <f t="shared" si="14"/>
        <v>A</v>
      </c>
      <c r="AE20" s="75">
        <v>27.0</v>
      </c>
      <c r="AF20" s="76">
        <v>38.0</v>
      </c>
      <c r="AG20" s="59">
        <f t="shared" si="15"/>
        <v>65</v>
      </c>
      <c r="AH20" s="56" t="str">
        <f t="shared" si="16"/>
        <v>C</v>
      </c>
      <c r="AI20" s="67">
        <v>30.0</v>
      </c>
      <c r="AJ20" s="68">
        <v>46.0</v>
      </c>
      <c r="AK20" s="59">
        <f t="shared" si="17"/>
        <v>76</v>
      </c>
      <c r="AL20" s="56" t="str">
        <f t="shared" si="18"/>
        <v>B</v>
      </c>
      <c r="AM20" s="67">
        <v>19.0</v>
      </c>
      <c r="AN20" s="68">
        <v>43.0</v>
      </c>
      <c r="AO20" s="59">
        <f t="shared" si="19"/>
        <v>62</v>
      </c>
      <c r="AP20" s="56" t="str">
        <f t="shared" si="20"/>
        <v>C</v>
      </c>
      <c r="AQ20" s="59"/>
      <c r="AR20" s="57">
        <f t="shared" si="21"/>
        <v>74</v>
      </c>
      <c r="AS20" s="72">
        <f t="shared" si="22"/>
        <v>7</v>
      </c>
      <c r="AT20" s="134" t="s">
        <v>87</v>
      </c>
      <c r="AU20" s="134" t="s">
        <v>85</v>
      </c>
      <c r="AV20" s="134" t="s">
        <v>87</v>
      </c>
      <c r="AW20" s="134" t="s">
        <v>87</v>
      </c>
      <c r="AX20" s="134" t="s">
        <v>85</v>
      </c>
      <c r="AY20" s="135" t="s">
        <v>241</v>
      </c>
    </row>
    <row r="21" ht="41.25" customHeight="1">
      <c r="A21" s="42">
        <v>17.0</v>
      </c>
      <c r="B21" s="94" t="s">
        <v>242</v>
      </c>
      <c r="C21" s="66">
        <v>24.0</v>
      </c>
      <c r="D21" s="120">
        <v>38.0</v>
      </c>
      <c r="E21" s="57">
        <f t="shared" si="1"/>
        <v>62</v>
      </c>
      <c r="F21" s="56" t="str">
        <f t="shared" si="2"/>
        <v>C</v>
      </c>
      <c r="G21" s="133">
        <v>25.0</v>
      </c>
      <c r="H21" s="133">
        <v>20.0</v>
      </c>
      <c r="I21" s="56">
        <f t="shared" si="3"/>
        <v>45</v>
      </c>
      <c r="J21" s="56" t="str">
        <f t="shared" si="4"/>
        <v>E</v>
      </c>
      <c r="K21" s="66">
        <v>33.0</v>
      </c>
      <c r="L21" s="66">
        <v>38.0</v>
      </c>
      <c r="M21" s="56">
        <f t="shared" si="5"/>
        <v>71</v>
      </c>
      <c r="N21" s="56" t="str">
        <f t="shared" si="6"/>
        <v>B</v>
      </c>
      <c r="O21" s="129">
        <v>32.0</v>
      </c>
      <c r="P21" s="66">
        <v>38.0</v>
      </c>
      <c r="Q21" s="56">
        <f t="shared" si="7"/>
        <v>70</v>
      </c>
      <c r="R21" s="56" t="str">
        <f t="shared" si="8"/>
        <v>B</v>
      </c>
      <c r="S21" s="66">
        <v>38.0</v>
      </c>
      <c r="T21" s="66">
        <v>51.0</v>
      </c>
      <c r="U21" s="56">
        <f t="shared" si="9"/>
        <v>89</v>
      </c>
      <c r="V21" s="56" t="str">
        <f t="shared" si="10"/>
        <v>A</v>
      </c>
      <c r="W21" s="66">
        <v>36.0</v>
      </c>
      <c r="X21" s="66">
        <v>51.0</v>
      </c>
      <c r="Y21" s="56">
        <f t="shared" si="11"/>
        <v>87</v>
      </c>
      <c r="Z21" s="56" t="str">
        <f t="shared" si="12"/>
        <v>A</v>
      </c>
      <c r="AA21" s="67">
        <v>32.0</v>
      </c>
      <c r="AB21" s="68">
        <v>39.0</v>
      </c>
      <c r="AC21" s="59">
        <f t="shared" si="13"/>
        <v>71</v>
      </c>
      <c r="AD21" s="56" t="str">
        <f t="shared" si="14"/>
        <v>B</v>
      </c>
      <c r="AE21" s="75">
        <v>29.0</v>
      </c>
      <c r="AF21" s="76">
        <v>43.0</v>
      </c>
      <c r="AG21" s="59">
        <f t="shared" si="15"/>
        <v>72</v>
      </c>
      <c r="AH21" s="56" t="str">
        <f t="shared" si="16"/>
        <v>B</v>
      </c>
      <c r="AI21" s="67">
        <v>30.0</v>
      </c>
      <c r="AJ21" s="68">
        <v>46.0</v>
      </c>
      <c r="AK21" s="59">
        <f t="shared" si="17"/>
        <v>76</v>
      </c>
      <c r="AL21" s="56" t="str">
        <f t="shared" si="18"/>
        <v>B</v>
      </c>
      <c r="AM21" s="67">
        <v>22.7</v>
      </c>
      <c r="AN21" s="68">
        <v>51.0</v>
      </c>
      <c r="AO21" s="59">
        <f t="shared" si="19"/>
        <v>73.7</v>
      </c>
      <c r="AP21" s="56" t="str">
        <f t="shared" si="20"/>
        <v>B</v>
      </c>
      <c r="AQ21" s="59"/>
      <c r="AR21" s="57">
        <f t="shared" si="21"/>
        <v>71.67</v>
      </c>
      <c r="AS21" s="72">
        <f t="shared" si="22"/>
        <v>10</v>
      </c>
      <c r="AT21" s="134" t="s">
        <v>87</v>
      </c>
      <c r="AU21" s="134" t="s">
        <v>87</v>
      </c>
      <c r="AV21" s="134" t="s">
        <v>87</v>
      </c>
      <c r="AW21" s="134" t="s">
        <v>87</v>
      </c>
      <c r="AX21" s="134" t="s">
        <v>87</v>
      </c>
      <c r="AY21" s="135" t="s">
        <v>243</v>
      </c>
    </row>
    <row r="22" ht="41.25" customHeight="1">
      <c r="A22" s="42">
        <v>18.0</v>
      </c>
      <c r="B22" s="94" t="s">
        <v>244</v>
      </c>
      <c r="C22" s="66">
        <v>23.0</v>
      </c>
      <c r="D22" s="120">
        <v>43.0</v>
      </c>
      <c r="E22" s="57">
        <f t="shared" si="1"/>
        <v>66</v>
      </c>
      <c r="F22" s="56" t="str">
        <f t="shared" si="2"/>
        <v>C</v>
      </c>
      <c r="G22" s="133">
        <v>23.0</v>
      </c>
      <c r="H22" s="133">
        <v>37.0</v>
      </c>
      <c r="I22" s="56">
        <f t="shared" si="3"/>
        <v>60</v>
      </c>
      <c r="J22" s="56" t="str">
        <f t="shared" si="4"/>
        <v>C</v>
      </c>
      <c r="K22" s="66">
        <v>26.0</v>
      </c>
      <c r="L22" s="66">
        <v>34.0</v>
      </c>
      <c r="M22" s="56">
        <f t="shared" si="5"/>
        <v>60</v>
      </c>
      <c r="N22" s="56" t="str">
        <f t="shared" si="6"/>
        <v>C</v>
      </c>
      <c r="O22" s="129">
        <v>38.0</v>
      </c>
      <c r="P22" s="66">
        <v>43.0</v>
      </c>
      <c r="Q22" s="56">
        <f t="shared" si="7"/>
        <v>81</v>
      </c>
      <c r="R22" s="56" t="str">
        <f t="shared" si="8"/>
        <v>A</v>
      </c>
      <c r="S22" s="66">
        <v>28.0</v>
      </c>
      <c r="T22" s="66">
        <v>46.0</v>
      </c>
      <c r="U22" s="56">
        <f t="shared" si="9"/>
        <v>74</v>
      </c>
      <c r="V22" s="56" t="str">
        <f t="shared" si="10"/>
        <v>B</v>
      </c>
      <c r="W22" s="66">
        <v>32.0</v>
      </c>
      <c r="X22" s="66">
        <v>45.0</v>
      </c>
      <c r="Y22" s="56">
        <f t="shared" si="11"/>
        <v>77</v>
      </c>
      <c r="Z22" s="56" t="str">
        <f t="shared" si="12"/>
        <v>B</v>
      </c>
      <c r="AA22" s="67">
        <v>26.0</v>
      </c>
      <c r="AB22" s="68">
        <v>28.0</v>
      </c>
      <c r="AC22" s="59">
        <f t="shared" si="13"/>
        <v>54</v>
      </c>
      <c r="AD22" s="56" t="str">
        <f t="shared" si="14"/>
        <v>D</v>
      </c>
      <c r="AE22" s="75">
        <v>30.0</v>
      </c>
      <c r="AF22" s="76">
        <v>35.0</v>
      </c>
      <c r="AG22" s="59">
        <f t="shared" si="15"/>
        <v>65</v>
      </c>
      <c r="AH22" s="56" t="str">
        <f t="shared" si="16"/>
        <v>C</v>
      </c>
      <c r="AI22" s="67">
        <v>35.0</v>
      </c>
      <c r="AJ22" s="68">
        <v>46.0</v>
      </c>
      <c r="AK22" s="59">
        <f t="shared" si="17"/>
        <v>81</v>
      </c>
      <c r="AL22" s="56" t="str">
        <f t="shared" si="18"/>
        <v>A</v>
      </c>
      <c r="AM22" s="67">
        <v>21.7</v>
      </c>
      <c r="AN22" s="68">
        <v>48.0</v>
      </c>
      <c r="AO22" s="59">
        <f t="shared" si="19"/>
        <v>69.7</v>
      </c>
      <c r="AP22" s="56" t="str">
        <f t="shared" si="20"/>
        <v>C</v>
      </c>
      <c r="AQ22" s="59"/>
      <c r="AR22" s="57">
        <f t="shared" si="21"/>
        <v>68.77</v>
      </c>
      <c r="AS22" s="72">
        <f t="shared" si="22"/>
        <v>14</v>
      </c>
      <c r="AT22" s="134" t="s">
        <v>87</v>
      </c>
      <c r="AU22" s="134" t="s">
        <v>87</v>
      </c>
      <c r="AV22" s="134" t="s">
        <v>85</v>
      </c>
      <c r="AW22" s="134" t="s">
        <v>87</v>
      </c>
      <c r="AX22" s="134" t="s">
        <v>87</v>
      </c>
      <c r="AY22" s="135" t="s">
        <v>245</v>
      </c>
    </row>
    <row r="23" ht="41.25" customHeight="1">
      <c r="A23" s="42">
        <v>19.0</v>
      </c>
      <c r="B23" s="94" t="s">
        <v>246</v>
      </c>
      <c r="C23" s="66">
        <v>20.0</v>
      </c>
      <c r="D23" s="120">
        <v>27.0</v>
      </c>
      <c r="E23" s="57">
        <f t="shared" si="1"/>
        <v>47</v>
      </c>
      <c r="F23" s="77" t="str">
        <f t="shared" si="2"/>
        <v>E</v>
      </c>
      <c r="G23" s="133">
        <v>28.0</v>
      </c>
      <c r="H23" s="133">
        <v>21.0</v>
      </c>
      <c r="I23" s="56">
        <f t="shared" si="3"/>
        <v>49</v>
      </c>
      <c r="J23" s="56" t="str">
        <f t="shared" si="4"/>
        <v>E</v>
      </c>
      <c r="K23" s="66">
        <v>21.0</v>
      </c>
      <c r="L23" s="66">
        <v>38.0</v>
      </c>
      <c r="M23" s="56">
        <f t="shared" si="5"/>
        <v>59</v>
      </c>
      <c r="N23" s="56" t="str">
        <f t="shared" si="6"/>
        <v>D</v>
      </c>
      <c r="O23" s="129">
        <v>31.0</v>
      </c>
      <c r="P23" s="66">
        <v>41.0</v>
      </c>
      <c r="Q23" s="56">
        <f t="shared" si="7"/>
        <v>72</v>
      </c>
      <c r="R23" s="56" t="str">
        <f t="shared" si="8"/>
        <v>B</v>
      </c>
      <c r="S23" s="66">
        <v>36.0</v>
      </c>
      <c r="T23" s="66">
        <v>24.0</v>
      </c>
      <c r="U23" s="56">
        <f t="shared" si="9"/>
        <v>60</v>
      </c>
      <c r="V23" s="56" t="str">
        <f t="shared" si="10"/>
        <v>C</v>
      </c>
      <c r="W23" s="66">
        <v>38.0</v>
      </c>
      <c r="X23" s="66">
        <v>42.0</v>
      </c>
      <c r="Y23" s="56">
        <f t="shared" si="11"/>
        <v>80</v>
      </c>
      <c r="Z23" s="56" t="str">
        <f t="shared" si="12"/>
        <v>A</v>
      </c>
      <c r="AA23" s="67">
        <v>32.0</v>
      </c>
      <c r="AB23" s="68">
        <v>33.0</v>
      </c>
      <c r="AC23" s="59">
        <f t="shared" si="13"/>
        <v>65</v>
      </c>
      <c r="AD23" s="56" t="str">
        <f t="shared" si="14"/>
        <v>C</v>
      </c>
      <c r="AE23" s="75">
        <v>31.0</v>
      </c>
      <c r="AF23" s="76">
        <v>42.0</v>
      </c>
      <c r="AG23" s="59">
        <f t="shared" si="15"/>
        <v>73</v>
      </c>
      <c r="AH23" s="56" t="str">
        <f t="shared" si="16"/>
        <v>B</v>
      </c>
      <c r="AI23" s="67">
        <v>32.0</v>
      </c>
      <c r="AJ23" s="68">
        <v>47.0</v>
      </c>
      <c r="AK23" s="59">
        <f t="shared" si="17"/>
        <v>79</v>
      </c>
      <c r="AL23" s="56" t="str">
        <f t="shared" si="18"/>
        <v>B</v>
      </c>
      <c r="AM23" s="67">
        <v>24.9</v>
      </c>
      <c r="AN23" s="68">
        <v>51.0</v>
      </c>
      <c r="AO23" s="59">
        <f t="shared" si="19"/>
        <v>75.9</v>
      </c>
      <c r="AP23" s="56" t="str">
        <f t="shared" si="20"/>
        <v>B</v>
      </c>
      <c r="AQ23" s="59"/>
      <c r="AR23" s="57">
        <f t="shared" si="21"/>
        <v>65.99</v>
      </c>
      <c r="AS23" s="72">
        <f t="shared" si="22"/>
        <v>15</v>
      </c>
      <c r="AT23" s="134" t="s">
        <v>87</v>
      </c>
      <c r="AU23" s="134" t="s">
        <v>87</v>
      </c>
      <c r="AV23" s="134" t="s">
        <v>87</v>
      </c>
      <c r="AW23" s="134" t="s">
        <v>90</v>
      </c>
      <c r="AX23" s="134" t="s">
        <v>90</v>
      </c>
      <c r="AY23" s="135" t="s">
        <v>247</v>
      </c>
    </row>
    <row r="24" ht="41.25" customHeight="1">
      <c r="A24" s="42">
        <v>20.0</v>
      </c>
      <c r="B24" s="94" t="s">
        <v>248</v>
      </c>
      <c r="C24" s="66">
        <v>27.0</v>
      </c>
      <c r="D24" s="120">
        <v>36.0</v>
      </c>
      <c r="E24" s="57">
        <f t="shared" si="1"/>
        <v>63</v>
      </c>
      <c r="F24" s="56" t="str">
        <f t="shared" si="2"/>
        <v>C</v>
      </c>
      <c r="G24" s="142">
        <v>26.0</v>
      </c>
      <c r="H24" s="142">
        <v>22.0</v>
      </c>
      <c r="I24" s="56">
        <f t="shared" si="3"/>
        <v>48</v>
      </c>
      <c r="J24" s="56" t="str">
        <f t="shared" si="4"/>
        <v>E</v>
      </c>
      <c r="K24" s="66">
        <v>29.0</v>
      </c>
      <c r="L24" s="66">
        <v>37.0</v>
      </c>
      <c r="M24" s="56">
        <f t="shared" si="5"/>
        <v>66</v>
      </c>
      <c r="N24" s="56" t="str">
        <f t="shared" si="6"/>
        <v>C</v>
      </c>
      <c r="O24" s="129">
        <v>34.0</v>
      </c>
      <c r="P24" s="66">
        <v>37.0</v>
      </c>
      <c r="Q24" s="56">
        <f t="shared" si="7"/>
        <v>71</v>
      </c>
      <c r="R24" s="56" t="str">
        <f t="shared" si="8"/>
        <v>B</v>
      </c>
      <c r="S24" s="66">
        <v>37.0</v>
      </c>
      <c r="T24" s="66">
        <v>38.0</v>
      </c>
      <c r="U24" s="56">
        <f t="shared" si="9"/>
        <v>75</v>
      </c>
      <c r="V24" s="56" t="str">
        <f t="shared" si="10"/>
        <v>B</v>
      </c>
      <c r="W24" s="66">
        <v>32.0</v>
      </c>
      <c r="X24" s="66">
        <v>43.0</v>
      </c>
      <c r="Y24" s="56">
        <f t="shared" si="11"/>
        <v>75</v>
      </c>
      <c r="Z24" s="56" t="str">
        <f t="shared" si="12"/>
        <v>B</v>
      </c>
      <c r="AA24" s="67">
        <v>28.0</v>
      </c>
      <c r="AB24" s="68">
        <v>31.0</v>
      </c>
      <c r="AC24" s="59">
        <f t="shared" si="13"/>
        <v>59</v>
      </c>
      <c r="AD24" s="56" t="str">
        <f t="shared" si="14"/>
        <v>D</v>
      </c>
      <c r="AE24" s="75">
        <v>31.0</v>
      </c>
      <c r="AF24" s="76">
        <v>48.0</v>
      </c>
      <c r="AG24" s="59">
        <f t="shared" si="15"/>
        <v>79</v>
      </c>
      <c r="AH24" s="56" t="str">
        <f t="shared" si="16"/>
        <v>B</v>
      </c>
      <c r="AI24" s="67">
        <v>35.0</v>
      </c>
      <c r="AJ24" s="68">
        <v>49.0</v>
      </c>
      <c r="AK24" s="59">
        <f t="shared" si="17"/>
        <v>84</v>
      </c>
      <c r="AL24" s="56" t="str">
        <f t="shared" si="18"/>
        <v>A</v>
      </c>
      <c r="AM24" s="67">
        <v>27.7</v>
      </c>
      <c r="AN24" s="68">
        <v>49.0</v>
      </c>
      <c r="AO24" s="59">
        <f t="shared" si="19"/>
        <v>76.7</v>
      </c>
      <c r="AP24" s="56" t="str">
        <f t="shared" si="20"/>
        <v>B</v>
      </c>
      <c r="AQ24" s="59"/>
      <c r="AR24" s="57">
        <f t="shared" si="21"/>
        <v>69.67</v>
      </c>
      <c r="AS24" s="72">
        <f t="shared" si="22"/>
        <v>12</v>
      </c>
      <c r="AT24" s="134" t="s">
        <v>87</v>
      </c>
      <c r="AU24" s="134" t="s">
        <v>87</v>
      </c>
      <c r="AV24" s="134" t="s">
        <v>85</v>
      </c>
      <c r="AW24" s="134" t="s">
        <v>87</v>
      </c>
      <c r="AX24" s="134" t="s">
        <v>87</v>
      </c>
      <c r="AY24" s="135" t="s">
        <v>249</v>
      </c>
    </row>
    <row r="25" ht="41.25" customHeight="1">
      <c r="A25" s="42">
        <v>21.0</v>
      </c>
      <c r="B25" s="94" t="s">
        <v>250</v>
      </c>
      <c r="C25" s="66">
        <v>12.0</v>
      </c>
      <c r="D25" s="120">
        <v>31.0</v>
      </c>
      <c r="E25" s="57">
        <f t="shared" si="1"/>
        <v>43</v>
      </c>
      <c r="F25" s="77" t="str">
        <f t="shared" si="2"/>
        <v>E</v>
      </c>
      <c r="G25" s="142">
        <v>24.0</v>
      </c>
      <c r="H25" s="142">
        <v>30.0</v>
      </c>
      <c r="I25" s="56">
        <f t="shared" si="3"/>
        <v>54</v>
      </c>
      <c r="J25" s="56" t="str">
        <f t="shared" si="4"/>
        <v>D</v>
      </c>
      <c r="K25" s="66">
        <v>27.0</v>
      </c>
      <c r="L25" s="66">
        <v>29.0</v>
      </c>
      <c r="M25" s="56">
        <f t="shared" si="5"/>
        <v>56</v>
      </c>
      <c r="N25" s="56" t="str">
        <f t="shared" si="6"/>
        <v>D</v>
      </c>
      <c r="O25" s="129">
        <v>30.0</v>
      </c>
      <c r="P25" s="66">
        <v>40.0</v>
      </c>
      <c r="Q25" s="56">
        <f t="shared" si="7"/>
        <v>70</v>
      </c>
      <c r="R25" s="56" t="str">
        <f t="shared" si="8"/>
        <v>B</v>
      </c>
      <c r="S25" s="66">
        <v>29.0</v>
      </c>
      <c r="T25" s="66">
        <v>44.0</v>
      </c>
      <c r="U25" s="56">
        <f t="shared" si="9"/>
        <v>73</v>
      </c>
      <c r="V25" s="56" t="str">
        <f t="shared" si="10"/>
        <v>B</v>
      </c>
      <c r="W25" s="66">
        <v>38.0</v>
      </c>
      <c r="X25" s="66">
        <v>40.0</v>
      </c>
      <c r="Y25" s="56">
        <f t="shared" si="11"/>
        <v>78</v>
      </c>
      <c r="Z25" s="56" t="str">
        <f t="shared" si="12"/>
        <v>B</v>
      </c>
      <c r="AA25" s="67">
        <v>30.0</v>
      </c>
      <c r="AB25" s="68">
        <v>32.0</v>
      </c>
      <c r="AC25" s="59">
        <f t="shared" si="13"/>
        <v>62</v>
      </c>
      <c r="AD25" s="56" t="str">
        <f t="shared" si="14"/>
        <v>C</v>
      </c>
      <c r="AE25" s="75">
        <v>32.0</v>
      </c>
      <c r="AF25" s="76">
        <v>53.0</v>
      </c>
      <c r="AG25" s="59">
        <f t="shared" si="15"/>
        <v>85</v>
      </c>
      <c r="AH25" s="56" t="str">
        <f t="shared" si="16"/>
        <v>A</v>
      </c>
      <c r="AI25" s="67">
        <v>31.0</v>
      </c>
      <c r="AJ25" s="68">
        <v>38.0</v>
      </c>
      <c r="AK25" s="59">
        <f t="shared" si="17"/>
        <v>69</v>
      </c>
      <c r="AL25" s="56" t="str">
        <f t="shared" si="18"/>
        <v>C</v>
      </c>
      <c r="AM25" s="67">
        <v>20.5</v>
      </c>
      <c r="AN25" s="68">
        <v>48.0</v>
      </c>
      <c r="AO25" s="59">
        <f t="shared" si="19"/>
        <v>68.5</v>
      </c>
      <c r="AP25" s="56" t="str">
        <f t="shared" si="20"/>
        <v>C</v>
      </c>
      <c r="AQ25" s="59"/>
      <c r="AR25" s="57">
        <f t="shared" si="21"/>
        <v>65.85</v>
      </c>
      <c r="AS25" s="72">
        <f t="shared" si="22"/>
        <v>17</v>
      </c>
      <c r="AT25" s="134" t="s">
        <v>87</v>
      </c>
      <c r="AU25" s="134" t="s">
        <v>87</v>
      </c>
      <c r="AV25" s="134" t="s">
        <v>87</v>
      </c>
      <c r="AW25" s="134" t="s">
        <v>85</v>
      </c>
      <c r="AX25" s="134" t="s">
        <v>87</v>
      </c>
      <c r="AY25" s="135" t="s">
        <v>251</v>
      </c>
    </row>
    <row r="26" ht="41.25" customHeight="1">
      <c r="A26" s="42">
        <v>22.0</v>
      </c>
      <c r="B26" s="94" t="s">
        <v>252</v>
      </c>
      <c r="C26" s="66">
        <v>20.0</v>
      </c>
      <c r="D26" s="120">
        <v>37.0</v>
      </c>
      <c r="E26" s="57">
        <f t="shared" si="1"/>
        <v>57</v>
      </c>
      <c r="F26" s="56" t="str">
        <f t="shared" si="2"/>
        <v>D</v>
      </c>
      <c r="G26" s="142">
        <v>30.0</v>
      </c>
      <c r="H26" s="142">
        <v>39.0</v>
      </c>
      <c r="I26" s="56">
        <f t="shared" si="3"/>
        <v>69</v>
      </c>
      <c r="J26" s="56" t="str">
        <f t="shared" si="4"/>
        <v>C</v>
      </c>
      <c r="K26" s="66">
        <v>32.0</v>
      </c>
      <c r="L26" s="66">
        <v>44.0</v>
      </c>
      <c r="M26" s="56">
        <f t="shared" si="5"/>
        <v>76</v>
      </c>
      <c r="N26" s="56" t="str">
        <f t="shared" si="6"/>
        <v>B</v>
      </c>
      <c r="O26" s="129">
        <v>33.0</v>
      </c>
      <c r="P26" s="66">
        <v>43.0</v>
      </c>
      <c r="Q26" s="56">
        <f t="shared" si="7"/>
        <v>76</v>
      </c>
      <c r="R26" s="56" t="str">
        <f t="shared" si="8"/>
        <v>B</v>
      </c>
      <c r="S26" s="66">
        <v>37.0</v>
      </c>
      <c r="T26" s="66">
        <v>44.0</v>
      </c>
      <c r="U26" s="56">
        <f t="shared" si="9"/>
        <v>81</v>
      </c>
      <c r="V26" s="56" t="str">
        <f t="shared" si="10"/>
        <v>A</v>
      </c>
      <c r="W26" s="66">
        <v>27.0</v>
      </c>
      <c r="X26" s="66">
        <v>47.0</v>
      </c>
      <c r="Y26" s="56">
        <f t="shared" si="11"/>
        <v>74</v>
      </c>
      <c r="Z26" s="56" t="str">
        <f t="shared" si="12"/>
        <v>B</v>
      </c>
      <c r="AA26" s="67">
        <v>32.0</v>
      </c>
      <c r="AB26" s="68">
        <v>31.0</v>
      </c>
      <c r="AC26" s="59">
        <f t="shared" si="13"/>
        <v>63</v>
      </c>
      <c r="AD26" s="56" t="str">
        <f t="shared" si="14"/>
        <v>C</v>
      </c>
      <c r="AE26" s="75">
        <v>34.0</v>
      </c>
      <c r="AF26" s="76">
        <v>55.0</v>
      </c>
      <c r="AG26" s="59">
        <f t="shared" si="15"/>
        <v>89</v>
      </c>
      <c r="AH26" s="56" t="str">
        <f t="shared" si="16"/>
        <v>A</v>
      </c>
      <c r="AI26" s="67">
        <v>34.0</v>
      </c>
      <c r="AJ26" s="68">
        <v>40.0</v>
      </c>
      <c r="AK26" s="59">
        <f t="shared" si="17"/>
        <v>74</v>
      </c>
      <c r="AL26" s="56" t="str">
        <f t="shared" si="18"/>
        <v>B</v>
      </c>
      <c r="AM26" s="67">
        <v>28.5</v>
      </c>
      <c r="AN26" s="68">
        <v>52.0</v>
      </c>
      <c r="AO26" s="59">
        <f t="shared" si="19"/>
        <v>80.5</v>
      </c>
      <c r="AP26" s="56" t="str">
        <f t="shared" si="20"/>
        <v>A</v>
      </c>
      <c r="AQ26" s="59"/>
      <c r="AR26" s="57">
        <f t="shared" si="21"/>
        <v>73.95</v>
      </c>
      <c r="AS26" s="72">
        <f t="shared" si="22"/>
        <v>8</v>
      </c>
      <c r="AT26" s="134" t="s">
        <v>85</v>
      </c>
      <c r="AU26" s="134" t="s">
        <v>85</v>
      </c>
      <c r="AV26" s="134" t="s">
        <v>85</v>
      </c>
      <c r="AW26" s="134" t="s">
        <v>87</v>
      </c>
      <c r="AX26" s="134" t="s">
        <v>87</v>
      </c>
      <c r="AY26" s="143" t="s">
        <v>253</v>
      </c>
    </row>
    <row r="27" ht="41.25" customHeight="1">
      <c r="A27" s="42">
        <v>23.0</v>
      </c>
      <c r="B27" s="94" t="s">
        <v>254</v>
      </c>
      <c r="C27" s="66">
        <v>26.0</v>
      </c>
      <c r="D27" s="120">
        <v>44.0</v>
      </c>
      <c r="E27" s="57">
        <f t="shared" si="1"/>
        <v>70</v>
      </c>
      <c r="F27" s="56" t="str">
        <f t="shared" si="2"/>
        <v>B</v>
      </c>
      <c r="G27" s="142">
        <v>27.0</v>
      </c>
      <c r="H27" s="142">
        <v>38.0</v>
      </c>
      <c r="I27" s="56">
        <f t="shared" si="3"/>
        <v>65</v>
      </c>
      <c r="J27" s="56" t="str">
        <f t="shared" si="4"/>
        <v>C</v>
      </c>
      <c r="K27" s="66">
        <v>36.0</v>
      </c>
      <c r="L27" s="66">
        <v>41.0</v>
      </c>
      <c r="M27" s="56">
        <f t="shared" si="5"/>
        <v>77</v>
      </c>
      <c r="N27" s="56" t="str">
        <f t="shared" si="6"/>
        <v>B</v>
      </c>
      <c r="O27" s="129">
        <v>32.0</v>
      </c>
      <c r="P27" s="66">
        <v>50.0</v>
      </c>
      <c r="Q27" s="56">
        <f t="shared" si="7"/>
        <v>82</v>
      </c>
      <c r="R27" s="56" t="str">
        <f t="shared" si="8"/>
        <v>A</v>
      </c>
      <c r="S27" s="66">
        <v>36.0</v>
      </c>
      <c r="T27" s="66">
        <v>48.0</v>
      </c>
      <c r="U27" s="56">
        <f t="shared" si="9"/>
        <v>84</v>
      </c>
      <c r="V27" s="56" t="str">
        <f t="shared" si="10"/>
        <v>A</v>
      </c>
      <c r="W27" s="66">
        <v>38.0</v>
      </c>
      <c r="X27" s="66">
        <v>51.0</v>
      </c>
      <c r="Y27" s="56">
        <f t="shared" si="11"/>
        <v>89</v>
      </c>
      <c r="Z27" s="56" t="str">
        <f t="shared" si="12"/>
        <v>A</v>
      </c>
      <c r="AA27" s="67">
        <v>35.0</v>
      </c>
      <c r="AB27" s="68">
        <v>31.0</v>
      </c>
      <c r="AC27" s="59">
        <f t="shared" si="13"/>
        <v>66</v>
      </c>
      <c r="AD27" s="56" t="str">
        <f t="shared" si="14"/>
        <v>C</v>
      </c>
      <c r="AE27" s="67">
        <v>30.0</v>
      </c>
      <c r="AF27" s="68">
        <v>48.0</v>
      </c>
      <c r="AG27" s="59">
        <f t="shared" si="15"/>
        <v>78</v>
      </c>
      <c r="AH27" s="56" t="str">
        <f t="shared" si="16"/>
        <v>B</v>
      </c>
      <c r="AI27" s="67">
        <v>34.0</v>
      </c>
      <c r="AJ27" s="68">
        <v>54.0</v>
      </c>
      <c r="AK27" s="59">
        <f t="shared" si="17"/>
        <v>88</v>
      </c>
      <c r="AL27" s="56" t="str">
        <f t="shared" si="18"/>
        <v>A</v>
      </c>
      <c r="AM27" s="67">
        <v>19.0</v>
      </c>
      <c r="AN27" s="68">
        <v>48.0</v>
      </c>
      <c r="AO27" s="59">
        <f t="shared" si="19"/>
        <v>67</v>
      </c>
      <c r="AP27" s="56" t="str">
        <f t="shared" si="20"/>
        <v>C</v>
      </c>
      <c r="AQ27" s="59"/>
      <c r="AR27" s="57">
        <f t="shared" si="21"/>
        <v>76.6</v>
      </c>
      <c r="AS27" s="72">
        <f t="shared" si="22"/>
        <v>4</v>
      </c>
      <c r="AT27" s="134" t="s">
        <v>87</v>
      </c>
      <c r="AU27" s="134" t="s">
        <v>87</v>
      </c>
      <c r="AV27" s="134" t="s">
        <v>87</v>
      </c>
      <c r="AW27" s="134" t="s">
        <v>87</v>
      </c>
      <c r="AX27" s="134" t="s">
        <v>87</v>
      </c>
      <c r="AY27" s="135" t="s">
        <v>255</v>
      </c>
    </row>
    <row r="28" ht="41.25" customHeight="1">
      <c r="A28" s="42">
        <v>24.0</v>
      </c>
      <c r="B28" s="135" t="s">
        <v>256</v>
      </c>
      <c r="C28" s="66">
        <v>27.0</v>
      </c>
      <c r="D28" s="120">
        <v>31.0</v>
      </c>
      <c r="E28" s="57">
        <f t="shared" si="1"/>
        <v>58</v>
      </c>
      <c r="F28" s="56" t="str">
        <f t="shared" si="2"/>
        <v>D</v>
      </c>
      <c r="G28" s="66">
        <v>29.0</v>
      </c>
      <c r="H28" s="66">
        <v>34.0</v>
      </c>
      <c r="I28" s="56">
        <f t="shared" si="3"/>
        <v>63</v>
      </c>
      <c r="J28" s="56" t="str">
        <f t="shared" si="4"/>
        <v>C</v>
      </c>
      <c r="K28" s="66">
        <v>24.0</v>
      </c>
      <c r="L28" s="66">
        <v>35.0</v>
      </c>
      <c r="M28" s="56">
        <f t="shared" si="5"/>
        <v>59</v>
      </c>
      <c r="N28" s="56" t="str">
        <f t="shared" si="6"/>
        <v>D</v>
      </c>
      <c r="O28" s="129">
        <v>30.0</v>
      </c>
      <c r="P28" s="66">
        <v>35.0</v>
      </c>
      <c r="Q28" s="56">
        <f t="shared" si="7"/>
        <v>65</v>
      </c>
      <c r="R28" s="56" t="str">
        <f t="shared" si="8"/>
        <v>C</v>
      </c>
      <c r="S28" s="66">
        <v>35.0</v>
      </c>
      <c r="T28" s="66">
        <v>48.0</v>
      </c>
      <c r="U28" s="56">
        <f t="shared" si="9"/>
        <v>83</v>
      </c>
      <c r="V28" s="56" t="str">
        <f t="shared" si="10"/>
        <v>A</v>
      </c>
      <c r="W28" s="66">
        <v>35.0</v>
      </c>
      <c r="X28" s="66">
        <v>52.0</v>
      </c>
      <c r="Y28" s="56">
        <f t="shared" si="11"/>
        <v>87</v>
      </c>
      <c r="Z28" s="56" t="str">
        <f t="shared" si="12"/>
        <v>A</v>
      </c>
      <c r="AA28" s="67">
        <v>29.0</v>
      </c>
      <c r="AB28" s="68">
        <v>49.0</v>
      </c>
      <c r="AC28" s="59">
        <f t="shared" si="13"/>
        <v>78</v>
      </c>
      <c r="AD28" s="56" t="str">
        <f t="shared" si="14"/>
        <v>B</v>
      </c>
      <c r="AE28" s="67">
        <v>32.0</v>
      </c>
      <c r="AF28" s="68">
        <v>43.0</v>
      </c>
      <c r="AG28" s="59">
        <f t="shared" si="15"/>
        <v>75</v>
      </c>
      <c r="AH28" s="56" t="str">
        <f t="shared" si="16"/>
        <v>B</v>
      </c>
      <c r="AI28" s="67">
        <v>36.0</v>
      </c>
      <c r="AJ28" s="68">
        <v>43.0</v>
      </c>
      <c r="AK28" s="59">
        <f t="shared" si="17"/>
        <v>79</v>
      </c>
      <c r="AL28" s="56" t="str">
        <f t="shared" si="18"/>
        <v>B</v>
      </c>
      <c r="AM28" s="67">
        <v>19.0</v>
      </c>
      <c r="AN28" s="68">
        <v>48.0</v>
      </c>
      <c r="AO28" s="59">
        <f t="shared" si="19"/>
        <v>67</v>
      </c>
      <c r="AP28" s="56" t="str">
        <f t="shared" si="20"/>
        <v>C</v>
      </c>
      <c r="AQ28" s="59"/>
      <c r="AR28" s="57">
        <f t="shared" si="21"/>
        <v>71.4</v>
      </c>
      <c r="AS28" s="72">
        <f t="shared" si="22"/>
        <v>11</v>
      </c>
      <c r="AT28" s="134" t="s">
        <v>87</v>
      </c>
      <c r="AU28" s="134" t="s">
        <v>85</v>
      </c>
      <c r="AV28" s="134" t="s">
        <v>85</v>
      </c>
      <c r="AW28" s="134" t="s">
        <v>85</v>
      </c>
      <c r="AX28" s="134" t="s">
        <v>85</v>
      </c>
      <c r="AY28" s="135" t="s">
        <v>257</v>
      </c>
    </row>
    <row r="29" ht="41.25" customHeight="1">
      <c r="A29" s="42">
        <v>25.0</v>
      </c>
      <c r="B29" s="135" t="s">
        <v>258</v>
      </c>
      <c r="C29" s="66">
        <v>23.0</v>
      </c>
      <c r="D29" s="120">
        <v>34.0</v>
      </c>
      <c r="E29" s="57">
        <f t="shared" si="1"/>
        <v>57</v>
      </c>
      <c r="F29" s="56" t="str">
        <f t="shared" si="2"/>
        <v>D</v>
      </c>
      <c r="G29" s="66">
        <v>19.0</v>
      </c>
      <c r="H29" s="66">
        <v>36.0</v>
      </c>
      <c r="I29" s="56">
        <f t="shared" si="3"/>
        <v>55</v>
      </c>
      <c r="J29" s="56" t="str">
        <f t="shared" si="4"/>
        <v>D</v>
      </c>
      <c r="K29" s="66">
        <v>25.0</v>
      </c>
      <c r="L29" s="66">
        <v>39.0</v>
      </c>
      <c r="M29" s="56">
        <f t="shared" si="5"/>
        <v>64</v>
      </c>
      <c r="N29" s="56" t="str">
        <f t="shared" si="6"/>
        <v>C</v>
      </c>
      <c r="O29" s="129">
        <v>32.0</v>
      </c>
      <c r="P29" s="66">
        <v>37.0</v>
      </c>
      <c r="Q29" s="56">
        <f t="shared" si="7"/>
        <v>69</v>
      </c>
      <c r="R29" s="56" t="str">
        <f t="shared" si="8"/>
        <v>C</v>
      </c>
      <c r="S29" s="66">
        <v>33.0</v>
      </c>
      <c r="T29" s="66">
        <v>41.0</v>
      </c>
      <c r="U29" s="56">
        <f t="shared" si="9"/>
        <v>74</v>
      </c>
      <c r="V29" s="56" t="str">
        <f t="shared" si="10"/>
        <v>B</v>
      </c>
      <c r="W29" s="66">
        <v>34.0</v>
      </c>
      <c r="X29" s="66">
        <v>48.0</v>
      </c>
      <c r="Y29" s="56">
        <f t="shared" si="11"/>
        <v>82</v>
      </c>
      <c r="Z29" s="56" t="str">
        <f t="shared" si="12"/>
        <v>A</v>
      </c>
      <c r="AA29" s="67">
        <v>24.0</v>
      </c>
      <c r="AB29" s="68">
        <v>34.0</v>
      </c>
      <c r="AC29" s="59">
        <f t="shared" si="13"/>
        <v>58</v>
      </c>
      <c r="AD29" s="56" t="str">
        <f t="shared" si="14"/>
        <v>D</v>
      </c>
      <c r="AE29" s="67">
        <v>23.0</v>
      </c>
      <c r="AF29" s="68">
        <v>45.0</v>
      </c>
      <c r="AG29" s="59">
        <f t="shared" si="15"/>
        <v>68</v>
      </c>
      <c r="AH29" s="56" t="str">
        <f t="shared" si="16"/>
        <v>C</v>
      </c>
      <c r="AI29" s="67">
        <v>34.0</v>
      </c>
      <c r="AJ29" s="68">
        <v>49.0</v>
      </c>
      <c r="AK29" s="59">
        <f t="shared" si="17"/>
        <v>83</v>
      </c>
      <c r="AL29" s="56" t="str">
        <f t="shared" si="18"/>
        <v>A</v>
      </c>
      <c r="AM29" s="67">
        <v>29.0</v>
      </c>
      <c r="AN29" s="68">
        <v>50.0</v>
      </c>
      <c r="AO29" s="59">
        <f t="shared" si="19"/>
        <v>79</v>
      </c>
      <c r="AP29" s="56" t="str">
        <f t="shared" si="20"/>
        <v>B</v>
      </c>
      <c r="AQ29" s="59"/>
      <c r="AR29" s="57">
        <f t="shared" si="21"/>
        <v>68.9</v>
      </c>
      <c r="AS29" s="72">
        <f t="shared" si="22"/>
        <v>13</v>
      </c>
      <c r="AT29" s="134" t="s">
        <v>85</v>
      </c>
      <c r="AU29" s="134" t="s">
        <v>87</v>
      </c>
      <c r="AV29" s="134" t="s">
        <v>87</v>
      </c>
      <c r="AW29" s="134" t="s">
        <v>87</v>
      </c>
      <c r="AX29" s="134" t="s">
        <v>90</v>
      </c>
      <c r="AY29" s="135" t="s">
        <v>259</v>
      </c>
    </row>
    <row r="30" ht="41.25" customHeight="1">
      <c r="A30" s="42">
        <v>26.0</v>
      </c>
      <c r="B30" s="96"/>
      <c r="C30" s="56"/>
      <c r="D30" s="57"/>
      <c r="E30" s="56"/>
      <c r="F30" s="56"/>
      <c r="G30" s="56"/>
      <c r="H30" s="56"/>
      <c r="I30" s="56"/>
      <c r="J30" s="56"/>
      <c r="K30" s="56"/>
      <c r="L30" s="56"/>
      <c r="M30" s="56"/>
      <c r="N30" s="56"/>
      <c r="O30" s="56"/>
      <c r="P30" s="56"/>
      <c r="Q30" s="56"/>
      <c r="R30" s="56"/>
      <c r="S30" s="56"/>
      <c r="T30" s="56"/>
      <c r="U30" s="56"/>
      <c r="V30" s="56"/>
      <c r="W30" s="56"/>
      <c r="X30" s="56"/>
      <c r="Y30" s="56"/>
      <c r="Z30" s="56"/>
      <c r="AA30" s="58"/>
      <c r="AB30" s="59"/>
      <c r="AC30" s="59"/>
      <c r="AD30" s="56"/>
      <c r="AE30" s="58"/>
      <c r="AF30" s="59"/>
      <c r="AG30" s="59"/>
      <c r="AH30" s="56"/>
      <c r="AI30" s="58"/>
      <c r="AJ30" s="59"/>
      <c r="AK30" s="59"/>
      <c r="AL30" s="56"/>
      <c r="AM30" s="58"/>
      <c r="AN30" s="59"/>
      <c r="AO30" s="59"/>
      <c r="AP30" s="56"/>
      <c r="AQ30" s="59"/>
      <c r="AR30" s="57"/>
      <c r="AS30" s="72"/>
      <c r="AT30" s="42"/>
      <c r="AU30" s="42"/>
      <c r="AV30" s="42"/>
      <c r="AW30" s="42"/>
      <c r="AX30" s="42"/>
      <c r="AY30" s="96"/>
    </row>
    <row r="31" ht="41.25" customHeight="1">
      <c r="A31" s="42">
        <v>27.0</v>
      </c>
      <c r="B31" s="144"/>
      <c r="C31" s="56"/>
      <c r="D31" s="57"/>
      <c r="E31" s="56"/>
      <c r="F31" s="56"/>
      <c r="G31" s="56"/>
      <c r="H31" s="56"/>
      <c r="I31" s="56"/>
      <c r="J31" s="56"/>
      <c r="K31" s="56"/>
      <c r="L31" s="56"/>
      <c r="M31" s="56"/>
      <c r="N31" s="56"/>
      <c r="O31" s="56"/>
      <c r="P31" s="56"/>
      <c r="Q31" s="56"/>
      <c r="R31" s="56"/>
      <c r="S31" s="56"/>
      <c r="T31" s="56"/>
      <c r="U31" s="56"/>
      <c r="V31" s="56"/>
      <c r="W31" s="56"/>
      <c r="X31" s="56"/>
      <c r="Y31" s="56"/>
      <c r="Z31" s="56"/>
      <c r="AA31" s="145"/>
      <c r="AB31" s="71"/>
      <c r="AC31" s="71"/>
      <c r="AD31" s="56"/>
      <c r="AE31" s="145"/>
      <c r="AF31" s="71"/>
      <c r="AG31" s="71"/>
      <c r="AH31" s="56"/>
      <c r="AI31" s="145"/>
      <c r="AJ31" s="71"/>
      <c r="AK31" s="71"/>
      <c r="AL31" s="56"/>
      <c r="AM31" s="145"/>
      <c r="AN31" s="71"/>
      <c r="AO31" s="71"/>
      <c r="AP31" s="59"/>
      <c r="AQ31" s="59"/>
      <c r="AR31" s="57"/>
      <c r="AS31" s="72"/>
      <c r="AT31" s="42"/>
      <c r="AU31" s="42"/>
      <c r="AV31" s="42"/>
      <c r="AW31" s="42"/>
      <c r="AX31" s="42"/>
      <c r="AY31" s="96"/>
    </row>
    <row r="32" ht="41.25" customHeight="1">
      <c r="A32" s="40"/>
      <c r="B32" s="97"/>
      <c r="C32" s="98"/>
      <c r="D32" s="131"/>
      <c r="E32" s="38"/>
      <c r="F32" s="98"/>
      <c r="G32" s="39"/>
      <c r="H32" s="39"/>
      <c r="I32" s="39"/>
      <c r="J32" s="39"/>
      <c r="K32" s="39"/>
      <c r="L32" s="39"/>
      <c r="M32" s="39"/>
      <c r="N32" s="39"/>
      <c r="O32" s="39"/>
      <c r="P32" s="39"/>
      <c r="Q32" s="39"/>
      <c r="R32" s="39"/>
      <c r="S32" s="39"/>
      <c r="T32" s="39"/>
      <c r="U32" s="37"/>
      <c r="V32" s="37"/>
      <c r="W32" s="40"/>
      <c r="X32" s="40"/>
      <c r="Y32" s="40"/>
      <c r="Z32" s="99"/>
      <c r="AQ32" s="100"/>
      <c r="AR32" s="99"/>
      <c r="AS32" s="39"/>
      <c r="AT32" s="40"/>
      <c r="AU32" s="40"/>
      <c r="AV32" s="40"/>
      <c r="AW32" s="40"/>
      <c r="AX32" s="40"/>
      <c r="AY32" s="132"/>
    </row>
    <row r="33" ht="41.25" customHeight="1">
      <c r="C33" s="98"/>
      <c r="D33" s="131"/>
      <c r="E33" s="38"/>
      <c r="F33" s="98"/>
      <c r="G33" s="39"/>
      <c r="H33" s="39"/>
      <c r="I33" s="39"/>
      <c r="J33" s="39"/>
      <c r="K33" s="39"/>
      <c r="L33" s="39"/>
      <c r="M33" s="39"/>
      <c r="N33" s="39"/>
      <c r="O33" s="39"/>
      <c r="P33" s="39"/>
      <c r="Q33" s="39"/>
      <c r="R33" s="39"/>
      <c r="S33" s="39"/>
      <c r="T33" s="39"/>
      <c r="AR33" s="61"/>
      <c r="AY33" s="146"/>
    </row>
    <row r="34" ht="41.25" customHeight="1">
      <c r="B34" s="101" t="s">
        <v>33</v>
      </c>
      <c r="C34" s="102"/>
      <c r="D34" s="147"/>
      <c r="E34" s="33">
        <f>AVERAGE(E4:E29)</f>
        <v>50.48</v>
      </c>
      <c r="F34" s="104"/>
      <c r="G34" s="33"/>
      <c r="H34" s="105"/>
      <c r="I34" s="33">
        <f>AVERAGE(I5:I29)</f>
        <v>53.52</v>
      </c>
      <c r="J34" s="105"/>
      <c r="K34" s="33"/>
      <c r="L34" s="105"/>
      <c r="M34" s="33">
        <f>AVERAGE(M4:M29)</f>
        <v>61.48</v>
      </c>
      <c r="N34" s="105"/>
      <c r="O34" s="33"/>
      <c r="P34" s="105"/>
      <c r="Q34" s="33">
        <f>AVERAGE(Q4:Q29)</f>
        <v>63.48</v>
      </c>
      <c r="R34" s="105"/>
      <c r="S34" s="33"/>
      <c r="T34" s="105"/>
      <c r="U34" s="33">
        <f>AVERAGE(U4:U29)</f>
        <v>69.56</v>
      </c>
      <c r="V34" s="101"/>
      <c r="W34" s="33"/>
      <c r="X34" s="101"/>
      <c r="Y34" s="33">
        <f>AVERAGE(Y4:Y29)</f>
        <v>71.24</v>
      </c>
      <c r="Z34" s="101"/>
      <c r="AA34" s="101"/>
      <c r="AB34" s="101"/>
      <c r="AC34" s="33">
        <f>AVERAGE(AC4:AC29)</f>
        <v>61.8</v>
      </c>
      <c r="AD34" s="101"/>
      <c r="AE34" s="101"/>
      <c r="AF34" s="101"/>
      <c r="AG34" s="33">
        <f>AVERAGE(AG4:AG29)</f>
        <v>68.48</v>
      </c>
      <c r="AH34" s="101"/>
      <c r="AI34" s="101"/>
      <c r="AJ34" s="101"/>
      <c r="AK34" s="33">
        <f>AVERAGE(AK4:AK29)</f>
        <v>71.68</v>
      </c>
      <c r="AL34" s="101"/>
      <c r="AM34" s="101"/>
      <c r="AN34" s="101"/>
      <c r="AO34" s="33">
        <f>AVERAGE(AO4:AO29)</f>
        <v>67.744</v>
      </c>
      <c r="AP34" s="101"/>
      <c r="AQ34" s="101"/>
      <c r="AR34" s="106"/>
      <c r="AS34" s="101"/>
      <c r="AT34" s="101"/>
      <c r="AU34" s="101"/>
      <c r="AY34" s="146"/>
    </row>
    <row r="35" ht="41.25" customHeight="1">
      <c r="B35" s="101" t="s">
        <v>34</v>
      </c>
      <c r="C35" s="104"/>
      <c r="D35" s="147"/>
      <c r="E35" s="105">
        <f>COUNT(E4:E29)</f>
        <v>25</v>
      </c>
      <c r="F35" s="104"/>
      <c r="G35" s="105"/>
      <c r="H35" s="105"/>
      <c r="I35" s="105">
        <f>COUNT(I5:I29)</f>
        <v>25</v>
      </c>
      <c r="J35" s="105"/>
      <c r="K35" s="105"/>
      <c r="L35" s="105"/>
      <c r="M35" s="105">
        <f>COUNT(M4:M29)</f>
        <v>25</v>
      </c>
      <c r="N35" s="105"/>
      <c r="O35" s="105"/>
      <c r="P35" s="105"/>
      <c r="Q35" s="105">
        <f>COUNT(Q4:Q29)</f>
        <v>25</v>
      </c>
      <c r="R35" s="105"/>
      <c r="S35" s="105"/>
      <c r="T35" s="105"/>
      <c r="U35" s="105">
        <f>COUNT(U4:U29)</f>
        <v>25</v>
      </c>
      <c r="V35" s="101"/>
      <c r="W35" s="105"/>
      <c r="X35" s="101"/>
      <c r="Y35" s="105">
        <f>COUNT(Y4:Y29)</f>
        <v>25</v>
      </c>
      <c r="Z35" s="101"/>
      <c r="AA35" s="101"/>
      <c r="AB35" s="101"/>
      <c r="AC35" s="105">
        <f>COUNT(AC4:AC29)</f>
        <v>25</v>
      </c>
      <c r="AD35" s="101"/>
      <c r="AE35" s="101"/>
      <c r="AF35" s="101"/>
      <c r="AG35" s="105">
        <f>COUNT(AG4:AG29)</f>
        <v>25</v>
      </c>
      <c r="AH35" s="101"/>
      <c r="AI35" s="101"/>
      <c r="AJ35" s="101"/>
      <c r="AK35" s="105">
        <f>COUNT(AK4:AK29)</f>
        <v>25</v>
      </c>
      <c r="AL35" s="101"/>
      <c r="AM35" s="101"/>
      <c r="AN35" s="101"/>
      <c r="AO35" s="105">
        <f>COUNT(AO4:AO29)</f>
        <v>25</v>
      </c>
      <c r="AP35" s="101"/>
      <c r="AQ35" s="101"/>
      <c r="AR35" s="106"/>
      <c r="AS35" s="101"/>
      <c r="AT35" s="101"/>
      <c r="AU35" s="101"/>
      <c r="AY35" s="146"/>
    </row>
    <row r="36" ht="41.25" customHeight="1">
      <c r="B36" s="101" t="s">
        <v>35</v>
      </c>
      <c r="C36" s="104"/>
      <c r="D36" s="147"/>
      <c r="E36" s="105">
        <f>COUNTIF(E4:E29,"&gt;49")</f>
        <v>17</v>
      </c>
      <c r="F36" s="104"/>
      <c r="G36" s="105"/>
      <c r="H36" s="105"/>
      <c r="I36" s="105">
        <f>COUNTIF(I5:I29,"&gt;49")</f>
        <v>15</v>
      </c>
      <c r="J36" s="105"/>
      <c r="K36" s="105"/>
      <c r="L36" s="105"/>
      <c r="M36" s="105">
        <f>COUNTIF(M4:M29,"&gt;49")</f>
        <v>21</v>
      </c>
      <c r="N36" s="105"/>
      <c r="O36" s="105"/>
      <c r="P36" s="105"/>
      <c r="Q36" s="105">
        <f>COUNTIF(Q4:Q29,"&gt;49")</f>
        <v>21</v>
      </c>
      <c r="R36" s="105"/>
      <c r="S36" s="105"/>
      <c r="T36" s="105"/>
      <c r="U36" s="105">
        <f>COUNTIF(U4:U29,"&gt;49")</f>
        <v>22</v>
      </c>
      <c r="V36" s="101"/>
      <c r="W36" s="105"/>
      <c r="X36" s="101"/>
      <c r="Y36" s="105">
        <f>COUNTIF(Y4:Y29,"&gt;49")</f>
        <v>22</v>
      </c>
      <c r="Z36" s="101"/>
      <c r="AA36" s="101"/>
      <c r="AB36" s="101"/>
      <c r="AC36" s="105">
        <f>COUNTIF(AC4:AC29,"&gt;49")</f>
        <v>21</v>
      </c>
      <c r="AD36" s="101"/>
      <c r="AE36" s="101"/>
      <c r="AF36" s="101"/>
      <c r="AG36" s="105">
        <f>COUNTIF(AG4:AG29,"&gt;49")</f>
        <v>23</v>
      </c>
      <c r="AH36" s="101"/>
      <c r="AI36" s="101"/>
      <c r="AJ36" s="101"/>
      <c r="AK36" s="105">
        <f>COUNTIF(AK4:AK29,"&gt;49")</f>
        <v>23</v>
      </c>
      <c r="AL36" s="101"/>
      <c r="AM36" s="101"/>
      <c r="AN36" s="101"/>
      <c r="AO36" s="105">
        <f>COUNTIF(AO4:AO29,"&gt;49")</f>
        <v>24</v>
      </c>
      <c r="AP36" s="101"/>
      <c r="AQ36" s="101"/>
      <c r="AR36" s="106"/>
      <c r="AS36" s="101"/>
      <c r="AT36" s="101"/>
      <c r="AU36" s="101"/>
      <c r="AY36" s="146"/>
    </row>
    <row r="37" ht="41.25" customHeight="1">
      <c r="B37" s="101" t="s">
        <v>36</v>
      </c>
      <c r="C37" s="104"/>
      <c r="D37" s="147"/>
      <c r="E37" s="105">
        <f>COUNTIF(E4:E29,"&lt;50")</f>
        <v>8</v>
      </c>
      <c r="F37" s="104"/>
      <c r="G37" s="105"/>
      <c r="H37" s="105"/>
      <c r="I37" s="105">
        <f>COUNTIF(I5:I29,"&lt;50")</f>
        <v>10</v>
      </c>
      <c r="J37" s="105"/>
      <c r="K37" s="105"/>
      <c r="L37" s="105"/>
      <c r="M37" s="105">
        <f>COUNTIF(M4:M29,"&lt;50")</f>
        <v>4</v>
      </c>
      <c r="N37" s="105"/>
      <c r="O37" s="105"/>
      <c r="P37" s="105"/>
      <c r="Q37" s="105">
        <f>COUNTIF(Q4:Q29,"&lt;50")</f>
        <v>4</v>
      </c>
      <c r="R37" s="105"/>
      <c r="S37" s="105"/>
      <c r="T37" s="105"/>
      <c r="U37" s="105">
        <f>COUNTIF(U4:U29,"&lt;50")</f>
        <v>3</v>
      </c>
      <c r="V37" s="101"/>
      <c r="W37" s="105"/>
      <c r="X37" s="101"/>
      <c r="Y37" s="105">
        <f>COUNTIF(Y4:Y29,"&lt;50")</f>
        <v>3</v>
      </c>
      <c r="Z37" s="101"/>
      <c r="AA37" s="101"/>
      <c r="AB37" s="101"/>
      <c r="AC37" s="105">
        <f>COUNTIF(AC4:AC29,"&lt;50")</f>
        <v>4</v>
      </c>
      <c r="AD37" s="101"/>
      <c r="AE37" s="101"/>
      <c r="AF37" s="101"/>
      <c r="AG37" s="105">
        <f>COUNTIF(AG4:AG29,"&lt;50")</f>
        <v>2</v>
      </c>
      <c r="AH37" s="101"/>
      <c r="AI37" s="101"/>
      <c r="AJ37" s="101"/>
      <c r="AK37" s="105">
        <f>COUNTIF(AK4:AK29,"&lt;50")</f>
        <v>2</v>
      </c>
      <c r="AL37" s="101"/>
      <c r="AM37" s="101"/>
      <c r="AN37" s="101"/>
      <c r="AO37" s="105">
        <f>COUNTIF(AO4:AO29,"&lt;50")</f>
        <v>1</v>
      </c>
      <c r="AP37" s="101"/>
      <c r="AQ37" s="101"/>
      <c r="AR37" s="106"/>
      <c r="AS37" s="101"/>
      <c r="AT37" s="101"/>
      <c r="AU37" s="101"/>
      <c r="AY37" s="146"/>
    </row>
    <row r="38" ht="41.25" customHeight="1">
      <c r="B38" s="31" t="s">
        <v>37</v>
      </c>
      <c r="C38" s="107"/>
      <c r="D38" s="148"/>
      <c r="E38" s="32">
        <f>E36*100/E35</f>
        <v>68</v>
      </c>
      <c r="F38" s="109"/>
      <c r="G38" s="32"/>
      <c r="H38" s="110"/>
      <c r="I38" s="32">
        <f>I36*100/I35</f>
        <v>60</v>
      </c>
      <c r="J38" s="110"/>
      <c r="K38" s="32"/>
      <c r="L38" s="110"/>
      <c r="M38" s="32">
        <f>M36*100/M35</f>
        <v>84</v>
      </c>
      <c r="N38" s="110"/>
      <c r="O38" s="32"/>
      <c r="P38" s="110"/>
      <c r="Q38" s="32">
        <f>Q36*100/Q35</f>
        <v>84</v>
      </c>
      <c r="R38" s="110"/>
      <c r="S38" s="32"/>
      <c r="T38" s="110"/>
      <c r="U38" s="32">
        <f>U36*100/U35</f>
        <v>88</v>
      </c>
      <c r="V38" s="31"/>
      <c r="W38" s="32"/>
      <c r="X38" s="31"/>
      <c r="Y38" s="32">
        <f>Y36*100/Y35</f>
        <v>88</v>
      </c>
      <c r="Z38" s="31"/>
      <c r="AA38" s="31"/>
      <c r="AB38" s="31"/>
      <c r="AC38" s="32">
        <f>AC36*100/AC35</f>
        <v>84</v>
      </c>
      <c r="AD38" s="31"/>
      <c r="AE38" s="31"/>
      <c r="AF38" s="31"/>
      <c r="AG38" s="32">
        <f>AG36*100/AG35</f>
        <v>92</v>
      </c>
      <c r="AH38" s="31"/>
      <c r="AI38" s="31"/>
      <c r="AJ38" s="31"/>
      <c r="AK38" s="32">
        <f>AK36*100/AK35</f>
        <v>92</v>
      </c>
      <c r="AL38" s="31"/>
      <c r="AM38" s="31"/>
      <c r="AN38" s="31"/>
      <c r="AO38" s="32">
        <f>AO36*100/AO35</f>
        <v>96</v>
      </c>
      <c r="AP38" s="31"/>
      <c r="AQ38" s="31"/>
      <c r="AR38" s="111"/>
      <c r="AS38" s="31"/>
      <c r="AT38" s="31"/>
      <c r="AU38" s="31"/>
      <c r="AY38" s="146"/>
    </row>
    <row r="39" ht="41.25" customHeight="1">
      <c r="C39" s="98"/>
      <c r="D39" s="131"/>
      <c r="E39" s="38"/>
      <c r="F39" s="98"/>
      <c r="G39" s="39"/>
      <c r="H39" s="39"/>
      <c r="I39" s="39"/>
      <c r="J39" s="39"/>
      <c r="K39" s="39"/>
      <c r="L39" s="39"/>
      <c r="M39" s="39"/>
      <c r="N39" s="39"/>
      <c r="O39" s="39"/>
      <c r="P39" s="39"/>
      <c r="Q39" s="39"/>
      <c r="R39" s="39"/>
      <c r="S39" s="39"/>
      <c r="T39" s="39"/>
      <c r="AR39" s="61"/>
      <c r="AY39" s="146"/>
    </row>
    <row r="40" ht="41.25" customHeight="1">
      <c r="C40" s="98"/>
      <c r="D40" s="131"/>
      <c r="E40" s="38"/>
      <c r="F40" s="98"/>
      <c r="G40" s="39"/>
      <c r="H40" s="39"/>
      <c r="I40" s="39"/>
      <c r="J40" s="39"/>
      <c r="K40" s="39"/>
      <c r="L40" s="39"/>
      <c r="M40" s="39"/>
      <c r="N40" s="39"/>
      <c r="O40" s="39"/>
      <c r="P40" s="39"/>
      <c r="Q40" s="39"/>
      <c r="R40" s="39"/>
      <c r="S40" s="39"/>
      <c r="T40" s="39"/>
      <c r="AR40" s="61"/>
      <c r="AY40" s="146"/>
    </row>
    <row r="41" ht="41.25" customHeight="1">
      <c r="C41" s="98"/>
      <c r="D41" s="131"/>
      <c r="E41" s="38"/>
      <c r="F41" s="98"/>
      <c r="G41" s="39"/>
      <c r="H41" s="39"/>
      <c r="I41" s="39"/>
      <c r="J41" s="39"/>
      <c r="K41" s="39"/>
      <c r="L41" s="39"/>
      <c r="M41" s="39"/>
      <c r="N41" s="39"/>
      <c r="O41" s="39"/>
      <c r="P41" s="39"/>
      <c r="Q41" s="39"/>
      <c r="R41" s="39"/>
      <c r="S41" s="39"/>
      <c r="T41" s="39"/>
      <c r="AR41" s="61"/>
      <c r="AY41" s="146"/>
    </row>
    <row r="42" ht="41.25" customHeight="1">
      <c r="A42" s="26" t="s">
        <v>139</v>
      </c>
      <c r="B42" s="26">
        <v>0.0</v>
      </c>
      <c r="C42" s="113" t="s">
        <v>140</v>
      </c>
      <c r="D42" s="131"/>
      <c r="E42" s="38"/>
      <c r="F42" s="98"/>
      <c r="G42" s="39"/>
      <c r="H42" s="39"/>
      <c r="I42" s="39"/>
      <c r="J42" s="39"/>
      <c r="K42" s="39"/>
      <c r="L42" s="39"/>
      <c r="M42" s="39"/>
      <c r="N42" s="39"/>
      <c r="O42" s="39"/>
      <c r="P42" s="39"/>
      <c r="Q42" s="39"/>
      <c r="R42" s="39"/>
      <c r="S42" s="39"/>
      <c r="T42" s="39"/>
      <c r="AR42" s="61"/>
      <c r="AY42" s="146"/>
    </row>
    <row r="43" ht="41.25" customHeight="1">
      <c r="A43" s="26" t="s">
        <v>141</v>
      </c>
      <c r="B43" s="26">
        <v>20.0</v>
      </c>
      <c r="C43" s="113" t="s">
        <v>142</v>
      </c>
      <c r="D43" s="131"/>
      <c r="E43" s="38"/>
      <c r="F43" s="98"/>
      <c r="G43" s="39"/>
      <c r="H43" s="39"/>
      <c r="I43" s="39"/>
      <c r="J43" s="39"/>
      <c r="K43" s="39"/>
      <c r="L43" s="39"/>
      <c r="M43" s="39"/>
      <c r="N43" s="39"/>
      <c r="O43" s="39"/>
      <c r="P43" s="39"/>
      <c r="Q43" s="39"/>
      <c r="R43" s="39"/>
      <c r="S43" s="39"/>
      <c r="T43" s="39"/>
      <c r="AR43" s="61"/>
      <c r="AY43" s="146"/>
    </row>
    <row r="44" ht="41.25" customHeight="1">
      <c r="A44" s="114" t="s">
        <v>143</v>
      </c>
      <c r="B44" s="115">
        <v>30.0</v>
      </c>
      <c r="C44" s="114" t="s">
        <v>144</v>
      </c>
      <c r="D44" s="131"/>
      <c r="E44" s="38"/>
      <c r="F44" s="98"/>
      <c r="G44" s="39"/>
      <c r="H44" s="39"/>
      <c r="I44" s="39"/>
      <c r="J44" s="39"/>
      <c r="K44" s="39"/>
      <c r="L44" s="39"/>
      <c r="M44" s="39"/>
      <c r="N44" s="39"/>
      <c r="O44" s="39"/>
      <c r="P44" s="39"/>
      <c r="Q44" s="39"/>
      <c r="R44" s="39"/>
      <c r="S44" s="39"/>
      <c r="T44" s="39"/>
      <c r="AR44" s="61"/>
      <c r="AY44" s="146"/>
    </row>
    <row r="45" ht="41.25" customHeight="1">
      <c r="A45" s="114" t="s">
        <v>145</v>
      </c>
      <c r="B45" s="115">
        <v>40.0</v>
      </c>
      <c r="C45" s="114" t="s">
        <v>146</v>
      </c>
      <c r="D45" s="131"/>
      <c r="E45" s="38"/>
      <c r="F45" s="98"/>
      <c r="G45" s="39"/>
      <c r="H45" s="39"/>
      <c r="I45" s="39"/>
      <c r="J45" s="39"/>
      <c r="K45" s="39"/>
      <c r="L45" s="39"/>
      <c r="M45" s="39"/>
      <c r="N45" s="39"/>
      <c r="O45" s="39"/>
      <c r="P45" s="39"/>
      <c r="Q45" s="39"/>
      <c r="R45" s="39"/>
      <c r="S45" s="39"/>
      <c r="T45" s="39"/>
      <c r="AR45" s="61"/>
      <c r="AY45" s="146"/>
    </row>
    <row r="46" ht="41.25" customHeight="1">
      <c r="A46" s="114" t="s">
        <v>147</v>
      </c>
      <c r="B46" s="115">
        <v>50.0</v>
      </c>
      <c r="C46" s="114" t="s">
        <v>93</v>
      </c>
      <c r="D46" s="131"/>
      <c r="E46" s="38"/>
      <c r="F46" s="98"/>
      <c r="G46" s="39"/>
      <c r="H46" s="39"/>
      <c r="I46" s="39"/>
      <c r="J46" s="39"/>
      <c r="K46" s="39"/>
      <c r="L46" s="39"/>
      <c r="M46" s="39"/>
      <c r="N46" s="39"/>
      <c r="O46" s="39"/>
      <c r="P46" s="39"/>
      <c r="Q46" s="39"/>
      <c r="R46" s="39"/>
      <c r="S46" s="39"/>
      <c r="T46" s="39"/>
      <c r="AR46" s="61"/>
      <c r="AY46" s="146"/>
    </row>
    <row r="47" ht="41.25" customHeight="1">
      <c r="A47" s="114" t="s">
        <v>148</v>
      </c>
      <c r="B47" s="115">
        <v>60.0</v>
      </c>
      <c r="C47" s="114" t="s">
        <v>90</v>
      </c>
      <c r="D47" s="131"/>
      <c r="E47" s="38"/>
      <c r="F47" s="98"/>
      <c r="G47" s="39"/>
      <c r="H47" s="39"/>
      <c r="I47" s="39"/>
      <c r="J47" s="39"/>
      <c r="K47" s="39"/>
      <c r="L47" s="39"/>
      <c r="M47" s="39"/>
      <c r="N47" s="39"/>
      <c r="O47" s="39"/>
      <c r="P47" s="39"/>
      <c r="Q47" s="39"/>
      <c r="R47" s="39"/>
      <c r="S47" s="39"/>
      <c r="T47" s="39"/>
      <c r="AR47" s="61"/>
      <c r="AY47" s="146"/>
    </row>
    <row r="48" ht="41.25" customHeight="1">
      <c r="A48" s="114" t="s">
        <v>149</v>
      </c>
      <c r="B48" s="115">
        <v>70.0</v>
      </c>
      <c r="C48" s="114" t="s">
        <v>87</v>
      </c>
      <c r="D48" s="131"/>
      <c r="E48" s="38"/>
      <c r="F48" s="98"/>
      <c r="G48" s="39"/>
      <c r="H48" s="39"/>
      <c r="I48" s="39"/>
      <c r="J48" s="39"/>
      <c r="K48" s="39"/>
      <c r="L48" s="39"/>
      <c r="M48" s="39"/>
      <c r="N48" s="39"/>
      <c r="O48" s="39"/>
      <c r="P48" s="39"/>
      <c r="Q48" s="39"/>
      <c r="R48" s="39"/>
      <c r="S48" s="39"/>
      <c r="T48" s="39"/>
      <c r="AR48" s="61"/>
      <c r="AY48" s="146"/>
    </row>
    <row r="49" ht="41.25" customHeight="1">
      <c r="A49" s="116" t="s">
        <v>150</v>
      </c>
      <c r="B49" s="117">
        <v>80.0</v>
      </c>
      <c r="C49" s="116" t="s">
        <v>85</v>
      </c>
      <c r="D49" s="131"/>
      <c r="E49" s="38"/>
      <c r="F49" s="98"/>
      <c r="G49" s="39"/>
      <c r="H49" s="39"/>
      <c r="I49" s="39"/>
      <c r="J49" s="39"/>
      <c r="K49" s="39"/>
      <c r="L49" s="39"/>
      <c r="M49" s="39"/>
      <c r="N49" s="39"/>
      <c r="O49" s="39"/>
      <c r="P49" s="39"/>
      <c r="Q49" s="39"/>
      <c r="R49" s="39"/>
      <c r="S49" s="39"/>
      <c r="T49" s="39"/>
      <c r="AR49" s="61"/>
      <c r="AY49" s="146"/>
    </row>
    <row r="50" ht="41.25" customHeight="1">
      <c r="A50" s="116" t="s">
        <v>151</v>
      </c>
      <c r="B50" s="117">
        <v>90.0</v>
      </c>
      <c r="C50" s="116" t="s">
        <v>152</v>
      </c>
      <c r="D50" s="131"/>
      <c r="E50" s="38"/>
      <c r="F50" s="98"/>
      <c r="G50" s="39"/>
      <c r="H50" s="39"/>
      <c r="I50" s="39"/>
      <c r="J50" s="39"/>
      <c r="K50" s="39"/>
      <c r="L50" s="39"/>
      <c r="M50" s="39"/>
      <c r="N50" s="39"/>
      <c r="O50" s="39"/>
      <c r="P50" s="39"/>
      <c r="Q50" s="39"/>
      <c r="R50" s="39"/>
      <c r="S50" s="39"/>
      <c r="T50" s="39"/>
      <c r="AR50" s="61"/>
      <c r="AY50" s="146"/>
    </row>
    <row r="51" ht="41.25" customHeight="1">
      <c r="C51" s="98"/>
      <c r="D51" s="131"/>
      <c r="E51" s="38"/>
      <c r="F51" s="98"/>
      <c r="G51" s="39"/>
      <c r="H51" s="39"/>
      <c r="I51" s="39"/>
      <c r="J51" s="39"/>
      <c r="K51" s="39"/>
      <c r="L51" s="39"/>
      <c r="M51" s="39"/>
      <c r="N51" s="39"/>
      <c r="O51" s="39"/>
      <c r="P51" s="39"/>
      <c r="Q51" s="39"/>
      <c r="R51" s="39"/>
      <c r="S51" s="39"/>
      <c r="T51" s="39"/>
      <c r="AR51" s="61"/>
      <c r="AY51" s="146"/>
    </row>
    <row r="52" ht="41.25" customHeight="1">
      <c r="C52" s="98"/>
      <c r="D52" s="131"/>
      <c r="E52" s="38"/>
      <c r="F52" s="98"/>
      <c r="G52" s="39"/>
      <c r="H52" s="39"/>
      <c r="I52" s="39"/>
      <c r="J52" s="39"/>
      <c r="K52" s="39"/>
      <c r="L52" s="39"/>
      <c r="M52" s="39"/>
      <c r="N52" s="39"/>
      <c r="O52" s="39"/>
      <c r="P52" s="39"/>
      <c r="Q52" s="39"/>
      <c r="R52" s="39"/>
      <c r="S52" s="39"/>
      <c r="T52" s="39"/>
      <c r="AR52" s="61"/>
      <c r="AY52" s="146"/>
    </row>
    <row r="53" ht="41.25" customHeight="1">
      <c r="C53" s="98"/>
      <c r="D53" s="131"/>
      <c r="E53" s="38"/>
      <c r="F53" s="98"/>
      <c r="G53" s="39"/>
      <c r="H53" s="39"/>
      <c r="I53" s="39"/>
      <c r="J53" s="39"/>
      <c r="K53" s="39"/>
      <c r="L53" s="39"/>
      <c r="M53" s="39"/>
      <c r="N53" s="39"/>
      <c r="O53" s="39"/>
      <c r="P53" s="39"/>
      <c r="Q53" s="39"/>
      <c r="R53" s="39"/>
      <c r="S53" s="39"/>
      <c r="T53" s="39"/>
      <c r="AR53" s="61"/>
      <c r="AY53" s="146"/>
    </row>
    <row r="54" ht="41.25" customHeight="1">
      <c r="C54" s="98"/>
      <c r="D54" s="131"/>
      <c r="E54" s="38"/>
      <c r="F54" s="98"/>
      <c r="G54" s="39"/>
      <c r="H54" s="39"/>
      <c r="I54" s="39"/>
      <c r="J54" s="39"/>
      <c r="K54" s="39"/>
      <c r="L54" s="39"/>
      <c r="M54" s="39"/>
      <c r="N54" s="39"/>
      <c r="O54" s="39"/>
      <c r="P54" s="39"/>
      <c r="Q54" s="39"/>
      <c r="R54" s="39"/>
      <c r="S54" s="39"/>
      <c r="T54" s="39"/>
      <c r="AR54" s="61"/>
      <c r="AY54" s="146"/>
    </row>
    <row r="55" ht="41.25" customHeight="1">
      <c r="C55" s="98"/>
      <c r="D55" s="131"/>
      <c r="E55" s="38"/>
      <c r="F55" s="98"/>
      <c r="G55" s="39"/>
      <c r="H55" s="39"/>
      <c r="I55" s="39"/>
      <c r="J55" s="39"/>
      <c r="K55" s="39"/>
      <c r="L55" s="39"/>
      <c r="M55" s="39"/>
      <c r="N55" s="39"/>
      <c r="O55" s="39"/>
      <c r="P55" s="39"/>
      <c r="Q55" s="39"/>
      <c r="R55" s="39"/>
      <c r="S55" s="39"/>
      <c r="T55" s="39"/>
      <c r="AR55" s="61"/>
      <c r="AY55" s="146"/>
    </row>
    <row r="56" ht="41.25" customHeight="1">
      <c r="C56" s="98"/>
      <c r="D56" s="131"/>
      <c r="E56" s="38"/>
      <c r="F56" s="98"/>
      <c r="G56" s="39"/>
      <c r="H56" s="39"/>
      <c r="I56" s="39"/>
      <c r="J56" s="39"/>
      <c r="K56" s="39"/>
      <c r="L56" s="39"/>
      <c r="M56" s="39"/>
      <c r="N56" s="39"/>
      <c r="O56" s="39"/>
      <c r="P56" s="39"/>
      <c r="Q56" s="39"/>
      <c r="R56" s="39"/>
      <c r="S56" s="39"/>
      <c r="T56" s="39"/>
      <c r="AR56" s="61"/>
      <c r="AY56" s="146"/>
    </row>
    <row r="57" ht="41.25" customHeight="1">
      <c r="C57" s="98"/>
      <c r="D57" s="131"/>
      <c r="E57" s="38"/>
      <c r="F57" s="98"/>
      <c r="G57" s="39"/>
      <c r="H57" s="39"/>
      <c r="I57" s="39"/>
      <c r="J57" s="39"/>
      <c r="K57" s="39"/>
      <c r="L57" s="39"/>
      <c r="M57" s="39"/>
      <c r="N57" s="39"/>
      <c r="O57" s="39"/>
      <c r="P57" s="39"/>
      <c r="Q57" s="39"/>
      <c r="R57" s="39"/>
      <c r="S57" s="39"/>
      <c r="T57" s="39"/>
      <c r="AR57" s="61"/>
      <c r="AY57" s="146"/>
    </row>
    <row r="58" ht="41.25" customHeight="1">
      <c r="C58" s="98"/>
      <c r="D58" s="131"/>
      <c r="E58" s="38"/>
      <c r="F58" s="98"/>
      <c r="G58" s="39"/>
      <c r="H58" s="39"/>
      <c r="I58" s="39"/>
      <c r="J58" s="39"/>
      <c r="K58" s="39"/>
      <c r="L58" s="39"/>
      <c r="M58" s="39"/>
      <c r="N58" s="39"/>
      <c r="O58" s="39"/>
      <c r="P58" s="39"/>
      <c r="Q58" s="39"/>
      <c r="R58" s="39"/>
      <c r="S58" s="39"/>
      <c r="T58" s="39"/>
      <c r="AR58" s="61"/>
      <c r="AY58" s="146"/>
    </row>
    <row r="59" ht="41.25" customHeight="1">
      <c r="C59" s="98"/>
      <c r="D59" s="131"/>
      <c r="E59" s="38"/>
      <c r="F59" s="98"/>
      <c r="G59" s="39"/>
      <c r="H59" s="39"/>
      <c r="I59" s="39"/>
      <c r="J59" s="39"/>
      <c r="K59" s="39"/>
      <c r="L59" s="39"/>
      <c r="M59" s="39"/>
      <c r="N59" s="39"/>
      <c r="O59" s="39"/>
      <c r="P59" s="39"/>
      <c r="Q59" s="39"/>
      <c r="R59" s="39"/>
      <c r="S59" s="39"/>
      <c r="T59" s="39"/>
      <c r="AR59" s="61"/>
      <c r="AY59" s="146"/>
    </row>
    <row r="60" ht="41.25" customHeight="1">
      <c r="C60" s="98"/>
      <c r="D60" s="131"/>
      <c r="E60" s="38"/>
      <c r="F60" s="98"/>
      <c r="G60" s="39"/>
      <c r="H60" s="39"/>
      <c r="I60" s="39"/>
      <c r="J60" s="39"/>
      <c r="K60" s="39"/>
      <c r="L60" s="39"/>
      <c r="M60" s="39"/>
      <c r="N60" s="39"/>
      <c r="O60" s="39"/>
      <c r="P60" s="39"/>
      <c r="Q60" s="39"/>
      <c r="R60" s="39"/>
      <c r="S60" s="39"/>
      <c r="T60" s="39"/>
      <c r="AR60" s="61"/>
      <c r="AY60" s="146"/>
    </row>
    <row r="61" ht="41.25" customHeight="1">
      <c r="C61" s="98"/>
      <c r="D61" s="131"/>
      <c r="E61" s="38"/>
      <c r="F61" s="98"/>
      <c r="G61" s="39"/>
      <c r="H61" s="39"/>
      <c r="I61" s="39"/>
      <c r="J61" s="39"/>
      <c r="K61" s="39"/>
      <c r="L61" s="39"/>
      <c r="M61" s="39"/>
      <c r="N61" s="39"/>
      <c r="O61" s="39"/>
      <c r="P61" s="39"/>
      <c r="Q61" s="39"/>
      <c r="R61" s="39"/>
      <c r="S61" s="39"/>
      <c r="T61" s="39"/>
      <c r="AR61" s="61"/>
      <c r="AY61" s="146"/>
    </row>
    <row r="62" ht="41.25" customHeight="1">
      <c r="C62" s="98"/>
      <c r="D62" s="131"/>
      <c r="E62" s="38"/>
      <c r="F62" s="98"/>
      <c r="G62" s="39"/>
      <c r="H62" s="39"/>
      <c r="I62" s="39"/>
      <c r="J62" s="39"/>
      <c r="K62" s="39"/>
      <c r="L62" s="39"/>
      <c r="M62" s="39"/>
      <c r="N62" s="39"/>
      <c r="O62" s="39"/>
      <c r="P62" s="39"/>
      <c r="Q62" s="39"/>
      <c r="R62" s="39"/>
      <c r="S62" s="39"/>
      <c r="T62" s="39"/>
      <c r="AR62" s="61"/>
      <c r="AY62" s="146"/>
    </row>
    <row r="63" ht="41.25" customHeight="1">
      <c r="C63" s="98"/>
      <c r="D63" s="131"/>
      <c r="E63" s="38"/>
      <c r="F63" s="98"/>
      <c r="G63" s="39"/>
      <c r="H63" s="39"/>
      <c r="I63" s="39"/>
      <c r="J63" s="39"/>
      <c r="K63" s="39"/>
      <c r="L63" s="39"/>
      <c r="M63" s="39"/>
      <c r="N63" s="39"/>
      <c r="O63" s="39"/>
      <c r="P63" s="39"/>
      <c r="Q63" s="39"/>
      <c r="R63" s="39"/>
      <c r="S63" s="39"/>
      <c r="T63" s="39"/>
      <c r="AR63" s="61"/>
      <c r="AY63" s="146"/>
    </row>
    <row r="64" ht="41.25" customHeight="1">
      <c r="C64" s="98"/>
      <c r="D64" s="131"/>
      <c r="E64" s="38"/>
      <c r="F64" s="98"/>
      <c r="G64" s="39"/>
      <c r="H64" s="39"/>
      <c r="I64" s="39"/>
      <c r="J64" s="39"/>
      <c r="K64" s="39"/>
      <c r="L64" s="39"/>
      <c r="M64" s="39"/>
      <c r="N64" s="39"/>
      <c r="O64" s="39"/>
      <c r="P64" s="39"/>
      <c r="Q64" s="39"/>
      <c r="R64" s="39"/>
      <c r="S64" s="39"/>
      <c r="T64" s="39"/>
      <c r="AR64" s="61"/>
      <c r="AY64" s="146"/>
    </row>
    <row r="65" ht="41.25" customHeight="1">
      <c r="C65" s="98"/>
      <c r="D65" s="131"/>
      <c r="E65" s="38"/>
      <c r="F65" s="98"/>
      <c r="G65" s="39"/>
      <c r="H65" s="39"/>
      <c r="I65" s="39"/>
      <c r="J65" s="39"/>
      <c r="K65" s="39"/>
      <c r="L65" s="39"/>
      <c r="M65" s="39"/>
      <c r="N65" s="39"/>
      <c r="O65" s="39"/>
      <c r="P65" s="39"/>
      <c r="Q65" s="39"/>
      <c r="R65" s="39"/>
      <c r="S65" s="39"/>
      <c r="T65" s="39"/>
      <c r="AR65" s="61"/>
      <c r="AY65" s="146"/>
    </row>
    <row r="66" ht="41.25" customHeight="1">
      <c r="C66" s="98"/>
      <c r="D66" s="131"/>
      <c r="E66" s="38"/>
      <c r="F66" s="98"/>
      <c r="G66" s="39"/>
      <c r="H66" s="39"/>
      <c r="I66" s="39"/>
      <c r="J66" s="39"/>
      <c r="K66" s="39"/>
      <c r="L66" s="39"/>
      <c r="M66" s="39"/>
      <c r="N66" s="39"/>
      <c r="O66" s="39"/>
      <c r="P66" s="39"/>
      <c r="Q66" s="39"/>
      <c r="R66" s="39"/>
      <c r="S66" s="39"/>
      <c r="T66" s="39"/>
      <c r="AR66" s="61"/>
      <c r="AY66" s="146"/>
    </row>
    <row r="67" ht="41.25" customHeight="1">
      <c r="C67" s="98"/>
      <c r="D67" s="131"/>
      <c r="E67" s="38"/>
      <c r="F67" s="98"/>
      <c r="G67" s="39"/>
      <c r="H67" s="39"/>
      <c r="I67" s="39"/>
      <c r="J67" s="39"/>
      <c r="K67" s="39"/>
      <c r="L67" s="39"/>
      <c r="M67" s="39"/>
      <c r="N67" s="39"/>
      <c r="O67" s="39"/>
      <c r="P67" s="39"/>
      <c r="Q67" s="39"/>
      <c r="R67" s="39"/>
      <c r="S67" s="39"/>
      <c r="T67" s="39"/>
      <c r="AR67" s="61"/>
      <c r="AY67" s="146"/>
    </row>
    <row r="68" ht="41.25" customHeight="1">
      <c r="C68" s="98"/>
      <c r="D68" s="131"/>
      <c r="E68" s="38"/>
      <c r="F68" s="98"/>
      <c r="G68" s="39"/>
      <c r="H68" s="39"/>
      <c r="I68" s="39"/>
      <c r="J68" s="39"/>
      <c r="K68" s="39"/>
      <c r="L68" s="39"/>
      <c r="M68" s="39"/>
      <c r="N68" s="39"/>
      <c r="O68" s="39"/>
      <c r="P68" s="39"/>
      <c r="Q68" s="39"/>
      <c r="R68" s="39"/>
      <c r="S68" s="39"/>
      <c r="T68" s="39"/>
      <c r="AR68" s="61"/>
      <c r="AY68" s="146"/>
    </row>
    <row r="69" ht="41.25" customHeight="1">
      <c r="C69" s="98"/>
      <c r="D69" s="131"/>
      <c r="E69" s="38"/>
      <c r="F69" s="98"/>
      <c r="G69" s="39"/>
      <c r="H69" s="39"/>
      <c r="I69" s="39"/>
      <c r="J69" s="39"/>
      <c r="K69" s="39"/>
      <c r="L69" s="39"/>
      <c r="M69" s="39"/>
      <c r="N69" s="39"/>
      <c r="O69" s="39"/>
      <c r="P69" s="39"/>
      <c r="Q69" s="39"/>
      <c r="R69" s="39"/>
      <c r="S69" s="39"/>
      <c r="T69" s="39"/>
      <c r="AR69" s="61"/>
      <c r="AY69" s="146"/>
    </row>
    <row r="70" ht="41.25" customHeight="1">
      <c r="C70" s="98"/>
      <c r="D70" s="131"/>
      <c r="E70" s="38"/>
      <c r="F70" s="98"/>
      <c r="G70" s="39"/>
      <c r="H70" s="39"/>
      <c r="I70" s="39"/>
      <c r="J70" s="39"/>
      <c r="K70" s="39"/>
      <c r="L70" s="39"/>
      <c r="M70" s="39"/>
      <c r="N70" s="39"/>
      <c r="O70" s="39"/>
      <c r="P70" s="39"/>
      <c r="Q70" s="39"/>
      <c r="R70" s="39"/>
      <c r="S70" s="39"/>
      <c r="T70" s="39"/>
      <c r="AR70" s="61"/>
      <c r="AY70" s="146"/>
    </row>
    <row r="71" ht="41.25" customHeight="1">
      <c r="C71" s="98"/>
      <c r="D71" s="131"/>
      <c r="E71" s="38"/>
      <c r="F71" s="98"/>
      <c r="G71" s="39"/>
      <c r="H71" s="39"/>
      <c r="I71" s="39"/>
      <c r="J71" s="39"/>
      <c r="K71" s="39"/>
      <c r="L71" s="39"/>
      <c r="M71" s="39"/>
      <c r="N71" s="39"/>
      <c r="O71" s="39"/>
      <c r="P71" s="39"/>
      <c r="Q71" s="39"/>
      <c r="R71" s="39"/>
      <c r="S71" s="39"/>
      <c r="T71" s="39"/>
      <c r="AR71" s="61"/>
      <c r="AY71" s="146"/>
    </row>
    <row r="72" ht="41.25" customHeight="1">
      <c r="C72" s="98"/>
      <c r="D72" s="131"/>
      <c r="E72" s="38"/>
      <c r="F72" s="98"/>
      <c r="G72" s="39"/>
      <c r="H72" s="39"/>
      <c r="I72" s="39"/>
      <c r="J72" s="39"/>
      <c r="K72" s="39"/>
      <c r="L72" s="39"/>
      <c r="M72" s="39"/>
      <c r="N72" s="39"/>
      <c r="O72" s="39"/>
      <c r="P72" s="39"/>
      <c r="Q72" s="39"/>
      <c r="R72" s="39"/>
      <c r="S72" s="39"/>
      <c r="T72" s="39"/>
      <c r="AR72" s="61"/>
      <c r="AY72" s="146"/>
    </row>
    <row r="73" ht="41.25" customHeight="1">
      <c r="C73" s="98"/>
      <c r="D73" s="131"/>
      <c r="E73" s="38"/>
      <c r="F73" s="98"/>
      <c r="G73" s="39"/>
      <c r="H73" s="39"/>
      <c r="I73" s="39"/>
      <c r="J73" s="39"/>
      <c r="K73" s="39"/>
      <c r="L73" s="39"/>
      <c r="M73" s="39"/>
      <c r="N73" s="39"/>
      <c r="O73" s="39"/>
      <c r="P73" s="39"/>
      <c r="Q73" s="39"/>
      <c r="R73" s="39"/>
      <c r="S73" s="39"/>
      <c r="T73" s="39"/>
      <c r="AR73" s="61"/>
      <c r="AY73" s="146"/>
    </row>
    <row r="74" ht="41.25" customHeight="1">
      <c r="C74" s="98"/>
      <c r="D74" s="131"/>
      <c r="E74" s="38"/>
      <c r="F74" s="98"/>
      <c r="G74" s="39"/>
      <c r="H74" s="39"/>
      <c r="I74" s="39"/>
      <c r="J74" s="39"/>
      <c r="K74" s="39"/>
      <c r="L74" s="39"/>
      <c r="M74" s="39"/>
      <c r="N74" s="39"/>
      <c r="O74" s="39"/>
      <c r="P74" s="39"/>
      <c r="Q74" s="39"/>
      <c r="R74" s="39"/>
      <c r="S74" s="39"/>
      <c r="T74" s="39"/>
      <c r="AR74" s="61"/>
      <c r="AY74" s="146"/>
    </row>
    <row r="75" ht="41.25" customHeight="1">
      <c r="C75" s="98"/>
      <c r="D75" s="131"/>
      <c r="E75" s="38"/>
      <c r="F75" s="98"/>
      <c r="G75" s="39"/>
      <c r="H75" s="39"/>
      <c r="I75" s="39"/>
      <c r="J75" s="39"/>
      <c r="K75" s="39"/>
      <c r="L75" s="39"/>
      <c r="M75" s="39"/>
      <c r="N75" s="39"/>
      <c r="O75" s="39"/>
      <c r="P75" s="39"/>
      <c r="Q75" s="39"/>
      <c r="R75" s="39"/>
      <c r="S75" s="39"/>
      <c r="T75" s="39"/>
      <c r="AR75" s="61"/>
      <c r="AY75" s="146"/>
    </row>
    <row r="76" ht="41.25" customHeight="1">
      <c r="C76" s="98"/>
      <c r="D76" s="131"/>
      <c r="E76" s="38"/>
      <c r="F76" s="98"/>
      <c r="G76" s="39"/>
      <c r="H76" s="39"/>
      <c r="I76" s="39"/>
      <c r="J76" s="39"/>
      <c r="K76" s="39"/>
      <c r="L76" s="39"/>
      <c r="M76" s="39"/>
      <c r="N76" s="39"/>
      <c r="O76" s="39"/>
      <c r="P76" s="39"/>
      <c r="Q76" s="39"/>
      <c r="R76" s="39"/>
      <c r="S76" s="39"/>
      <c r="T76" s="39"/>
      <c r="AR76" s="61"/>
      <c r="AY76" s="146"/>
    </row>
    <row r="77" ht="41.25" customHeight="1">
      <c r="C77" s="98"/>
      <c r="D77" s="131"/>
      <c r="E77" s="38"/>
      <c r="F77" s="98"/>
      <c r="G77" s="39"/>
      <c r="H77" s="39"/>
      <c r="I77" s="39"/>
      <c r="J77" s="39"/>
      <c r="K77" s="39"/>
      <c r="L77" s="39"/>
      <c r="M77" s="39"/>
      <c r="N77" s="39"/>
      <c r="O77" s="39"/>
      <c r="P77" s="39"/>
      <c r="Q77" s="39"/>
      <c r="R77" s="39"/>
      <c r="S77" s="39"/>
      <c r="T77" s="39"/>
      <c r="AR77" s="61"/>
      <c r="AY77" s="146"/>
    </row>
    <row r="78" ht="41.25" customHeight="1">
      <c r="C78" s="98"/>
      <c r="D78" s="131"/>
      <c r="E78" s="38"/>
      <c r="F78" s="98"/>
      <c r="G78" s="39"/>
      <c r="H78" s="39"/>
      <c r="I78" s="39"/>
      <c r="J78" s="39"/>
      <c r="K78" s="39"/>
      <c r="L78" s="39"/>
      <c r="M78" s="39"/>
      <c r="N78" s="39"/>
      <c r="O78" s="39"/>
      <c r="P78" s="39"/>
      <c r="Q78" s="39"/>
      <c r="R78" s="39"/>
      <c r="S78" s="39"/>
      <c r="T78" s="39"/>
      <c r="AR78" s="61"/>
      <c r="AY78" s="146"/>
    </row>
    <row r="79" ht="41.25" customHeight="1">
      <c r="C79" s="98"/>
      <c r="D79" s="131"/>
      <c r="E79" s="38"/>
      <c r="F79" s="98"/>
      <c r="G79" s="39"/>
      <c r="H79" s="39"/>
      <c r="I79" s="39"/>
      <c r="J79" s="39"/>
      <c r="K79" s="39"/>
      <c r="L79" s="39"/>
      <c r="M79" s="39"/>
      <c r="N79" s="39"/>
      <c r="O79" s="39"/>
      <c r="P79" s="39"/>
      <c r="Q79" s="39"/>
      <c r="R79" s="39"/>
      <c r="S79" s="39"/>
      <c r="T79" s="39"/>
      <c r="AR79" s="61"/>
      <c r="AY79" s="146"/>
    </row>
    <row r="80" ht="41.25" customHeight="1">
      <c r="C80" s="98"/>
      <c r="D80" s="131"/>
      <c r="E80" s="38"/>
      <c r="F80" s="98"/>
      <c r="G80" s="39"/>
      <c r="H80" s="39"/>
      <c r="I80" s="39"/>
      <c r="J80" s="39"/>
      <c r="K80" s="39"/>
      <c r="L80" s="39"/>
      <c r="M80" s="39"/>
      <c r="N80" s="39"/>
      <c r="O80" s="39"/>
      <c r="P80" s="39"/>
      <c r="Q80" s="39"/>
      <c r="R80" s="39"/>
      <c r="S80" s="39"/>
      <c r="T80" s="39"/>
      <c r="AR80" s="61"/>
      <c r="AY80" s="146"/>
    </row>
    <row r="81" ht="41.25" customHeight="1">
      <c r="C81" s="98"/>
      <c r="D81" s="131"/>
      <c r="E81" s="38"/>
      <c r="F81" s="98"/>
      <c r="G81" s="39"/>
      <c r="H81" s="39"/>
      <c r="I81" s="39"/>
      <c r="J81" s="39"/>
      <c r="K81" s="39"/>
      <c r="L81" s="39"/>
      <c r="M81" s="39"/>
      <c r="N81" s="39"/>
      <c r="O81" s="39"/>
      <c r="P81" s="39"/>
      <c r="Q81" s="39"/>
      <c r="R81" s="39"/>
      <c r="S81" s="39"/>
      <c r="T81" s="39"/>
      <c r="AR81" s="61"/>
      <c r="AY81" s="146"/>
    </row>
    <row r="82" ht="41.25" customHeight="1">
      <c r="C82" s="98"/>
      <c r="D82" s="131"/>
      <c r="E82" s="38"/>
      <c r="F82" s="98"/>
      <c r="G82" s="39"/>
      <c r="H82" s="39"/>
      <c r="I82" s="39"/>
      <c r="J82" s="39"/>
      <c r="K82" s="39"/>
      <c r="L82" s="39"/>
      <c r="M82" s="39"/>
      <c r="N82" s="39"/>
      <c r="O82" s="39"/>
      <c r="P82" s="39"/>
      <c r="Q82" s="39"/>
      <c r="R82" s="39"/>
      <c r="S82" s="39"/>
      <c r="T82" s="39"/>
      <c r="AR82" s="61"/>
      <c r="AY82" s="146"/>
    </row>
    <row r="83" ht="41.25" customHeight="1">
      <c r="C83" s="98"/>
      <c r="D83" s="131"/>
      <c r="E83" s="38"/>
      <c r="F83" s="98"/>
      <c r="G83" s="39"/>
      <c r="H83" s="39"/>
      <c r="I83" s="39"/>
      <c r="J83" s="39"/>
      <c r="K83" s="39"/>
      <c r="L83" s="39"/>
      <c r="M83" s="39"/>
      <c r="N83" s="39"/>
      <c r="O83" s="39"/>
      <c r="P83" s="39"/>
      <c r="Q83" s="39"/>
      <c r="R83" s="39"/>
      <c r="S83" s="39"/>
      <c r="T83" s="39"/>
      <c r="AR83" s="61"/>
      <c r="AY83" s="146"/>
    </row>
    <row r="84" ht="41.25" customHeight="1">
      <c r="C84" s="98"/>
      <c r="D84" s="131"/>
      <c r="E84" s="38"/>
      <c r="F84" s="98"/>
      <c r="G84" s="39"/>
      <c r="H84" s="39"/>
      <c r="I84" s="39"/>
      <c r="J84" s="39"/>
      <c r="K84" s="39"/>
      <c r="L84" s="39"/>
      <c r="M84" s="39"/>
      <c r="N84" s="39"/>
      <c r="O84" s="39"/>
      <c r="P84" s="39"/>
      <c r="Q84" s="39"/>
      <c r="R84" s="39"/>
      <c r="S84" s="39"/>
      <c r="T84" s="39"/>
      <c r="AR84" s="61"/>
      <c r="AY84" s="146"/>
    </row>
    <row r="85" ht="41.25" customHeight="1">
      <c r="C85" s="98"/>
      <c r="D85" s="131"/>
      <c r="E85" s="38"/>
      <c r="F85" s="98"/>
      <c r="G85" s="39"/>
      <c r="H85" s="39"/>
      <c r="I85" s="39"/>
      <c r="J85" s="39"/>
      <c r="K85" s="39"/>
      <c r="L85" s="39"/>
      <c r="M85" s="39"/>
      <c r="N85" s="39"/>
      <c r="O85" s="39"/>
      <c r="P85" s="39"/>
      <c r="Q85" s="39"/>
      <c r="R85" s="39"/>
      <c r="S85" s="39"/>
      <c r="T85" s="39"/>
      <c r="AR85" s="61"/>
      <c r="AY85" s="146"/>
    </row>
    <row r="86" ht="41.25" customHeight="1">
      <c r="C86" s="98"/>
      <c r="D86" s="131"/>
      <c r="E86" s="38"/>
      <c r="F86" s="98"/>
      <c r="G86" s="39"/>
      <c r="H86" s="39"/>
      <c r="I86" s="39"/>
      <c r="J86" s="39"/>
      <c r="K86" s="39"/>
      <c r="L86" s="39"/>
      <c r="M86" s="39"/>
      <c r="N86" s="39"/>
      <c r="O86" s="39"/>
      <c r="P86" s="39"/>
      <c r="Q86" s="39"/>
      <c r="R86" s="39"/>
      <c r="S86" s="39"/>
      <c r="T86" s="39"/>
      <c r="AR86" s="61"/>
      <c r="AY86" s="146"/>
    </row>
    <row r="87" ht="41.25" customHeight="1">
      <c r="C87" s="98"/>
      <c r="D87" s="131"/>
      <c r="E87" s="38"/>
      <c r="F87" s="98"/>
      <c r="G87" s="39"/>
      <c r="H87" s="39"/>
      <c r="I87" s="39"/>
      <c r="J87" s="39"/>
      <c r="K87" s="39"/>
      <c r="L87" s="39"/>
      <c r="M87" s="39"/>
      <c r="N87" s="39"/>
      <c r="O87" s="39"/>
      <c r="P87" s="39"/>
      <c r="Q87" s="39"/>
      <c r="R87" s="39"/>
      <c r="S87" s="39"/>
      <c r="T87" s="39"/>
      <c r="AR87" s="61"/>
      <c r="AY87" s="146"/>
    </row>
    <row r="88" ht="41.25" customHeight="1">
      <c r="C88" s="98"/>
      <c r="D88" s="131"/>
      <c r="E88" s="38"/>
      <c r="F88" s="98"/>
      <c r="G88" s="39"/>
      <c r="H88" s="39"/>
      <c r="I88" s="39"/>
      <c r="J88" s="39"/>
      <c r="K88" s="39"/>
      <c r="L88" s="39"/>
      <c r="M88" s="39"/>
      <c r="N88" s="39"/>
      <c r="O88" s="39"/>
      <c r="P88" s="39"/>
      <c r="Q88" s="39"/>
      <c r="R88" s="39"/>
      <c r="S88" s="39"/>
      <c r="T88" s="39"/>
      <c r="AR88" s="61"/>
      <c r="AY88" s="146"/>
    </row>
    <row r="89" ht="41.25" customHeight="1">
      <c r="C89" s="98"/>
      <c r="D89" s="131"/>
      <c r="E89" s="38"/>
      <c r="F89" s="98"/>
      <c r="G89" s="39"/>
      <c r="H89" s="39"/>
      <c r="I89" s="39"/>
      <c r="J89" s="39"/>
      <c r="K89" s="39"/>
      <c r="L89" s="39"/>
      <c r="M89" s="39"/>
      <c r="N89" s="39"/>
      <c r="O89" s="39"/>
      <c r="P89" s="39"/>
      <c r="Q89" s="39"/>
      <c r="R89" s="39"/>
      <c r="S89" s="39"/>
      <c r="T89" s="39"/>
      <c r="AR89" s="61"/>
      <c r="AY89" s="146"/>
    </row>
    <row r="90" ht="41.25" customHeight="1">
      <c r="C90" s="98"/>
      <c r="D90" s="131"/>
      <c r="E90" s="38"/>
      <c r="F90" s="98"/>
      <c r="G90" s="39"/>
      <c r="H90" s="39"/>
      <c r="I90" s="39"/>
      <c r="J90" s="39"/>
      <c r="K90" s="39"/>
      <c r="L90" s="39"/>
      <c r="M90" s="39"/>
      <c r="N90" s="39"/>
      <c r="O90" s="39"/>
      <c r="P90" s="39"/>
      <c r="Q90" s="39"/>
      <c r="R90" s="39"/>
      <c r="S90" s="39"/>
      <c r="T90" s="39"/>
      <c r="AR90" s="61"/>
      <c r="AY90" s="146"/>
    </row>
    <row r="91" ht="41.25" customHeight="1">
      <c r="C91" s="98"/>
      <c r="D91" s="131"/>
      <c r="E91" s="38"/>
      <c r="F91" s="98"/>
      <c r="G91" s="39"/>
      <c r="H91" s="39"/>
      <c r="I91" s="39"/>
      <c r="J91" s="39"/>
      <c r="K91" s="39"/>
      <c r="L91" s="39"/>
      <c r="M91" s="39"/>
      <c r="N91" s="39"/>
      <c r="O91" s="39"/>
      <c r="P91" s="39"/>
      <c r="Q91" s="39"/>
      <c r="R91" s="39"/>
      <c r="S91" s="39"/>
      <c r="T91" s="39"/>
      <c r="AR91" s="61"/>
      <c r="AY91" s="146"/>
    </row>
    <row r="92" ht="41.25" customHeight="1">
      <c r="C92" s="98"/>
      <c r="D92" s="131"/>
      <c r="E92" s="38"/>
      <c r="F92" s="98"/>
      <c r="G92" s="39"/>
      <c r="H92" s="39"/>
      <c r="I92" s="39"/>
      <c r="J92" s="39"/>
      <c r="K92" s="39"/>
      <c r="L92" s="39"/>
      <c r="M92" s="39"/>
      <c r="N92" s="39"/>
      <c r="O92" s="39"/>
      <c r="P92" s="39"/>
      <c r="Q92" s="39"/>
      <c r="R92" s="39"/>
      <c r="S92" s="39"/>
      <c r="T92" s="39"/>
      <c r="AR92" s="61"/>
      <c r="AY92" s="146"/>
    </row>
    <row r="93" ht="41.25" customHeight="1">
      <c r="C93" s="98"/>
      <c r="D93" s="131"/>
      <c r="E93" s="38"/>
      <c r="F93" s="98"/>
      <c r="G93" s="39"/>
      <c r="H93" s="39"/>
      <c r="I93" s="39"/>
      <c r="J93" s="39"/>
      <c r="K93" s="39"/>
      <c r="L93" s="39"/>
      <c r="M93" s="39"/>
      <c r="N93" s="39"/>
      <c r="O93" s="39"/>
      <c r="P93" s="39"/>
      <c r="Q93" s="39"/>
      <c r="R93" s="39"/>
      <c r="S93" s="39"/>
      <c r="T93" s="39"/>
      <c r="AR93" s="61"/>
      <c r="AY93" s="146"/>
    </row>
    <row r="94" ht="41.25" customHeight="1">
      <c r="C94" s="98"/>
      <c r="D94" s="131"/>
      <c r="E94" s="38"/>
      <c r="F94" s="98"/>
      <c r="G94" s="39"/>
      <c r="H94" s="39"/>
      <c r="I94" s="39"/>
      <c r="J94" s="39"/>
      <c r="K94" s="39"/>
      <c r="L94" s="39"/>
      <c r="M94" s="39"/>
      <c r="N94" s="39"/>
      <c r="O94" s="39"/>
      <c r="P94" s="39"/>
      <c r="Q94" s="39"/>
      <c r="R94" s="39"/>
      <c r="S94" s="39"/>
      <c r="T94" s="39"/>
      <c r="AR94" s="61"/>
      <c r="AY94" s="146"/>
    </row>
    <row r="95" ht="41.25" customHeight="1">
      <c r="C95" s="98"/>
      <c r="D95" s="131"/>
      <c r="E95" s="38"/>
      <c r="F95" s="98"/>
      <c r="G95" s="39"/>
      <c r="H95" s="39"/>
      <c r="I95" s="39"/>
      <c r="J95" s="39"/>
      <c r="K95" s="39"/>
      <c r="L95" s="39"/>
      <c r="M95" s="39"/>
      <c r="N95" s="39"/>
      <c r="O95" s="39"/>
      <c r="P95" s="39"/>
      <c r="Q95" s="39"/>
      <c r="R95" s="39"/>
      <c r="S95" s="39"/>
      <c r="T95" s="39"/>
      <c r="AR95" s="61"/>
      <c r="AY95" s="146"/>
    </row>
    <row r="96" ht="41.25" customHeight="1">
      <c r="C96" s="98"/>
      <c r="D96" s="131"/>
      <c r="E96" s="38"/>
      <c r="F96" s="98"/>
      <c r="G96" s="39"/>
      <c r="H96" s="39"/>
      <c r="I96" s="39"/>
      <c r="J96" s="39"/>
      <c r="K96" s="39"/>
      <c r="L96" s="39"/>
      <c r="M96" s="39"/>
      <c r="N96" s="39"/>
      <c r="O96" s="39"/>
      <c r="P96" s="39"/>
      <c r="Q96" s="39"/>
      <c r="R96" s="39"/>
      <c r="S96" s="39"/>
      <c r="T96" s="39"/>
      <c r="AR96" s="61"/>
      <c r="AY96" s="146"/>
    </row>
    <row r="97" ht="41.25" customHeight="1">
      <c r="C97" s="98"/>
      <c r="D97" s="131"/>
      <c r="E97" s="38"/>
      <c r="F97" s="98"/>
      <c r="G97" s="39"/>
      <c r="H97" s="39"/>
      <c r="I97" s="39"/>
      <c r="J97" s="39"/>
      <c r="K97" s="39"/>
      <c r="L97" s="39"/>
      <c r="M97" s="39"/>
      <c r="N97" s="39"/>
      <c r="O97" s="39"/>
      <c r="P97" s="39"/>
      <c r="Q97" s="39"/>
      <c r="R97" s="39"/>
      <c r="S97" s="39"/>
      <c r="T97" s="39"/>
      <c r="AR97" s="61"/>
      <c r="AY97" s="146"/>
    </row>
    <row r="98" ht="41.25" customHeight="1">
      <c r="C98" s="98"/>
      <c r="D98" s="131"/>
      <c r="E98" s="38"/>
      <c r="F98" s="98"/>
      <c r="G98" s="39"/>
      <c r="H98" s="39"/>
      <c r="I98" s="39"/>
      <c r="J98" s="39"/>
      <c r="K98" s="39"/>
      <c r="L98" s="39"/>
      <c r="M98" s="39"/>
      <c r="N98" s="39"/>
      <c r="O98" s="39"/>
      <c r="P98" s="39"/>
      <c r="Q98" s="39"/>
      <c r="R98" s="39"/>
      <c r="S98" s="39"/>
      <c r="T98" s="39"/>
      <c r="AR98" s="61"/>
      <c r="AY98" s="146"/>
    </row>
    <row r="99" ht="41.25" customHeight="1">
      <c r="C99" s="98"/>
      <c r="D99" s="131"/>
      <c r="E99" s="38"/>
      <c r="F99" s="98"/>
      <c r="G99" s="39"/>
      <c r="H99" s="39"/>
      <c r="I99" s="39"/>
      <c r="J99" s="39"/>
      <c r="K99" s="39"/>
      <c r="L99" s="39"/>
      <c r="M99" s="39"/>
      <c r="N99" s="39"/>
      <c r="O99" s="39"/>
      <c r="P99" s="39"/>
      <c r="Q99" s="39"/>
      <c r="R99" s="39"/>
      <c r="S99" s="39"/>
      <c r="T99" s="39"/>
      <c r="AR99" s="61"/>
      <c r="AY99" s="146"/>
    </row>
    <row r="100" ht="41.25" customHeight="1">
      <c r="C100" s="98"/>
      <c r="D100" s="131"/>
      <c r="E100" s="38"/>
      <c r="F100" s="98"/>
      <c r="G100" s="39"/>
      <c r="H100" s="39"/>
      <c r="I100" s="39"/>
      <c r="J100" s="39"/>
      <c r="K100" s="39"/>
      <c r="L100" s="39"/>
      <c r="M100" s="39"/>
      <c r="N100" s="39"/>
      <c r="O100" s="39"/>
      <c r="P100" s="39"/>
      <c r="Q100" s="39"/>
      <c r="R100" s="39"/>
      <c r="S100" s="39"/>
      <c r="T100" s="39"/>
      <c r="AR100" s="61"/>
      <c r="AY100" s="146"/>
    </row>
    <row r="101" ht="41.25" customHeight="1">
      <c r="C101" s="98"/>
      <c r="D101" s="131"/>
      <c r="E101" s="38"/>
      <c r="F101" s="98"/>
      <c r="G101" s="39"/>
      <c r="H101" s="39"/>
      <c r="I101" s="39"/>
      <c r="J101" s="39"/>
      <c r="K101" s="39"/>
      <c r="L101" s="39"/>
      <c r="M101" s="39"/>
      <c r="N101" s="39"/>
      <c r="O101" s="39"/>
      <c r="P101" s="39"/>
      <c r="Q101" s="39"/>
      <c r="R101" s="39"/>
      <c r="S101" s="39"/>
      <c r="T101" s="39"/>
      <c r="AR101" s="61"/>
      <c r="AY101" s="146"/>
    </row>
    <row r="102" ht="41.25" customHeight="1">
      <c r="C102" s="98"/>
      <c r="D102" s="131"/>
      <c r="E102" s="38"/>
      <c r="F102" s="98"/>
      <c r="G102" s="39"/>
      <c r="H102" s="39"/>
      <c r="I102" s="39"/>
      <c r="J102" s="39"/>
      <c r="K102" s="39"/>
      <c r="L102" s="39"/>
      <c r="M102" s="39"/>
      <c r="N102" s="39"/>
      <c r="O102" s="39"/>
      <c r="P102" s="39"/>
      <c r="Q102" s="39"/>
      <c r="R102" s="39"/>
      <c r="S102" s="39"/>
      <c r="T102" s="39"/>
      <c r="AR102" s="61"/>
      <c r="AY102" s="146"/>
    </row>
    <row r="103" ht="41.25" customHeight="1">
      <c r="C103" s="98"/>
      <c r="D103" s="131"/>
      <c r="E103" s="38"/>
      <c r="F103" s="98"/>
      <c r="G103" s="39"/>
      <c r="H103" s="39"/>
      <c r="I103" s="39"/>
      <c r="J103" s="39"/>
      <c r="K103" s="39"/>
      <c r="L103" s="39"/>
      <c r="M103" s="39"/>
      <c r="N103" s="39"/>
      <c r="O103" s="39"/>
      <c r="P103" s="39"/>
      <c r="Q103" s="39"/>
      <c r="R103" s="39"/>
      <c r="S103" s="39"/>
      <c r="T103" s="39"/>
      <c r="AR103" s="61"/>
      <c r="AY103" s="146"/>
    </row>
    <row r="104" ht="41.25" customHeight="1">
      <c r="C104" s="98"/>
      <c r="D104" s="131"/>
      <c r="E104" s="38"/>
      <c r="F104" s="98"/>
      <c r="G104" s="39"/>
      <c r="H104" s="39"/>
      <c r="I104" s="39"/>
      <c r="J104" s="39"/>
      <c r="K104" s="39"/>
      <c r="L104" s="39"/>
      <c r="M104" s="39"/>
      <c r="N104" s="39"/>
      <c r="O104" s="39"/>
      <c r="P104" s="39"/>
      <c r="Q104" s="39"/>
      <c r="R104" s="39"/>
      <c r="S104" s="39"/>
      <c r="T104" s="39"/>
      <c r="AR104" s="61"/>
      <c r="AY104" s="146"/>
    </row>
    <row r="105" ht="41.25" customHeight="1">
      <c r="C105" s="98"/>
      <c r="D105" s="131"/>
      <c r="E105" s="38"/>
      <c r="F105" s="98"/>
      <c r="G105" s="39"/>
      <c r="H105" s="39"/>
      <c r="I105" s="39"/>
      <c r="J105" s="39"/>
      <c r="K105" s="39"/>
      <c r="L105" s="39"/>
      <c r="M105" s="39"/>
      <c r="N105" s="39"/>
      <c r="O105" s="39"/>
      <c r="P105" s="39"/>
      <c r="Q105" s="39"/>
      <c r="R105" s="39"/>
      <c r="S105" s="39"/>
      <c r="T105" s="39"/>
      <c r="AR105" s="61"/>
      <c r="AY105" s="146"/>
    </row>
    <row r="106" ht="41.25" customHeight="1">
      <c r="C106" s="98"/>
      <c r="D106" s="131"/>
      <c r="E106" s="38"/>
      <c r="F106" s="98"/>
      <c r="G106" s="39"/>
      <c r="H106" s="39"/>
      <c r="I106" s="39"/>
      <c r="J106" s="39"/>
      <c r="K106" s="39"/>
      <c r="L106" s="39"/>
      <c r="M106" s="39"/>
      <c r="N106" s="39"/>
      <c r="O106" s="39"/>
      <c r="P106" s="39"/>
      <c r="Q106" s="39"/>
      <c r="R106" s="39"/>
      <c r="S106" s="39"/>
      <c r="T106" s="39"/>
      <c r="AR106" s="61"/>
      <c r="AY106" s="146"/>
    </row>
    <row r="107" ht="41.25" customHeight="1">
      <c r="C107" s="98"/>
      <c r="D107" s="131"/>
      <c r="E107" s="38"/>
      <c r="F107" s="98"/>
      <c r="G107" s="39"/>
      <c r="H107" s="39"/>
      <c r="I107" s="39"/>
      <c r="J107" s="39"/>
      <c r="K107" s="39"/>
      <c r="L107" s="39"/>
      <c r="M107" s="39"/>
      <c r="N107" s="39"/>
      <c r="O107" s="39"/>
      <c r="P107" s="39"/>
      <c r="Q107" s="39"/>
      <c r="R107" s="39"/>
      <c r="S107" s="39"/>
      <c r="T107" s="39"/>
      <c r="AR107" s="61"/>
      <c r="AY107" s="146"/>
    </row>
    <row r="108" ht="41.25" customHeight="1">
      <c r="C108" s="98"/>
      <c r="D108" s="131"/>
      <c r="E108" s="38"/>
      <c r="F108" s="98"/>
      <c r="G108" s="39"/>
      <c r="H108" s="39"/>
      <c r="I108" s="39"/>
      <c r="J108" s="39"/>
      <c r="K108" s="39"/>
      <c r="L108" s="39"/>
      <c r="M108" s="39"/>
      <c r="N108" s="39"/>
      <c r="O108" s="39"/>
      <c r="P108" s="39"/>
      <c r="Q108" s="39"/>
      <c r="R108" s="39"/>
      <c r="S108" s="39"/>
      <c r="T108" s="39"/>
      <c r="AR108" s="61"/>
      <c r="AY108" s="146"/>
    </row>
    <row r="109" ht="41.25" customHeight="1">
      <c r="C109" s="98"/>
      <c r="D109" s="131"/>
      <c r="E109" s="38"/>
      <c r="F109" s="98"/>
      <c r="G109" s="39"/>
      <c r="H109" s="39"/>
      <c r="I109" s="39"/>
      <c r="J109" s="39"/>
      <c r="K109" s="39"/>
      <c r="L109" s="39"/>
      <c r="M109" s="39"/>
      <c r="N109" s="39"/>
      <c r="O109" s="39"/>
      <c r="P109" s="39"/>
      <c r="Q109" s="39"/>
      <c r="R109" s="39"/>
      <c r="S109" s="39"/>
      <c r="T109" s="39"/>
      <c r="AR109" s="61"/>
      <c r="AY109" s="146"/>
    </row>
    <row r="110" ht="41.25" customHeight="1">
      <c r="C110" s="98"/>
      <c r="D110" s="131"/>
      <c r="E110" s="38"/>
      <c r="F110" s="98"/>
      <c r="G110" s="39"/>
      <c r="H110" s="39"/>
      <c r="I110" s="39"/>
      <c r="J110" s="39"/>
      <c r="K110" s="39"/>
      <c r="L110" s="39"/>
      <c r="M110" s="39"/>
      <c r="N110" s="39"/>
      <c r="O110" s="39"/>
      <c r="P110" s="39"/>
      <c r="Q110" s="39"/>
      <c r="R110" s="39"/>
      <c r="S110" s="39"/>
      <c r="T110" s="39"/>
      <c r="AR110" s="61"/>
      <c r="AY110" s="146"/>
    </row>
    <row r="111" ht="41.25" customHeight="1">
      <c r="C111" s="98"/>
      <c r="D111" s="131"/>
      <c r="E111" s="38"/>
      <c r="F111" s="98"/>
      <c r="G111" s="39"/>
      <c r="H111" s="39"/>
      <c r="I111" s="39"/>
      <c r="J111" s="39"/>
      <c r="K111" s="39"/>
      <c r="L111" s="39"/>
      <c r="M111" s="39"/>
      <c r="N111" s="39"/>
      <c r="O111" s="39"/>
      <c r="P111" s="39"/>
      <c r="Q111" s="39"/>
      <c r="R111" s="39"/>
      <c r="S111" s="39"/>
      <c r="T111" s="39"/>
      <c r="AR111" s="61"/>
      <c r="AY111" s="146"/>
    </row>
    <row r="112" ht="41.25" customHeight="1">
      <c r="C112" s="98"/>
      <c r="D112" s="131"/>
      <c r="E112" s="38"/>
      <c r="F112" s="98"/>
      <c r="G112" s="39"/>
      <c r="H112" s="39"/>
      <c r="I112" s="39"/>
      <c r="J112" s="39"/>
      <c r="K112" s="39"/>
      <c r="L112" s="39"/>
      <c r="M112" s="39"/>
      <c r="N112" s="39"/>
      <c r="O112" s="39"/>
      <c r="P112" s="39"/>
      <c r="Q112" s="39"/>
      <c r="R112" s="39"/>
      <c r="S112" s="39"/>
      <c r="T112" s="39"/>
      <c r="AR112" s="61"/>
      <c r="AY112" s="146"/>
    </row>
    <row r="113" ht="41.25" customHeight="1">
      <c r="C113" s="98"/>
      <c r="D113" s="131"/>
      <c r="E113" s="38"/>
      <c r="F113" s="98"/>
      <c r="G113" s="39"/>
      <c r="H113" s="39"/>
      <c r="I113" s="39"/>
      <c r="J113" s="39"/>
      <c r="K113" s="39"/>
      <c r="L113" s="39"/>
      <c r="M113" s="39"/>
      <c r="N113" s="39"/>
      <c r="O113" s="39"/>
      <c r="P113" s="39"/>
      <c r="Q113" s="39"/>
      <c r="R113" s="39"/>
      <c r="S113" s="39"/>
      <c r="T113" s="39"/>
      <c r="AR113" s="61"/>
      <c r="AY113" s="146"/>
    </row>
    <row r="114" ht="41.25" customHeight="1">
      <c r="C114" s="98"/>
      <c r="D114" s="131"/>
      <c r="E114" s="38"/>
      <c r="F114" s="98"/>
      <c r="G114" s="39"/>
      <c r="H114" s="39"/>
      <c r="I114" s="39"/>
      <c r="J114" s="39"/>
      <c r="K114" s="39"/>
      <c r="L114" s="39"/>
      <c r="M114" s="39"/>
      <c r="N114" s="39"/>
      <c r="O114" s="39"/>
      <c r="P114" s="39"/>
      <c r="Q114" s="39"/>
      <c r="R114" s="39"/>
      <c r="S114" s="39"/>
      <c r="T114" s="39"/>
      <c r="AR114" s="61"/>
      <c r="AY114" s="146"/>
    </row>
    <row r="115" ht="41.25" customHeight="1">
      <c r="C115" s="98"/>
      <c r="D115" s="131"/>
      <c r="E115" s="38"/>
      <c r="F115" s="98"/>
      <c r="G115" s="39"/>
      <c r="H115" s="39"/>
      <c r="I115" s="39"/>
      <c r="J115" s="39"/>
      <c r="K115" s="39"/>
      <c r="L115" s="39"/>
      <c r="M115" s="39"/>
      <c r="N115" s="39"/>
      <c r="O115" s="39"/>
      <c r="P115" s="39"/>
      <c r="Q115" s="39"/>
      <c r="R115" s="39"/>
      <c r="S115" s="39"/>
      <c r="T115" s="39"/>
      <c r="AR115" s="61"/>
      <c r="AY115" s="146"/>
    </row>
    <row r="116" ht="41.25" customHeight="1">
      <c r="C116" s="98"/>
      <c r="D116" s="131"/>
      <c r="E116" s="38"/>
      <c r="F116" s="98"/>
      <c r="G116" s="39"/>
      <c r="H116" s="39"/>
      <c r="I116" s="39"/>
      <c r="J116" s="39"/>
      <c r="K116" s="39"/>
      <c r="L116" s="39"/>
      <c r="M116" s="39"/>
      <c r="N116" s="39"/>
      <c r="O116" s="39"/>
      <c r="P116" s="39"/>
      <c r="Q116" s="39"/>
      <c r="R116" s="39"/>
      <c r="S116" s="39"/>
      <c r="T116" s="39"/>
      <c r="AR116" s="61"/>
      <c r="AY116" s="146"/>
    </row>
    <row r="117" ht="41.25" customHeight="1">
      <c r="C117" s="98"/>
      <c r="D117" s="131"/>
      <c r="E117" s="38"/>
      <c r="F117" s="98"/>
      <c r="G117" s="39"/>
      <c r="H117" s="39"/>
      <c r="I117" s="39"/>
      <c r="J117" s="39"/>
      <c r="K117" s="39"/>
      <c r="L117" s="39"/>
      <c r="M117" s="39"/>
      <c r="N117" s="39"/>
      <c r="O117" s="39"/>
      <c r="P117" s="39"/>
      <c r="Q117" s="39"/>
      <c r="R117" s="39"/>
      <c r="S117" s="39"/>
      <c r="T117" s="39"/>
      <c r="AR117" s="61"/>
      <c r="AY117" s="146"/>
    </row>
    <row r="118" ht="41.25" customHeight="1">
      <c r="C118" s="98"/>
      <c r="D118" s="131"/>
      <c r="E118" s="38"/>
      <c r="F118" s="98"/>
      <c r="G118" s="39"/>
      <c r="H118" s="39"/>
      <c r="I118" s="39"/>
      <c r="J118" s="39"/>
      <c r="K118" s="39"/>
      <c r="L118" s="39"/>
      <c r="M118" s="39"/>
      <c r="N118" s="39"/>
      <c r="O118" s="39"/>
      <c r="P118" s="39"/>
      <c r="Q118" s="39"/>
      <c r="R118" s="39"/>
      <c r="S118" s="39"/>
      <c r="T118" s="39"/>
      <c r="AR118" s="61"/>
      <c r="AY118" s="146"/>
    </row>
    <row r="119" ht="41.25" customHeight="1">
      <c r="C119" s="98"/>
      <c r="D119" s="131"/>
      <c r="E119" s="38"/>
      <c r="F119" s="98"/>
      <c r="G119" s="39"/>
      <c r="H119" s="39"/>
      <c r="I119" s="39"/>
      <c r="J119" s="39"/>
      <c r="K119" s="39"/>
      <c r="L119" s="39"/>
      <c r="M119" s="39"/>
      <c r="N119" s="39"/>
      <c r="O119" s="39"/>
      <c r="P119" s="39"/>
      <c r="Q119" s="39"/>
      <c r="R119" s="39"/>
      <c r="S119" s="39"/>
      <c r="T119" s="39"/>
      <c r="AR119" s="61"/>
      <c r="AY119" s="146"/>
    </row>
    <row r="120" ht="41.25" customHeight="1">
      <c r="C120" s="98"/>
      <c r="D120" s="131"/>
      <c r="E120" s="38"/>
      <c r="F120" s="98"/>
      <c r="G120" s="39"/>
      <c r="H120" s="39"/>
      <c r="I120" s="39"/>
      <c r="J120" s="39"/>
      <c r="K120" s="39"/>
      <c r="L120" s="39"/>
      <c r="M120" s="39"/>
      <c r="N120" s="39"/>
      <c r="O120" s="39"/>
      <c r="P120" s="39"/>
      <c r="Q120" s="39"/>
      <c r="R120" s="39"/>
      <c r="S120" s="39"/>
      <c r="T120" s="39"/>
      <c r="AR120" s="61"/>
      <c r="AY120" s="146"/>
    </row>
    <row r="121" ht="41.25" customHeight="1">
      <c r="C121" s="98"/>
      <c r="D121" s="131"/>
      <c r="E121" s="38"/>
      <c r="F121" s="98"/>
      <c r="G121" s="39"/>
      <c r="H121" s="39"/>
      <c r="I121" s="39"/>
      <c r="J121" s="39"/>
      <c r="K121" s="39"/>
      <c r="L121" s="39"/>
      <c r="M121" s="39"/>
      <c r="N121" s="39"/>
      <c r="O121" s="39"/>
      <c r="P121" s="39"/>
      <c r="Q121" s="39"/>
      <c r="R121" s="39"/>
      <c r="S121" s="39"/>
      <c r="T121" s="39"/>
      <c r="AR121" s="61"/>
      <c r="AY121" s="146"/>
    </row>
    <row r="122" ht="41.25" customHeight="1">
      <c r="C122" s="98"/>
      <c r="D122" s="131"/>
      <c r="E122" s="38"/>
      <c r="F122" s="98"/>
      <c r="G122" s="39"/>
      <c r="H122" s="39"/>
      <c r="I122" s="39"/>
      <c r="J122" s="39"/>
      <c r="K122" s="39"/>
      <c r="L122" s="39"/>
      <c r="M122" s="39"/>
      <c r="N122" s="39"/>
      <c r="O122" s="39"/>
      <c r="P122" s="39"/>
      <c r="Q122" s="39"/>
      <c r="R122" s="39"/>
      <c r="S122" s="39"/>
      <c r="T122" s="39"/>
      <c r="AR122" s="61"/>
      <c r="AY122" s="146"/>
    </row>
    <row r="123" ht="41.25" customHeight="1">
      <c r="C123" s="98"/>
      <c r="D123" s="131"/>
      <c r="E123" s="38"/>
      <c r="F123" s="98"/>
      <c r="G123" s="39"/>
      <c r="H123" s="39"/>
      <c r="I123" s="39"/>
      <c r="J123" s="39"/>
      <c r="K123" s="39"/>
      <c r="L123" s="39"/>
      <c r="M123" s="39"/>
      <c r="N123" s="39"/>
      <c r="O123" s="39"/>
      <c r="P123" s="39"/>
      <c r="Q123" s="39"/>
      <c r="R123" s="39"/>
      <c r="S123" s="39"/>
      <c r="T123" s="39"/>
      <c r="AR123" s="61"/>
      <c r="AY123" s="146"/>
    </row>
    <row r="124" ht="41.25" customHeight="1">
      <c r="C124" s="98"/>
      <c r="D124" s="131"/>
      <c r="E124" s="38"/>
      <c r="F124" s="98"/>
      <c r="G124" s="39"/>
      <c r="H124" s="39"/>
      <c r="I124" s="39"/>
      <c r="J124" s="39"/>
      <c r="K124" s="39"/>
      <c r="L124" s="39"/>
      <c r="M124" s="39"/>
      <c r="N124" s="39"/>
      <c r="O124" s="39"/>
      <c r="P124" s="39"/>
      <c r="Q124" s="39"/>
      <c r="R124" s="39"/>
      <c r="S124" s="39"/>
      <c r="T124" s="39"/>
      <c r="AR124" s="61"/>
      <c r="AY124" s="146"/>
    </row>
    <row r="125" ht="41.25" customHeight="1">
      <c r="C125" s="98"/>
      <c r="D125" s="131"/>
      <c r="E125" s="38"/>
      <c r="F125" s="98"/>
      <c r="G125" s="39"/>
      <c r="H125" s="39"/>
      <c r="I125" s="39"/>
      <c r="J125" s="39"/>
      <c r="K125" s="39"/>
      <c r="L125" s="39"/>
      <c r="M125" s="39"/>
      <c r="N125" s="39"/>
      <c r="O125" s="39"/>
      <c r="P125" s="39"/>
      <c r="Q125" s="39"/>
      <c r="R125" s="39"/>
      <c r="S125" s="39"/>
      <c r="T125" s="39"/>
      <c r="AR125" s="61"/>
      <c r="AY125" s="146"/>
    </row>
    <row r="126" ht="41.25" customHeight="1">
      <c r="C126" s="98"/>
      <c r="D126" s="131"/>
      <c r="E126" s="38"/>
      <c r="F126" s="98"/>
      <c r="G126" s="39"/>
      <c r="H126" s="39"/>
      <c r="I126" s="39"/>
      <c r="J126" s="39"/>
      <c r="K126" s="39"/>
      <c r="L126" s="39"/>
      <c r="M126" s="39"/>
      <c r="N126" s="39"/>
      <c r="O126" s="39"/>
      <c r="P126" s="39"/>
      <c r="Q126" s="39"/>
      <c r="R126" s="39"/>
      <c r="S126" s="39"/>
      <c r="T126" s="39"/>
      <c r="AR126" s="61"/>
      <c r="AY126" s="146"/>
    </row>
    <row r="127" ht="41.25" customHeight="1">
      <c r="C127" s="98"/>
      <c r="D127" s="131"/>
      <c r="E127" s="38"/>
      <c r="F127" s="98"/>
      <c r="G127" s="39"/>
      <c r="H127" s="39"/>
      <c r="I127" s="39"/>
      <c r="J127" s="39"/>
      <c r="K127" s="39"/>
      <c r="L127" s="39"/>
      <c r="M127" s="39"/>
      <c r="N127" s="39"/>
      <c r="O127" s="39"/>
      <c r="P127" s="39"/>
      <c r="Q127" s="39"/>
      <c r="R127" s="39"/>
      <c r="S127" s="39"/>
      <c r="T127" s="39"/>
      <c r="AR127" s="61"/>
      <c r="AY127" s="146"/>
    </row>
    <row r="128" ht="41.25" customHeight="1">
      <c r="C128" s="98"/>
      <c r="D128" s="131"/>
      <c r="E128" s="38"/>
      <c r="F128" s="98"/>
      <c r="G128" s="39"/>
      <c r="H128" s="39"/>
      <c r="I128" s="39"/>
      <c r="J128" s="39"/>
      <c r="K128" s="39"/>
      <c r="L128" s="39"/>
      <c r="M128" s="39"/>
      <c r="N128" s="39"/>
      <c r="O128" s="39"/>
      <c r="P128" s="39"/>
      <c r="Q128" s="39"/>
      <c r="R128" s="39"/>
      <c r="S128" s="39"/>
      <c r="T128" s="39"/>
      <c r="AR128" s="61"/>
      <c r="AY128" s="146"/>
    </row>
    <row r="129" ht="41.25" customHeight="1">
      <c r="C129" s="98"/>
      <c r="D129" s="131"/>
      <c r="E129" s="38"/>
      <c r="F129" s="98"/>
      <c r="G129" s="39"/>
      <c r="H129" s="39"/>
      <c r="I129" s="39"/>
      <c r="J129" s="39"/>
      <c r="K129" s="39"/>
      <c r="L129" s="39"/>
      <c r="M129" s="39"/>
      <c r="N129" s="39"/>
      <c r="O129" s="39"/>
      <c r="P129" s="39"/>
      <c r="Q129" s="39"/>
      <c r="R129" s="39"/>
      <c r="S129" s="39"/>
      <c r="T129" s="39"/>
      <c r="AR129" s="61"/>
      <c r="AY129" s="146"/>
    </row>
    <row r="130" ht="41.25" customHeight="1">
      <c r="C130" s="98"/>
      <c r="D130" s="131"/>
      <c r="E130" s="38"/>
      <c r="F130" s="98"/>
      <c r="G130" s="39"/>
      <c r="H130" s="39"/>
      <c r="I130" s="39"/>
      <c r="J130" s="39"/>
      <c r="K130" s="39"/>
      <c r="L130" s="39"/>
      <c r="M130" s="39"/>
      <c r="N130" s="39"/>
      <c r="O130" s="39"/>
      <c r="P130" s="39"/>
      <c r="Q130" s="39"/>
      <c r="R130" s="39"/>
      <c r="S130" s="39"/>
      <c r="T130" s="39"/>
      <c r="AR130" s="61"/>
      <c r="AY130" s="146"/>
    </row>
    <row r="131" ht="41.25" customHeight="1">
      <c r="C131" s="98"/>
      <c r="D131" s="131"/>
      <c r="E131" s="38"/>
      <c r="F131" s="98"/>
      <c r="G131" s="39"/>
      <c r="H131" s="39"/>
      <c r="I131" s="39"/>
      <c r="J131" s="39"/>
      <c r="K131" s="39"/>
      <c r="L131" s="39"/>
      <c r="M131" s="39"/>
      <c r="N131" s="39"/>
      <c r="O131" s="39"/>
      <c r="P131" s="39"/>
      <c r="Q131" s="39"/>
      <c r="R131" s="39"/>
      <c r="S131" s="39"/>
      <c r="T131" s="39"/>
      <c r="AR131" s="61"/>
      <c r="AY131" s="146"/>
    </row>
    <row r="132" ht="41.25" customHeight="1">
      <c r="C132" s="98"/>
      <c r="D132" s="131"/>
      <c r="E132" s="38"/>
      <c r="F132" s="98"/>
      <c r="G132" s="39"/>
      <c r="H132" s="39"/>
      <c r="I132" s="39"/>
      <c r="J132" s="39"/>
      <c r="K132" s="39"/>
      <c r="L132" s="39"/>
      <c r="M132" s="39"/>
      <c r="N132" s="39"/>
      <c r="O132" s="39"/>
      <c r="P132" s="39"/>
      <c r="Q132" s="39"/>
      <c r="R132" s="39"/>
      <c r="S132" s="39"/>
      <c r="T132" s="39"/>
      <c r="AR132" s="61"/>
      <c r="AY132" s="146"/>
    </row>
    <row r="133" ht="41.25" customHeight="1">
      <c r="C133" s="98"/>
      <c r="D133" s="131"/>
      <c r="E133" s="38"/>
      <c r="F133" s="98"/>
      <c r="G133" s="39"/>
      <c r="H133" s="39"/>
      <c r="I133" s="39"/>
      <c r="J133" s="39"/>
      <c r="K133" s="39"/>
      <c r="L133" s="39"/>
      <c r="M133" s="39"/>
      <c r="N133" s="39"/>
      <c r="O133" s="39"/>
      <c r="P133" s="39"/>
      <c r="Q133" s="39"/>
      <c r="R133" s="39"/>
      <c r="S133" s="39"/>
      <c r="T133" s="39"/>
      <c r="AR133" s="61"/>
      <c r="AY133" s="146"/>
    </row>
    <row r="134" ht="41.25" customHeight="1">
      <c r="C134" s="98"/>
      <c r="D134" s="131"/>
      <c r="E134" s="38"/>
      <c r="F134" s="98"/>
      <c r="G134" s="39"/>
      <c r="H134" s="39"/>
      <c r="I134" s="39"/>
      <c r="J134" s="39"/>
      <c r="K134" s="39"/>
      <c r="L134" s="39"/>
      <c r="M134" s="39"/>
      <c r="N134" s="39"/>
      <c r="O134" s="39"/>
      <c r="P134" s="39"/>
      <c r="Q134" s="39"/>
      <c r="R134" s="39"/>
      <c r="S134" s="39"/>
      <c r="T134" s="39"/>
      <c r="AR134" s="61"/>
      <c r="AY134" s="146"/>
    </row>
    <row r="135" ht="41.25" customHeight="1">
      <c r="C135" s="98"/>
      <c r="D135" s="131"/>
      <c r="E135" s="38"/>
      <c r="F135" s="98"/>
      <c r="G135" s="39"/>
      <c r="H135" s="39"/>
      <c r="I135" s="39"/>
      <c r="J135" s="39"/>
      <c r="K135" s="39"/>
      <c r="L135" s="39"/>
      <c r="M135" s="39"/>
      <c r="N135" s="39"/>
      <c r="O135" s="39"/>
      <c r="P135" s="39"/>
      <c r="Q135" s="39"/>
      <c r="R135" s="39"/>
      <c r="S135" s="39"/>
      <c r="T135" s="39"/>
      <c r="AR135" s="61"/>
      <c r="AY135" s="146"/>
    </row>
    <row r="136" ht="41.25" customHeight="1">
      <c r="C136" s="98"/>
      <c r="D136" s="131"/>
      <c r="E136" s="38"/>
      <c r="F136" s="98"/>
      <c r="G136" s="39"/>
      <c r="H136" s="39"/>
      <c r="I136" s="39"/>
      <c r="J136" s="39"/>
      <c r="K136" s="39"/>
      <c r="L136" s="39"/>
      <c r="M136" s="39"/>
      <c r="N136" s="39"/>
      <c r="O136" s="39"/>
      <c r="P136" s="39"/>
      <c r="Q136" s="39"/>
      <c r="R136" s="39"/>
      <c r="S136" s="39"/>
      <c r="T136" s="39"/>
      <c r="AR136" s="61"/>
      <c r="AY136" s="146"/>
    </row>
    <row r="137" ht="41.25" customHeight="1">
      <c r="C137" s="98"/>
      <c r="D137" s="131"/>
      <c r="E137" s="38"/>
      <c r="F137" s="98"/>
      <c r="G137" s="39"/>
      <c r="H137" s="39"/>
      <c r="I137" s="39"/>
      <c r="J137" s="39"/>
      <c r="K137" s="39"/>
      <c r="L137" s="39"/>
      <c r="M137" s="39"/>
      <c r="N137" s="39"/>
      <c r="O137" s="39"/>
      <c r="P137" s="39"/>
      <c r="Q137" s="39"/>
      <c r="R137" s="39"/>
      <c r="S137" s="39"/>
      <c r="T137" s="39"/>
      <c r="AR137" s="61"/>
      <c r="AY137" s="146"/>
    </row>
    <row r="138" ht="41.25" customHeight="1">
      <c r="C138" s="98"/>
      <c r="D138" s="131"/>
      <c r="E138" s="38"/>
      <c r="F138" s="98"/>
      <c r="G138" s="39"/>
      <c r="H138" s="39"/>
      <c r="I138" s="39"/>
      <c r="J138" s="39"/>
      <c r="K138" s="39"/>
      <c r="L138" s="39"/>
      <c r="M138" s="39"/>
      <c r="N138" s="39"/>
      <c r="O138" s="39"/>
      <c r="P138" s="39"/>
      <c r="Q138" s="39"/>
      <c r="R138" s="39"/>
      <c r="S138" s="39"/>
      <c r="T138" s="39"/>
      <c r="AR138" s="61"/>
      <c r="AY138" s="146"/>
    </row>
    <row r="139" ht="41.25" customHeight="1">
      <c r="C139" s="98"/>
      <c r="D139" s="131"/>
      <c r="E139" s="38"/>
      <c r="F139" s="98"/>
      <c r="G139" s="39"/>
      <c r="H139" s="39"/>
      <c r="I139" s="39"/>
      <c r="J139" s="39"/>
      <c r="K139" s="39"/>
      <c r="L139" s="39"/>
      <c r="M139" s="39"/>
      <c r="N139" s="39"/>
      <c r="O139" s="39"/>
      <c r="P139" s="39"/>
      <c r="Q139" s="39"/>
      <c r="R139" s="39"/>
      <c r="S139" s="39"/>
      <c r="T139" s="39"/>
      <c r="AR139" s="61"/>
      <c r="AY139" s="146"/>
    </row>
    <row r="140" ht="41.25" customHeight="1">
      <c r="C140" s="98"/>
      <c r="D140" s="131"/>
      <c r="E140" s="38"/>
      <c r="F140" s="98"/>
      <c r="G140" s="39"/>
      <c r="H140" s="39"/>
      <c r="I140" s="39"/>
      <c r="J140" s="39"/>
      <c r="K140" s="39"/>
      <c r="L140" s="39"/>
      <c r="M140" s="39"/>
      <c r="N140" s="39"/>
      <c r="O140" s="39"/>
      <c r="P140" s="39"/>
      <c r="Q140" s="39"/>
      <c r="R140" s="39"/>
      <c r="S140" s="39"/>
      <c r="T140" s="39"/>
      <c r="AR140" s="61"/>
      <c r="AY140" s="146"/>
    </row>
    <row r="141" ht="41.25" customHeight="1">
      <c r="C141" s="98"/>
      <c r="D141" s="131"/>
      <c r="E141" s="38"/>
      <c r="F141" s="98"/>
      <c r="G141" s="39"/>
      <c r="H141" s="39"/>
      <c r="I141" s="39"/>
      <c r="J141" s="39"/>
      <c r="K141" s="39"/>
      <c r="L141" s="39"/>
      <c r="M141" s="39"/>
      <c r="N141" s="39"/>
      <c r="O141" s="39"/>
      <c r="P141" s="39"/>
      <c r="Q141" s="39"/>
      <c r="R141" s="39"/>
      <c r="S141" s="39"/>
      <c r="T141" s="39"/>
      <c r="AR141" s="61"/>
      <c r="AY141" s="146"/>
    </row>
    <row r="142" ht="41.25" customHeight="1">
      <c r="C142" s="98"/>
      <c r="D142" s="131"/>
      <c r="E142" s="38"/>
      <c r="F142" s="98"/>
      <c r="G142" s="39"/>
      <c r="H142" s="39"/>
      <c r="I142" s="39"/>
      <c r="J142" s="39"/>
      <c r="K142" s="39"/>
      <c r="L142" s="39"/>
      <c r="M142" s="39"/>
      <c r="N142" s="39"/>
      <c r="O142" s="39"/>
      <c r="P142" s="39"/>
      <c r="Q142" s="39"/>
      <c r="R142" s="39"/>
      <c r="S142" s="39"/>
      <c r="T142" s="39"/>
      <c r="AR142" s="61"/>
      <c r="AY142" s="146"/>
    </row>
    <row r="143" ht="41.25" customHeight="1">
      <c r="C143" s="98"/>
      <c r="D143" s="131"/>
      <c r="E143" s="38"/>
      <c r="F143" s="98"/>
      <c r="G143" s="39"/>
      <c r="H143" s="39"/>
      <c r="I143" s="39"/>
      <c r="J143" s="39"/>
      <c r="K143" s="39"/>
      <c r="L143" s="39"/>
      <c r="M143" s="39"/>
      <c r="N143" s="39"/>
      <c r="O143" s="39"/>
      <c r="P143" s="39"/>
      <c r="Q143" s="39"/>
      <c r="R143" s="39"/>
      <c r="S143" s="39"/>
      <c r="T143" s="39"/>
      <c r="AR143" s="61"/>
      <c r="AY143" s="146"/>
    </row>
    <row r="144" ht="41.25" customHeight="1">
      <c r="C144" s="98"/>
      <c r="D144" s="131"/>
      <c r="E144" s="38"/>
      <c r="F144" s="98"/>
      <c r="G144" s="39"/>
      <c r="H144" s="39"/>
      <c r="I144" s="39"/>
      <c r="J144" s="39"/>
      <c r="K144" s="39"/>
      <c r="L144" s="39"/>
      <c r="M144" s="39"/>
      <c r="N144" s="39"/>
      <c r="O144" s="39"/>
      <c r="P144" s="39"/>
      <c r="Q144" s="39"/>
      <c r="R144" s="39"/>
      <c r="S144" s="39"/>
      <c r="T144" s="39"/>
      <c r="AR144" s="61"/>
      <c r="AY144" s="146"/>
    </row>
    <row r="145" ht="41.25" customHeight="1">
      <c r="C145" s="98"/>
      <c r="D145" s="131"/>
      <c r="E145" s="38"/>
      <c r="F145" s="98"/>
      <c r="G145" s="39"/>
      <c r="H145" s="39"/>
      <c r="I145" s="39"/>
      <c r="J145" s="39"/>
      <c r="K145" s="39"/>
      <c r="L145" s="39"/>
      <c r="M145" s="39"/>
      <c r="N145" s="39"/>
      <c r="O145" s="39"/>
      <c r="P145" s="39"/>
      <c r="Q145" s="39"/>
      <c r="R145" s="39"/>
      <c r="S145" s="39"/>
      <c r="T145" s="39"/>
      <c r="AR145" s="61"/>
      <c r="AY145" s="146"/>
    </row>
    <row r="146" ht="41.25" customHeight="1">
      <c r="C146" s="98"/>
      <c r="D146" s="131"/>
      <c r="E146" s="38"/>
      <c r="F146" s="98"/>
      <c r="G146" s="39"/>
      <c r="H146" s="39"/>
      <c r="I146" s="39"/>
      <c r="J146" s="39"/>
      <c r="K146" s="39"/>
      <c r="L146" s="39"/>
      <c r="M146" s="39"/>
      <c r="N146" s="39"/>
      <c r="O146" s="39"/>
      <c r="P146" s="39"/>
      <c r="Q146" s="39"/>
      <c r="R146" s="39"/>
      <c r="S146" s="39"/>
      <c r="T146" s="39"/>
      <c r="AR146" s="61"/>
      <c r="AY146" s="146"/>
    </row>
    <row r="147" ht="41.25" customHeight="1">
      <c r="C147" s="98"/>
      <c r="D147" s="131"/>
      <c r="E147" s="38"/>
      <c r="F147" s="98"/>
      <c r="G147" s="39"/>
      <c r="H147" s="39"/>
      <c r="I147" s="39"/>
      <c r="J147" s="39"/>
      <c r="K147" s="39"/>
      <c r="L147" s="39"/>
      <c r="M147" s="39"/>
      <c r="N147" s="39"/>
      <c r="O147" s="39"/>
      <c r="P147" s="39"/>
      <c r="Q147" s="39"/>
      <c r="R147" s="39"/>
      <c r="S147" s="39"/>
      <c r="T147" s="39"/>
      <c r="AR147" s="61"/>
      <c r="AY147" s="146"/>
    </row>
    <row r="148" ht="41.25" customHeight="1">
      <c r="C148" s="98"/>
      <c r="D148" s="131"/>
      <c r="E148" s="38"/>
      <c r="F148" s="98"/>
      <c r="G148" s="39"/>
      <c r="H148" s="39"/>
      <c r="I148" s="39"/>
      <c r="J148" s="39"/>
      <c r="K148" s="39"/>
      <c r="L148" s="39"/>
      <c r="M148" s="39"/>
      <c r="N148" s="39"/>
      <c r="O148" s="39"/>
      <c r="P148" s="39"/>
      <c r="Q148" s="39"/>
      <c r="R148" s="39"/>
      <c r="S148" s="39"/>
      <c r="T148" s="39"/>
      <c r="AR148" s="61"/>
      <c r="AY148" s="146"/>
    </row>
    <row r="149" ht="41.25" customHeight="1">
      <c r="C149" s="98"/>
      <c r="D149" s="131"/>
      <c r="E149" s="38"/>
      <c r="F149" s="98"/>
      <c r="G149" s="39"/>
      <c r="H149" s="39"/>
      <c r="I149" s="39"/>
      <c r="J149" s="39"/>
      <c r="K149" s="39"/>
      <c r="L149" s="39"/>
      <c r="M149" s="39"/>
      <c r="N149" s="39"/>
      <c r="O149" s="39"/>
      <c r="P149" s="39"/>
      <c r="Q149" s="39"/>
      <c r="R149" s="39"/>
      <c r="S149" s="39"/>
      <c r="T149" s="39"/>
      <c r="AR149" s="61"/>
      <c r="AY149" s="146"/>
    </row>
    <row r="150" ht="41.25" customHeight="1">
      <c r="C150" s="98"/>
      <c r="D150" s="131"/>
      <c r="E150" s="38"/>
      <c r="F150" s="98"/>
      <c r="G150" s="39"/>
      <c r="H150" s="39"/>
      <c r="I150" s="39"/>
      <c r="J150" s="39"/>
      <c r="K150" s="39"/>
      <c r="L150" s="39"/>
      <c r="M150" s="39"/>
      <c r="N150" s="39"/>
      <c r="O150" s="39"/>
      <c r="P150" s="39"/>
      <c r="Q150" s="39"/>
      <c r="R150" s="39"/>
      <c r="S150" s="39"/>
      <c r="T150" s="39"/>
      <c r="AR150" s="61"/>
      <c r="AY150" s="146"/>
    </row>
    <row r="151" ht="41.25" customHeight="1">
      <c r="C151" s="98"/>
      <c r="D151" s="131"/>
      <c r="E151" s="38"/>
      <c r="F151" s="98"/>
      <c r="G151" s="39"/>
      <c r="H151" s="39"/>
      <c r="I151" s="39"/>
      <c r="J151" s="39"/>
      <c r="K151" s="39"/>
      <c r="L151" s="39"/>
      <c r="M151" s="39"/>
      <c r="N151" s="39"/>
      <c r="O151" s="39"/>
      <c r="P151" s="39"/>
      <c r="Q151" s="39"/>
      <c r="R151" s="39"/>
      <c r="S151" s="39"/>
      <c r="T151" s="39"/>
      <c r="AR151" s="61"/>
      <c r="AY151" s="146"/>
    </row>
    <row r="152" ht="41.25" customHeight="1">
      <c r="C152" s="98"/>
      <c r="D152" s="131"/>
      <c r="E152" s="38"/>
      <c r="F152" s="98"/>
      <c r="G152" s="39"/>
      <c r="H152" s="39"/>
      <c r="I152" s="39"/>
      <c r="J152" s="39"/>
      <c r="K152" s="39"/>
      <c r="L152" s="39"/>
      <c r="M152" s="39"/>
      <c r="N152" s="39"/>
      <c r="O152" s="39"/>
      <c r="P152" s="39"/>
      <c r="Q152" s="39"/>
      <c r="R152" s="39"/>
      <c r="S152" s="39"/>
      <c r="T152" s="39"/>
      <c r="AR152" s="61"/>
      <c r="AY152" s="146"/>
    </row>
    <row r="153" ht="41.25" customHeight="1">
      <c r="C153" s="98"/>
      <c r="D153" s="131"/>
      <c r="E153" s="38"/>
      <c r="F153" s="98"/>
      <c r="G153" s="39"/>
      <c r="H153" s="39"/>
      <c r="I153" s="39"/>
      <c r="J153" s="39"/>
      <c r="K153" s="39"/>
      <c r="L153" s="39"/>
      <c r="M153" s="39"/>
      <c r="N153" s="39"/>
      <c r="O153" s="39"/>
      <c r="P153" s="39"/>
      <c r="Q153" s="39"/>
      <c r="R153" s="39"/>
      <c r="S153" s="39"/>
      <c r="T153" s="39"/>
      <c r="AR153" s="61"/>
      <c r="AY153" s="146"/>
    </row>
    <row r="154" ht="41.25" customHeight="1">
      <c r="C154" s="98"/>
      <c r="D154" s="131"/>
      <c r="E154" s="38"/>
      <c r="F154" s="98"/>
      <c r="G154" s="39"/>
      <c r="H154" s="39"/>
      <c r="I154" s="39"/>
      <c r="J154" s="39"/>
      <c r="K154" s="39"/>
      <c r="L154" s="39"/>
      <c r="M154" s="39"/>
      <c r="N154" s="39"/>
      <c r="O154" s="39"/>
      <c r="P154" s="39"/>
      <c r="Q154" s="39"/>
      <c r="R154" s="39"/>
      <c r="S154" s="39"/>
      <c r="T154" s="39"/>
      <c r="AR154" s="61"/>
      <c r="AY154" s="146"/>
    </row>
    <row r="155" ht="41.25" customHeight="1">
      <c r="C155" s="98"/>
      <c r="D155" s="131"/>
      <c r="E155" s="38"/>
      <c r="F155" s="98"/>
      <c r="G155" s="39"/>
      <c r="H155" s="39"/>
      <c r="I155" s="39"/>
      <c r="J155" s="39"/>
      <c r="K155" s="39"/>
      <c r="L155" s="39"/>
      <c r="M155" s="39"/>
      <c r="N155" s="39"/>
      <c r="O155" s="39"/>
      <c r="P155" s="39"/>
      <c r="Q155" s="39"/>
      <c r="R155" s="39"/>
      <c r="S155" s="39"/>
      <c r="T155" s="39"/>
      <c r="AR155" s="61"/>
      <c r="AY155" s="146"/>
    </row>
    <row r="156" ht="41.25" customHeight="1">
      <c r="C156" s="98"/>
      <c r="D156" s="131"/>
      <c r="E156" s="38"/>
      <c r="F156" s="98"/>
      <c r="G156" s="39"/>
      <c r="H156" s="39"/>
      <c r="I156" s="39"/>
      <c r="J156" s="39"/>
      <c r="K156" s="39"/>
      <c r="L156" s="39"/>
      <c r="M156" s="39"/>
      <c r="N156" s="39"/>
      <c r="O156" s="39"/>
      <c r="P156" s="39"/>
      <c r="Q156" s="39"/>
      <c r="R156" s="39"/>
      <c r="S156" s="39"/>
      <c r="T156" s="39"/>
      <c r="AR156" s="61"/>
      <c r="AY156" s="146"/>
    </row>
    <row r="157" ht="41.25" customHeight="1">
      <c r="C157" s="98"/>
      <c r="D157" s="131"/>
      <c r="E157" s="38"/>
      <c r="F157" s="98"/>
      <c r="G157" s="39"/>
      <c r="H157" s="39"/>
      <c r="I157" s="39"/>
      <c r="J157" s="39"/>
      <c r="K157" s="39"/>
      <c r="L157" s="39"/>
      <c r="M157" s="39"/>
      <c r="N157" s="39"/>
      <c r="O157" s="39"/>
      <c r="P157" s="39"/>
      <c r="Q157" s="39"/>
      <c r="R157" s="39"/>
      <c r="S157" s="39"/>
      <c r="T157" s="39"/>
      <c r="AR157" s="61"/>
      <c r="AY157" s="146"/>
    </row>
    <row r="158" ht="41.25" customHeight="1">
      <c r="C158" s="98"/>
      <c r="D158" s="131"/>
      <c r="E158" s="38"/>
      <c r="F158" s="98"/>
      <c r="G158" s="39"/>
      <c r="H158" s="39"/>
      <c r="I158" s="39"/>
      <c r="J158" s="39"/>
      <c r="K158" s="39"/>
      <c r="L158" s="39"/>
      <c r="M158" s="39"/>
      <c r="N158" s="39"/>
      <c r="O158" s="39"/>
      <c r="P158" s="39"/>
      <c r="Q158" s="39"/>
      <c r="R158" s="39"/>
      <c r="S158" s="39"/>
      <c r="T158" s="39"/>
      <c r="AR158" s="61"/>
      <c r="AY158" s="146"/>
    </row>
    <row r="159" ht="41.25" customHeight="1">
      <c r="C159" s="98"/>
      <c r="D159" s="131"/>
      <c r="E159" s="38"/>
      <c r="F159" s="98"/>
      <c r="G159" s="39"/>
      <c r="H159" s="39"/>
      <c r="I159" s="39"/>
      <c r="J159" s="39"/>
      <c r="K159" s="39"/>
      <c r="L159" s="39"/>
      <c r="M159" s="39"/>
      <c r="N159" s="39"/>
      <c r="O159" s="39"/>
      <c r="P159" s="39"/>
      <c r="Q159" s="39"/>
      <c r="R159" s="39"/>
      <c r="S159" s="39"/>
      <c r="T159" s="39"/>
      <c r="AR159" s="61"/>
      <c r="AY159" s="146"/>
    </row>
    <row r="160" ht="41.25" customHeight="1">
      <c r="C160" s="98"/>
      <c r="D160" s="131"/>
      <c r="E160" s="38"/>
      <c r="F160" s="98"/>
      <c r="G160" s="39"/>
      <c r="H160" s="39"/>
      <c r="I160" s="39"/>
      <c r="J160" s="39"/>
      <c r="K160" s="39"/>
      <c r="L160" s="39"/>
      <c r="M160" s="39"/>
      <c r="N160" s="39"/>
      <c r="O160" s="39"/>
      <c r="P160" s="39"/>
      <c r="Q160" s="39"/>
      <c r="R160" s="39"/>
      <c r="S160" s="39"/>
      <c r="T160" s="39"/>
      <c r="AR160" s="61"/>
      <c r="AY160" s="146"/>
    </row>
    <row r="161" ht="41.25" customHeight="1">
      <c r="C161" s="98"/>
      <c r="D161" s="131"/>
      <c r="E161" s="38"/>
      <c r="F161" s="98"/>
      <c r="G161" s="39"/>
      <c r="H161" s="39"/>
      <c r="I161" s="39"/>
      <c r="J161" s="39"/>
      <c r="K161" s="39"/>
      <c r="L161" s="39"/>
      <c r="M161" s="39"/>
      <c r="N161" s="39"/>
      <c r="O161" s="39"/>
      <c r="P161" s="39"/>
      <c r="Q161" s="39"/>
      <c r="R161" s="39"/>
      <c r="S161" s="39"/>
      <c r="T161" s="39"/>
      <c r="AR161" s="61"/>
      <c r="AY161" s="146"/>
    </row>
    <row r="162" ht="41.25" customHeight="1">
      <c r="C162" s="98"/>
      <c r="D162" s="131"/>
      <c r="E162" s="38"/>
      <c r="F162" s="98"/>
      <c r="G162" s="39"/>
      <c r="H162" s="39"/>
      <c r="I162" s="39"/>
      <c r="J162" s="39"/>
      <c r="K162" s="39"/>
      <c r="L162" s="39"/>
      <c r="M162" s="39"/>
      <c r="N162" s="39"/>
      <c r="O162" s="39"/>
      <c r="P162" s="39"/>
      <c r="Q162" s="39"/>
      <c r="R162" s="39"/>
      <c r="S162" s="39"/>
      <c r="T162" s="39"/>
      <c r="AR162" s="61"/>
      <c r="AY162" s="146"/>
    </row>
    <row r="163" ht="41.25" customHeight="1">
      <c r="C163" s="98"/>
      <c r="D163" s="131"/>
      <c r="E163" s="38"/>
      <c r="F163" s="98"/>
      <c r="G163" s="39"/>
      <c r="H163" s="39"/>
      <c r="I163" s="39"/>
      <c r="J163" s="39"/>
      <c r="K163" s="39"/>
      <c r="L163" s="39"/>
      <c r="M163" s="39"/>
      <c r="N163" s="39"/>
      <c r="O163" s="39"/>
      <c r="P163" s="39"/>
      <c r="Q163" s="39"/>
      <c r="R163" s="39"/>
      <c r="S163" s="39"/>
      <c r="T163" s="39"/>
      <c r="AR163" s="61"/>
      <c r="AY163" s="146"/>
    </row>
    <row r="164" ht="41.25" customHeight="1">
      <c r="C164" s="98"/>
      <c r="D164" s="131"/>
      <c r="E164" s="38"/>
      <c r="F164" s="98"/>
      <c r="G164" s="39"/>
      <c r="H164" s="39"/>
      <c r="I164" s="39"/>
      <c r="J164" s="39"/>
      <c r="K164" s="39"/>
      <c r="L164" s="39"/>
      <c r="M164" s="39"/>
      <c r="N164" s="39"/>
      <c r="O164" s="39"/>
      <c r="P164" s="39"/>
      <c r="Q164" s="39"/>
      <c r="R164" s="39"/>
      <c r="S164" s="39"/>
      <c r="T164" s="39"/>
      <c r="AR164" s="61"/>
      <c r="AY164" s="146"/>
    </row>
    <row r="165" ht="41.25" customHeight="1">
      <c r="C165" s="98"/>
      <c r="D165" s="131"/>
      <c r="E165" s="38"/>
      <c r="F165" s="98"/>
      <c r="G165" s="39"/>
      <c r="H165" s="39"/>
      <c r="I165" s="39"/>
      <c r="J165" s="39"/>
      <c r="K165" s="39"/>
      <c r="L165" s="39"/>
      <c r="M165" s="39"/>
      <c r="N165" s="39"/>
      <c r="O165" s="39"/>
      <c r="P165" s="39"/>
      <c r="Q165" s="39"/>
      <c r="R165" s="39"/>
      <c r="S165" s="39"/>
      <c r="T165" s="39"/>
      <c r="AR165" s="61"/>
      <c r="AY165" s="146"/>
    </row>
    <row r="166" ht="41.25" customHeight="1">
      <c r="C166" s="98"/>
      <c r="D166" s="131"/>
      <c r="E166" s="38"/>
      <c r="F166" s="98"/>
      <c r="G166" s="39"/>
      <c r="H166" s="39"/>
      <c r="I166" s="39"/>
      <c r="J166" s="39"/>
      <c r="K166" s="39"/>
      <c r="L166" s="39"/>
      <c r="M166" s="39"/>
      <c r="N166" s="39"/>
      <c r="O166" s="39"/>
      <c r="P166" s="39"/>
      <c r="Q166" s="39"/>
      <c r="R166" s="39"/>
      <c r="S166" s="39"/>
      <c r="T166" s="39"/>
      <c r="AR166" s="61"/>
      <c r="AY166" s="146"/>
    </row>
    <row r="167" ht="41.25" customHeight="1">
      <c r="C167" s="98"/>
      <c r="D167" s="131"/>
      <c r="E167" s="38"/>
      <c r="F167" s="98"/>
      <c r="G167" s="39"/>
      <c r="H167" s="39"/>
      <c r="I167" s="39"/>
      <c r="J167" s="39"/>
      <c r="K167" s="39"/>
      <c r="L167" s="39"/>
      <c r="M167" s="39"/>
      <c r="N167" s="39"/>
      <c r="O167" s="39"/>
      <c r="P167" s="39"/>
      <c r="Q167" s="39"/>
      <c r="R167" s="39"/>
      <c r="S167" s="39"/>
      <c r="T167" s="39"/>
      <c r="AR167" s="61"/>
      <c r="AY167" s="146"/>
    </row>
    <row r="168" ht="41.25" customHeight="1">
      <c r="C168" s="98"/>
      <c r="D168" s="131"/>
      <c r="E168" s="38"/>
      <c r="F168" s="98"/>
      <c r="G168" s="39"/>
      <c r="H168" s="39"/>
      <c r="I168" s="39"/>
      <c r="J168" s="39"/>
      <c r="K168" s="39"/>
      <c r="L168" s="39"/>
      <c r="M168" s="39"/>
      <c r="N168" s="39"/>
      <c r="O168" s="39"/>
      <c r="P168" s="39"/>
      <c r="Q168" s="39"/>
      <c r="R168" s="39"/>
      <c r="S168" s="39"/>
      <c r="T168" s="39"/>
      <c r="AR168" s="61"/>
      <c r="AY168" s="146"/>
    </row>
    <row r="169" ht="41.25" customHeight="1">
      <c r="C169" s="98"/>
      <c r="D169" s="131"/>
      <c r="E169" s="38"/>
      <c r="F169" s="98"/>
      <c r="G169" s="39"/>
      <c r="H169" s="39"/>
      <c r="I169" s="39"/>
      <c r="J169" s="39"/>
      <c r="K169" s="39"/>
      <c r="L169" s="39"/>
      <c r="M169" s="39"/>
      <c r="N169" s="39"/>
      <c r="O169" s="39"/>
      <c r="P169" s="39"/>
      <c r="Q169" s="39"/>
      <c r="R169" s="39"/>
      <c r="S169" s="39"/>
      <c r="T169" s="39"/>
      <c r="AR169" s="61"/>
      <c r="AY169" s="146"/>
    </row>
    <row r="170" ht="41.25" customHeight="1">
      <c r="C170" s="98"/>
      <c r="D170" s="131"/>
      <c r="E170" s="38"/>
      <c r="F170" s="98"/>
      <c r="G170" s="39"/>
      <c r="H170" s="39"/>
      <c r="I170" s="39"/>
      <c r="J170" s="39"/>
      <c r="K170" s="39"/>
      <c r="L170" s="39"/>
      <c r="M170" s="39"/>
      <c r="N170" s="39"/>
      <c r="O170" s="39"/>
      <c r="P170" s="39"/>
      <c r="Q170" s="39"/>
      <c r="R170" s="39"/>
      <c r="S170" s="39"/>
      <c r="T170" s="39"/>
      <c r="AR170" s="61"/>
      <c r="AY170" s="146"/>
    </row>
    <row r="171" ht="41.25" customHeight="1">
      <c r="C171" s="98"/>
      <c r="D171" s="131"/>
      <c r="E171" s="38"/>
      <c r="F171" s="98"/>
      <c r="G171" s="39"/>
      <c r="H171" s="39"/>
      <c r="I171" s="39"/>
      <c r="J171" s="39"/>
      <c r="K171" s="39"/>
      <c r="L171" s="39"/>
      <c r="M171" s="39"/>
      <c r="N171" s="39"/>
      <c r="O171" s="39"/>
      <c r="P171" s="39"/>
      <c r="Q171" s="39"/>
      <c r="R171" s="39"/>
      <c r="S171" s="39"/>
      <c r="T171" s="39"/>
      <c r="AR171" s="61"/>
      <c r="AY171" s="146"/>
    </row>
    <row r="172" ht="41.25" customHeight="1">
      <c r="C172" s="98"/>
      <c r="D172" s="131"/>
      <c r="E172" s="38"/>
      <c r="F172" s="98"/>
      <c r="G172" s="39"/>
      <c r="H172" s="39"/>
      <c r="I172" s="39"/>
      <c r="J172" s="39"/>
      <c r="K172" s="39"/>
      <c r="L172" s="39"/>
      <c r="M172" s="39"/>
      <c r="N172" s="39"/>
      <c r="O172" s="39"/>
      <c r="P172" s="39"/>
      <c r="Q172" s="39"/>
      <c r="R172" s="39"/>
      <c r="S172" s="39"/>
      <c r="T172" s="39"/>
      <c r="AR172" s="61"/>
      <c r="AY172" s="146"/>
    </row>
    <row r="173" ht="41.25" customHeight="1">
      <c r="C173" s="98"/>
      <c r="D173" s="131"/>
      <c r="E173" s="38"/>
      <c r="F173" s="98"/>
      <c r="G173" s="39"/>
      <c r="H173" s="39"/>
      <c r="I173" s="39"/>
      <c r="J173" s="39"/>
      <c r="K173" s="39"/>
      <c r="L173" s="39"/>
      <c r="M173" s="39"/>
      <c r="N173" s="39"/>
      <c r="O173" s="39"/>
      <c r="P173" s="39"/>
      <c r="Q173" s="39"/>
      <c r="R173" s="39"/>
      <c r="S173" s="39"/>
      <c r="T173" s="39"/>
      <c r="AR173" s="61"/>
      <c r="AY173" s="146"/>
    </row>
    <row r="174" ht="41.25" customHeight="1">
      <c r="C174" s="98"/>
      <c r="D174" s="131"/>
      <c r="E174" s="38"/>
      <c r="F174" s="98"/>
      <c r="G174" s="39"/>
      <c r="H174" s="39"/>
      <c r="I174" s="39"/>
      <c r="J174" s="39"/>
      <c r="K174" s="39"/>
      <c r="L174" s="39"/>
      <c r="M174" s="39"/>
      <c r="N174" s="39"/>
      <c r="O174" s="39"/>
      <c r="P174" s="39"/>
      <c r="Q174" s="39"/>
      <c r="R174" s="39"/>
      <c r="S174" s="39"/>
      <c r="T174" s="39"/>
      <c r="AR174" s="61"/>
      <c r="AY174" s="146"/>
    </row>
    <row r="175" ht="41.25" customHeight="1">
      <c r="C175" s="98"/>
      <c r="D175" s="131"/>
      <c r="E175" s="38"/>
      <c r="F175" s="98"/>
      <c r="G175" s="39"/>
      <c r="H175" s="39"/>
      <c r="I175" s="39"/>
      <c r="J175" s="39"/>
      <c r="K175" s="39"/>
      <c r="L175" s="39"/>
      <c r="M175" s="39"/>
      <c r="N175" s="39"/>
      <c r="O175" s="39"/>
      <c r="P175" s="39"/>
      <c r="Q175" s="39"/>
      <c r="R175" s="39"/>
      <c r="S175" s="39"/>
      <c r="T175" s="39"/>
      <c r="AR175" s="61"/>
      <c r="AY175" s="146"/>
    </row>
    <row r="176" ht="41.25" customHeight="1">
      <c r="C176" s="98"/>
      <c r="D176" s="131"/>
      <c r="E176" s="38"/>
      <c r="F176" s="98"/>
      <c r="G176" s="39"/>
      <c r="H176" s="39"/>
      <c r="I176" s="39"/>
      <c r="J176" s="39"/>
      <c r="K176" s="39"/>
      <c r="L176" s="39"/>
      <c r="M176" s="39"/>
      <c r="N176" s="39"/>
      <c r="O176" s="39"/>
      <c r="P176" s="39"/>
      <c r="Q176" s="39"/>
      <c r="R176" s="39"/>
      <c r="S176" s="39"/>
      <c r="T176" s="39"/>
      <c r="AR176" s="61"/>
      <c r="AY176" s="146"/>
    </row>
    <row r="177" ht="41.25" customHeight="1">
      <c r="C177" s="98"/>
      <c r="D177" s="131"/>
      <c r="E177" s="38"/>
      <c r="F177" s="98"/>
      <c r="G177" s="39"/>
      <c r="H177" s="39"/>
      <c r="I177" s="39"/>
      <c r="J177" s="39"/>
      <c r="K177" s="39"/>
      <c r="L177" s="39"/>
      <c r="M177" s="39"/>
      <c r="N177" s="39"/>
      <c r="O177" s="39"/>
      <c r="P177" s="39"/>
      <c r="Q177" s="39"/>
      <c r="R177" s="39"/>
      <c r="S177" s="39"/>
      <c r="T177" s="39"/>
      <c r="AR177" s="61"/>
      <c r="AY177" s="146"/>
    </row>
    <row r="178" ht="41.25" customHeight="1">
      <c r="C178" s="98"/>
      <c r="D178" s="131"/>
      <c r="E178" s="38"/>
      <c r="F178" s="98"/>
      <c r="G178" s="39"/>
      <c r="H178" s="39"/>
      <c r="I178" s="39"/>
      <c r="J178" s="39"/>
      <c r="K178" s="39"/>
      <c r="L178" s="39"/>
      <c r="M178" s="39"/>
      <c r="N178" s="39"/>
      <c r="O178" s="39"/>
      <c r="P178" s="39"/>
      <c r="Q178" s="39"/>
      <c r="R178" s="39"/>
      <c r="S178" s="39"/>
      <c r="T178" s="39"/>
      <c r="AR178" s="61"/>
      <c r="AY178" s="146"/>
    </row>
    <row r="179" ht="41.25" customHeight="1">
      <c r="C179" s="98"/>
      <c r="D179" s="131"/>
      <c r="E179" s="38"/>
      <c r="F179" s="98"/>
      <c r="G179" s="39"/>
      <c r="H179" s="39"/>
      <c r="I179" s="39"/>
      <c r="J179" s="39"/>
      <c r="K179" s="39"/>
      <c r="L179" s="39"/>
      <c r="M179" s="39"/>
      <c r="N179" s="39"/>
      <c r="O179" s="39"/>
      <c r="P179" s="39"/>
      <c r="Q179" s="39"/>
      <c r="R179" s="39"/>
      <c r="S179" s="39"/>
      <c r="T179" s="39"/>
      <c r="AR179" s="61"/>
      <c r="AY179" s="146"/>
    </row>
    <row r="180" ht="41.25" customHeight="1">
      <c r="C180" s="98"/>
      <c r="D180" s="131"/>
      <c r="E180" s="38"/>
      <c r="F180" s="98"/>
      <c r="G180" s="39"/>
      <c r="H180" s="39"/>
      <c r="I180" s="39"/>
      <c r="J180" s="39"/>
      <c r="K180" s="39"/>
      <c r="L180" s="39"/>
      <c r="M180" s="39"/>
      <c r="N180" s="39"/>
      <c r="O180" s="39"/>
      <c r="P180" s="39"/>
      <c r="Q180" s="39"/>
      <c r="R180" s="39"/>
      <c r="S180" s="39"/>
      <c r="T180" s="39"/>
      <c r="AR180" s="61"/>
      <c r="AY180" s="146"/>
    </row>
    <row r="181" ht="41.25" customHeight="1">
      <c r="C181" s="98"/>
      <c r="D181" s="131"/>
      <c r="E181" s="38"/>
      <c r="F181" s="98"/>
      <c r="G181" s="39"/>
      <c r="H181" s="39"/>
      <c r="I181" s="39"/>
      <c r="J181" s="39"/>
      <c r="K181" s="39"/>
      <c r="L181" s="39"/>
      <c r="M181" s="39"/>
      <c r="N181" s="39"/>
      <c r="O181" s="39"/>
      <c r="P181" s="39"/>
      <c r="Q181" s="39"/>
      <c r="R181" s="39"/>
      <c r="S181" s="39"/>
      <c r="T181" s="39"/>
      <c r="AR181" s="61"/>
      <c r="AY181" s="146"/>
    </row>
    <row r="182" ht="41.25" customHeight="1">
      <c r="C182" s="98"/>
      <c r="D182" s="131"/>
      <c r="E182" s="38"/>
      <c r="F182" s="98"/>
      <c r="G182" s="39"/>
      <c r="H182" s="39"/>
      <c r="I182" s="39"/>
      <c r="J182" s="39"/>
      <c r="K182" s="39"/>
      <c r="L182" s="39"/>
      <c r="M182" s="39"/>
      <c r="N182" s="39"/>
      <c r="O182" s="39"/>
      <c r="P182" s="39"/>
      <c r="Q182" s="39"/>
      <c r="R182" s="39"/>
      <c r="S182" s="39"/>
      <c r="T182" s="39"/>
      <c r="AR182" s="61"/>
      <c r="AY182" s="146"/>
    </row>
    <row r="183" ht="41.25" customHeight="1">
      <c r="C183" s="98"/>
      <c r="D183" s="131"/>
      <c r="E183" s="38"/>
      <c r="F183" s="98"/>
      <c r="G183" s="39"/>
      <c r="H183" s="39"/>
      <c r="I183" s="39"/>
      <c r="J183" s="39"/>
      <c r="K183" s="39"/>
      <c r="L183" s="39"/>
      <c r="M183" s="39"/>
      <c r="N183" s="39"/>
      <c r="O183" s="39"/>
      <c r="P183" s="39"/>
      <c r="Q183" s="39"/>
      <c r="R183" s="39"/>
      <c r="S183" s="39"/>
      <c r="T183" s="39"/>
      <c r="AR183" s="61"/>
      <c r="AY183" s="146"/>
    </row>
    <row r="184" ht="41.25" customHeight="1">
      <c r="C184" s="98"/>
      <c r="D184" s="131"/>
      <c r="E184" s="38"/>
      <c r="F184" s="98"/>
      <c r="G184" s="39"/>
      <c r="H184" s="39"/>
      <c r="I184" s="39"/>
      <c r="J184" s="39"/>
      <c r="K184" s="39"/>
      <c r="L184" s="39"/>
      <c r="M184" s="39"/>
      <c r="N184" s="39"/>
      <c r="O184" s="39"/>
      <c r="P184" s="39"/>
      <c r="Q184" s="39"/>
      <c r="R184" s="39"/>
      <c r="S184" s="39"/>
      <c r="T184" s="39"/>
      <c r="AR184" s="61"/>
      <c r="AY184" s="146"/>
    </row>
    <row r="185" ht="41.25" customHeight="1">
      <c r="C185" s="98"/>
      <c r="D185" s="131"/>
      <c r="E185" s="38"/>
      <c r="F185" s="98"/>
      <c r="G185" s="39"/>
      <c r="H185" s="39"/>
      <c r="I185" s="39"/>
      <c r="J185" s="39"/>
      <c r="K185" s="39"/>
      <c r="L185" s="39"/>
      <c r="M185" s="39"/>
      <c r="N185" s="39"/>
      <c r="O185" s="39"/>
      <c r="P185" s="39"/>
      <c r="Q185" s="39"/>
      <c r="R185" s="39"/>
      <c r="S185" s="39"/>
      <c r="T185" s="39"/>
      <c r="AR185" s="61"/>
      <c r="AY185" s="146"/>
    </row>
    <row r="186" ht="41.25" customHeight="1">
      <c r="C186" s="98"/>
      <c r="D186" s="131"/>
      <c r="E186" s="38"/>
      <c r="F186" s="98"/>
      <c r="G186" s="39"/>
      <c r="H186" s="39"/>
      <c r="I186" s="39"/>
      <c r="J186" s="39"/>
      <c r="K186" s="39"/>
      <c r="L186" s="39"/>
      <c r="M186" s="39"/>
      <c r="N186" s="39"/>
      <c r="O186" s="39"/>
      <c r="P186" s="39"/>
      <c r="Q186" s="39"/>
      <c r="R186" s="39"/>
      <c r="S186" s="39"/>
      <c r="T186" s="39"/>
      <c r="AR186" s="61"/>
      <c r="AY186" s="146"/>
    </row>
    <row r="187" ht="41.25" customHeight="1">
      <c r="C187" s="98"/>
      <c r="D187" s="131"/>
      <c r="E187" s="38"/>
      <c r="F187" s="98"/>
      <c r="G187" s="39"/>
      <c r="H187" s="39"/>
      <c r="I187" s="39"/>
      <c r="J187" s="39"/>
      <c r="K187" s="39"/>
      <c r="L187" s="39"/>
      <c r="M187" s="39"/>
      <c r="N187" s="39"/>
      <c r="O187" s="39"/>
      <c r="P187" s="39"/>
      <c r="Q187" s="39"/>
      <c r="R187" s="39"/>
      <c r="S187" s="39"/>
      <c r="T187" s="39"/>
      <c r="AR187" s="61"/>
      <c r="AY187" s="146"/>
    </row>
    <row r="188" ht="41.25" customHeight="1">
      <c r="C188" s="98"/>
      <c r="D188" s="131"/>
      <c r="E188" s="38"/>
      <c r="F188" s="98"/>
      <c r="G188" s="39"/>
      <c r="H188" s="39"/>
      <c r="I188" s="39"/>
      <c r="J188" s="39"/>
      <c r="K188" s="39"/>
      <c r="L188" s="39"/>
      <c r="M188" s="39"/>
      <c r="N188" s="39"/>
      <c r="O188" s="39"/>
      <c r="P188" s="39"/>
      <c r="Q188" s="39"/>
      <c r="R188" s="39"/>
      <c r="S188" s="39"/>
      <c r="T188" s="39"/>
      <c r="AR188" s="61"/>
      <c r="AY188" s="146"/>
    </row>
    <row r="189" ht="41.25" customHeight="1">
      <c r="C189" s="98"/>
      <c r="D189" s="131"/>
      <c r="E189" s="38"/>
      <c r="F189" s="98"/>
      <c r="G189" s="39"/>
      <c r="H189" s="39"/>
      <c r="I189" s="39"/>
      <c r="J189" s="39"/>
      <c r="K189" s="39"/>
      <c r="L189" s="39"/>
      <c r="M189" s="39"/>
      <c r="N189" s="39"/>
      <c r="O189" s="39"/>
      <c r="P189" s="39"/>
      <c r="Q189" s="39"/>
      <c r="R189" s="39"/>
      <c r="S189" s="39"/>
      <c r="T189" s="39"/>
      <c r="AR189" s="61"/>
      <c r="AY189" s="146"/>
    </row>
    <row r="190" ht="41.25" customHeight="1">
      <c r="C190" s="98"/>
      <c r="D190" s="131"/>
      <c r="E190" s="38"/>
      <c r="F190" s="98"/>
      <c r="G190" s="39"/>
      <c r="H190" s="39"/>
      <c r="I190" s="39"/>
      <c r="J190" s="39"/>
      <c r="K190" s="39"/>
      <c r="L190" s="39"/>
      <c r="M190" s="39"/>
      <c r="N190" s="39"/>
      <c r="O190" s="39"/>
      <c r="P190" s="39"/>
      <c r="Q190" s="39"/>
      <c r="R190" s="39"/>
      <c r="S190" s="39"/>
      <c r="T190" s="39"/>
      <c r="AR190" s="61"/>
      <c r="AY190" s="146"/>
    </row>
    <row r="191" ht="41.25" customHeight="1">
      <c r="C191" s="98"/>
      <c r="D191" s="131"/>
      <c r="E191" s="38"/>
      <c r="F191" s="98"/>
      <c r="G191" s="39"/>
      <c r="H191" s="39"/>
      <c r="I191" s="39"/>
      <c r="J191" s="39"/>
      <c r="K191" s="39"/>
      <c r="L191" s="39"/>
      <c r="M191" s="39"/>
      <c r="N191" s="39"/>
      <c r="O191" s="39"/>
      <c r="P191" s="39"/>
      <c r="Q191" s="39"/>
      <c r="R191" s="39"/>
      <c r="S191" s="39"/>
      <c r="T191" s="39"/>
      <c r="AR191" s="61"/>
      <c r="AY191" s="146"/>
    </row>
    <row r="192" ht="41.25" customHeight="1">
      <c r="C192" s="98"/>
      <c r="D192" s="131"/>
      <c r="E192" s="38"/>
      <c r="F192" s="98"/>
      <c r="G192" s="39"/>
      <c r="H192" s="39"/>
      <c r="I192" s="39"/>
      <c r="J192" s="39"/>
      <c r="K192" s="39"/>
      <c r="L192" s="39"/>
      <c r="M192" s="39"/>
      <c r="N192" s="39"/>
      <c r="O192" s="39"/>
      <c r="P192" s="39"/>
      <c r="Q192" s="39"/>
      <c r="R192" s="39"/>
      <c r="S192" s="39"/>
      <c r="T192" s="39"/>
      <c r="AR192" s="61"/>
      <c r="AY192" s="146"/>
    </row>
    <row r="193" ht="41.25" customHeight="1">
      <c r="C193" s="98"/>
      <c r="D193" s="131"/>
      <c r="E193" s="38"/>
      <c r="F193" s="98"/>
      <c r="G193" s="39"/>
      <c r="H193" s="39"/>
      <c r="I193" s="39"/>
      <c r="J193" s="39"/>
      <c r="K193" s="39"/>
      <c r="L193" s="39"/>
      <c r="M193" s="39"/>
      <c r="N193" s="39"/>
      <c r="O193" s="39"/>
      <c r="P193" s="39"/>
      <c r="Q193" s="39"/>
      <c r="R193" s="39"/>
      <c r="S193" s="39"/>
      <c r="T193" s="39"/>
      <c r="AR193" s="61"/>
      <c r="AY193" s="146"/>
    </row>
    <row r="194" ht="41.25" customHeight="1">
      <c r="C194" s="98"/>
      <c r="D194" s="131"/>
      <c r="E194" s="38"/>
      <c r="F194" s="98"/>
      <c r="G194" s="39"/>
      <c r="H194" s="39"/>
      <c r="I194" s="39"/>
      <c r="J194" s="39"/>
      <c r="K194" s="39"/>
      <c r="L194" s="39"/>
      <c r="M194" s="39"/>
      <c r="N194" s="39"/>
      <c r="O194" s="39"/>
      <c r="P194" s="39"/>
      <c r="Q194" s="39"/>
      <c r="R194" s="39"/>
      <c r="S194" s="39"/>
      <c r="T194" s="39"/>
      <c r="AR194" s="61"/>
      <c r="AY194" s="146"/>
    </row>
    <row r="195" ht="41.25" customHeight="1">
      <c r="C195" s="98"/>
      <c r="D195" s="131"/>
      <c r="E195" s="38"/>
      <c r="F195" s="98"/>
      <c r="G195" s="39"/>
      <c r="H195" s="39"/>
      <c r="I195" s="39"/>
      <c r="J195" s="39"/>
      <c r="K195" s="39"/>
      <c r="L195" s="39"/>
      <c r="M195" s="39"/>
      <c r="N195" s="39"/>
      <c r="O195" s="39"/>
      <c r="P195" s="39"/>
      <c r="Q195" s="39"/>
      <c r="R195" s="39"/>
      <c r="S195" s="39"/>
      <c r="T195" s="39"/>
      <c r="AR195" s="61"/>
      <c r="AY195" s="146"/>
    </row>
    <row r="196" ht="41.25" customHeight="1">
      <c r="C196" s="98"/>
      <c r="D196" s="131"/>
      <c r="E196" s="38"/>
      <c r="F196" s="98"/>
      <c r="G196" s="39"/>
      <c r="H196" s="39"/>
      <c r="I196" s="39"/>
      <c r="J196" s="39"/>
      <c r="K196" s="39"/>
      <c r="L196" s="39"/>
      <c r="M196" s="39"/>
      <c r="N196" s="39"/>
      <c r="O196" s="39"/>
      <c r="P196" s="39"/>
      <c r="Q196" s="39"/>
      <c r="R196" s="39"/>
      <c r="S196" s="39"/>
      <c r="T196" s="39"/>
      <c r="AR196" s="61"/>
      <c r="AY196" s="146"/>
    </row>
    <row r="197" ht="41.25" customHeight="1">
      <c r="C197" s="98"/>
      <c r="D197" s="131"/>
      <c r="E197" s="38"/>
      <c r="F197" s="98"/>
      <c r="G197" s="39"/>
      <c r="H197" s="39"/>
      <c r="I197" s="39"/>
      <c r="J197" s="39"/>
      <c r="K197" s="39"/>
      <c r="L197" s="39"/>
      <c r="M197" s="39"/>
      <c r="N197" s="39"/>
      <c r="O197" s="39"/>
      <c r="P197" s="39"/>
      <c r="Q197" s="39"/>
      <c r="R197" s="39"/>
      <c r="S197" s="39"/>
      <c r="T197" s="39"/>
      <c r="AR197" s="61"/>
      <c r="AY197" s="146"/>
    </row>
    <row r="198" ht="41.25" customHeight="1">
      <c r="C198" s="98"/>
      <c r="D198" s="131"/>
      <c r="E198" s="38"/>
      <c r="F198" s="98"/>
      <c r="G198" s="39"/>
      <c r="H198" s="39"/>
      <c r="I198" s="39"/>
      <c r="J198" s="39"/>
      <c r="K198" s="39"/>
      <c r="L198" s="39"/>
      <c r="M198" s="39"/>
      <c r="N198" s="39"/>
      <c r="O198" s="39"/>
      <c r="P198" s="39"/>
      <c r="Q198" s="39"/>
      <c r="R198" s="39"/>
      <c r="S198" s="39"/>
      <c r="T198" s="39"/>
      <c r="AR198" s="61"/>
      <c r="AY198" s="146"/>
    </row>
    <row r="199" ht="41.25" customHeight="1">
      <c r="C199" s="98"/>
      <c r="D199" s="131"/>
      <c r="E199" s="38"/>
      <c r="F199" s="98"/>
      <c r="G199" s="39"/>
      <c r="H199" s="39"/>
      <c r="I199" s="39"/>
      <c r="J199" s="39"/>
      <c r="K199" s="39"/>
      <c r="L199" s="39"/>
      <c r="M199" s="39"/>
      <c r="N199" s="39"/>
      <c r="O199" s="39"/>
      <c r="P199" s="39"/>
      <c r="Q199" s="39"/>
      <c r="R199" s="39"/>
      <c r="S199" s="39"/>
      <c r="T199" s="39"/>
      <c r="AR199" s="61"/>
      <c r="AY199" s="146"/>
    </row>
    <row r="200" ht="41.25" customHeight="1">
      <c r="C200" s="98"/>
      <c r="D200" s="131"/>
      <c r="E200" s="38"/>
      <c r="F200" s="98"/>
      <c r="G200" s="39"/>
      <c r="H200" s="39"/>
      <c r="I200" s="39"/>
      <c r="J200" s="39"/>
      <c r="K200" s="39"/>
      <c r="L200" s="39"/>
      <c r="M200" s="39"/>
      <c r="N200" s="39"/>
      <c r="O200" s="39"/>
      <c r="P200" s="39"/>
      <c r="Q200" s="39"/>
      <c r="R200" s="39"/>
      <c r="S200" s="39"/>
      <c r="T200" s="39"/>
      <c r="AR200" s="61"/>
      <c r="AY200" s="146"/>
    </row>
    <row r="201" ht="41.25" customHeight="1">
      <c r="C201" s="98"/>
      <c r="D201" s="131"/>
      <c r="E201" s="38"/>
      <c r="F201" s="98"/>
      <c r="G201" s="39"/>
      <c r="H201" s="39"/>
      <c r="I201" s="39"/>
      <c r="J201" s="39"/>
      <c r="K201" s="39"/>
      <c r="L201" s="39"/>
      <c r="M201" s="39"/>
      <c r="N201" s="39"/>
      <c r="O201" s="39"/>
      <c r="P201" s="39"/>
      <c r="Q201" s="39"/>
      <c r="R201" s="39"/>
      <c r="S201" s="39"/>
      <c r="T201" s="39"/>
      <c r="AR201" s="61"/>
      <c r="AY201" s="146"/>
    </row>
    <row r="202" ht="41.25" customHeight="1">
      <c r="C202" s="98"/>
      <c r="D202" s="131"/>
      <c r="E202" s="38"/>
      <c r="F202" s="98"/>
      <c r="G202" s="39"/>
      <c r="H202" s="39"/>
      <c r="I202" s="39"/>
      <c r="J202" s="39"/>
      <c r="K202" s="39"/>
      <c r="L202" s="39"/>
      <c r="M202" s="39"/>
      <c r="N202" s="39"/>
      <c r="O202" s="39"/>
      <c r="P202" s="39"/>
      <c r="Q202" s="39"/>
      <c r="R202" s="39"/>
      <c r="S202" s="39"/>
      <c r="T202" s="39"/>
      <c r="AR202" s="61"/>
      <c r="AY202" s="146"/>
    </row>
    <row r="203" ht="41.25" customHeight="1">
      <c r="C203" s="98"/>
      <c r="D203" s="131"/>
      <c r="E203" s="38"/>
      <c r="F203" s="98"/>
      <c r="G203" s="39"/>
      <c r="H203" s="39"/>
      <c r="I203" s="39"/>
      <c r="J203" s="39"/>
      <c r="K203" s="39"/>
      <c r="L203" s="39"/>
      <c r="M203" s="39"/>
      <c r="N203" s="39"/>
      <c r="O203" s="39"/>
      <c r="P203" s="39"/>
      <c r="Q203" s="39"/>
      <c r="R203" s="39"/>
      <c r="S203" s="39"/>
      <c r="T203" s="39"/>
      <c r="AR203" s="61"/>
      <c r="AY203" s="146"/>
    </row>
    <row r="204" ht="41.25" customHeight="1">
      <c r="C204" s="98"/>
      <c r="D204" s="131"/>
      <c r="E204" s="38"/>
      <c r="F204" s="98"/>
      <c r="G204" s="39"/>
      <c r="H204" s="39"/>
      <c r="I204" s="39"/>
      <c r="J204" s="39"/>
      <c r="K204" s="39"/>
      <c r="L204" s="39"/>
      <c r="M204" s="39"/>
      <c r="N204" s="39"/>
      <c r="O204" s="39"/>
      <c r="P204" s="39"/>
      <c r="Q204" s="39"/>
      <c r="R204" s="39"/>
      <c r="S204" s="39"/>
      <c r="T204" s="39"/>
      <c r="AR204" s="61"/>
      <c r="AY204" s="146"/>
    </row>
    <row r="205" ht="41.25" customHeight="1">
      <c r="C205" s="98"/>
      <c r="D205" s="131"/>
      <c r="E205" s="38"/>
      <c r="F205" s="98"/>
      <c r="G205" s="39"/>
      <c r="H205" s="39"/>
      <c r="I205" s="39"/>
      <c r="J205" s="39"/>
      <c r="K205" s="39"/>
      <c r="L205" s="39"/>
      <c r="M205" s="39"/>
      <c r="N205" s="39"/>
      <c r="O205" s="39"/>
      <c r="P205" s="39"/>
      <c r="Q205" s="39"/>
      <c r="R205" s="39"/>
      <c r="S205" s="39"/>
      <c r="T205" s="39"/>
      <c r="AR205" s="61"/>
      <c r="AY205" s="146"/>
    </row>
    <row r="206" ht="41.25" customHeight="1">
      <c r="C206" s="98"/>
      <c r="D206" s="131"/>
      <c r="E206" s="38"/>
      <c r="F206" s="98"/>
      <c r="G206" s="39"/>
      <c r="H206" s="39"/>
      <c r="I206" s="39"/>
      <c r="J206" s="39"/>
      <c r="K206" s="39"/>
      <c r="L206" s="39"/>
      <c r="M206" s="39"/>
      <c r="N206" s="39"/>
      <c r="O206" s="39"/>
      <c r="P206" s="39"/>
      <c r="Q206" s="39"/>
      <c r="R206" s="39"/>
      <c r="S206" s="39"/>
      <c r="T206" s="39"/>
      <c r="AR206" s="61"/>
      <c r="AY206" s="146"/>
    </row>
    <row r="207" ht="41.25" customHeight="1">
      <c r="C207" s="98"/>
      <c r="D207" s="131"/>
      <c r="E207" s="38"/>
      <c r="F207" s="98"/>
      <c r="G207" s="39"/>
      <c r="H207" s="39"/>
      <c r="I207" s="39"/>
      <c r="J207" s="39"/>
      <c r="K207" s="39"/>
      <c r="L207" s="39"/>
      <c r="M207" s="39"/>
      <c r="N207" s="39"/>
      <c r="O207" s="39"/>
      <c r="P207" s="39"/>
      <c r="Q207" s="39"/>
      <c r="R207" s="39"/>
      <c r="S207" s="39"/>
      <c r="T207" s="39"/>
      <c r="AR207" s="61"/>
      <c r="AY207" s="146"/>
    </row>
    <row r="208" ht="41.25" customHeight="1">
      <c r="C208" s="98"/>
      <c r="D208" s="131"/>
      <c r="E208" s="38"/>
      <c r="F208" s="98"/>
      <c r="G208" s="39"/>
      <c r="H208" s="39"/>
      <c r="I208" s="39"/>
      <c r="J208" s="39"/>
      <c r="K208" s="39"/>
      <c r="L208" s="39"/>
      <c r="M208" s="39"/>
      <c r="N208" s="39"/>
      <c r="O208" s="39"/>
      <c r="P208" s="39"/>
      <c r="Q208" s="39"/>
      <c r="R208" s="39"/>
      <c r="S208" s="39"/>
      <c r="T208" s="39"/>
      <c r="AR208" s="61"/>
      <c r="AY208" s="146"/>
    </row>
    <row r="209" ht="41.25" customHeight="1">
      <c r="C209" s="98"/>
      <c r="D209" s="131"/>
      <c r="E209" s="38"/>
      <c r="F209" s="98"/>
      <c r="G209" s="39"/>
      <c r="H209" s="39"/>
      <c r="I209" s="39"/>
      <c r="J209" s="39"/>
      <c r="K209" s="39"/>
      <c r="L209" s="39"/>
      <c r="M209" s="39"/>
      <c r="N209" s="39"/>
      <c r="O209" s="39"/>
      <c r="P209" s="39"/>
      <c r="Q209" s="39"/>
      <c r="R209" s="39"/>
      <c r="S209" s="39"/>
      <c r="T209" s="39"/>
      <c r="AR209" s="61"/>
      <c r="AY209" s="146"/>
    </row>
    <row r="210" ht="41.25" customHeight="1">
      <c r="C210" s="98"/>
      <c r="D210" s="131"/>
      <c r="E210" s="38"/>
      <c r="F210" s="98"/>
      <c r="G210" s="39"/>
      <c r="H210" s="39"/>
      <c r="I210" s="39"/>
      <c r="J210" s="39"/>
      <c r="K210" s="39"/>
      <c r="L210" s="39"/>
      <c r="M210" s="39"/>
      <c r="N210" s="39"/>
      <c r="O210" s="39"/>
      <c r="P210" s="39"/>
      <c r="Q210" s="39"/>
      <c r="R210" s="39"/>
      <c r="S210" s="39"/>
      <c r="T210" s="39"/>
      <c r="AR210" s="61"/>
      <c r="AY210" s="146"/>
    </row>
    <row r="211" ht="41.25" customHeight="1">
      <c r="C211" s="98"/>
      <c r="D211" s="131"/>
      <c r="E211" s="38"/>
      <c r="F211" s="98"/>
      <c r="G211" s="39"/>
      <c r="H211" s="39"/>
      <c r="I211" s="39"/>
      <c r="J211" s="39"/>
      <c r="K211" s="39"/>
      <c r="L211" s="39"/>
      <c r="M211" s="39"/>
      <c r="N211" s="39"/>
      <c r="O211" s="39"/>
      <c r="P211" s="39"/>
      <c r="Q211" s="39"/>
      <c r="R211" s="39"/>
      <c r="S211" s="39"/>
      <c r="T211" s="39"/>
      <c r="AR211" s="61"/>
      <c r="AY211" s="146"/>
    </row>
    <row r="212" ht="41.25" customHeight="1">
      <c r="C212" s="98"/>
      <c r="D212" s="131"/>
      <c r="E212" s="38"/>
      <c r="F212" s="98"/>
      <c r="G212" s="39"/>
      <c r="H212" s="39"/>
      <c r="I212" s="39"/>
      <c r="J212" s="39"/>
      <c r="K212" s="39"/>
      <c r="L212" s="39"/>
      <c r="M212" s="39"/>
      <c r="N212" s="39"/>
      <c r="O212" s="39"/>
      <c r="P212" s="39"/>
      <c r="Q212" s="39"/>
      <c r="R212" s="39"/>
      <c r="S212" s="39"/>
      <c r="T212" s="39"/>
      <c r="AR212" s="61"/>
      <c r="AY212" s="146"/>
    </row>
    <row r="213" ht="41.25" customHeight="1">
      <c r="C213" s="98"/>
      <c r="D213" s="131"/>
      <c r="E213" s="38"/>
      <c r="F213" s="98"/>
      <c r="G213" s="39"/>
      <c r="H213" s="39"/>
      <c r="I213" s="39"/>
      <c r="J213" s="39"/>
      <c r="K213" s="39"/>
      <c r="L213" s="39"/>
      <c r="M213" s="39"/>
      <c r="N213" s="39"/>
      <c r="O213" s="39"/>
      <c r="P213" s="39"/>
      <c r="Q213" s="39"/>
      <c r="R213" s="39"/>
      <c r="S213" s="39"/>
      <c r="T213" s="39"/>
      <c r="AR213" s="61"/>
      <c r="AY213" s="146"/>
    </row>
    <row r="214" ht="41.25" customHeight="1">
      <c r="C214" s="98"/>
      <c r="D214" s="131"/>
      <c r="E214" s="38"/>
      <c r="F214" s="98"/>
      <c r="G214" s="39"/>
      <c r="H214" s="39"/>
      <c r="I214" s="39"/>
      <c r="J214" s="39"/>
      <c r="K214" s="39"/>
      <c r="L214" s="39"/>
      <c r="M214" s="39"/>
      <c r="N214" s="39"/>
      <c r="O214" s="39"/>
      <c r="P214" s="39"/>
      <c r="Q214" s="39"/>
      <c r="R214" s="39"/>
      <c r="S214" s="39"/>
      <c r="T214" s="39"/>
      <c r="AR214" s="61"/>
      <c r="AY214" s="146"/>
    </row>
    <row r="215" ht="41.25" customHeight="1">
      <c r="C215" s="98"/>
      <c r="D215" s="131"/>
      <c r="E215" s="38"/>
      <c r="F215" s="98"/>
      <c r="G215" s="39"/>
      <c r="H215" s="39"/>
      <c r="I215" s="39"/>
      <c r="J215" s="39"/>
      <c r="K215" s="39"/>
      <c r="L215" s="39"/>
      <c r="M215" s="39"/>
      <c r="N215" s="39"/>
      <c r="O215" s="39"/>
      <c r="P215" s="39"/>
      <c r="Q215" s="39"/>
      <c r="R215" s="39"/>
      <c r="S215" s="39"/>
      <c r="T215" s="39"/>
      <c r="AR215" s="61"/>
      <c r="AY215" s="146"/>
    </row>
    <row r="216" ht="41.25" customHeight="1">
      <c r="C216" s="98"/>
      <c r="D216" s="131"/>
      <c r="E216" s="38"/>
      <c r="F216" s="98"/>
      <c r="G216" s="39"/>
      <c r="H216" s="39"/>
      <c r="I216" s="39"/>
      <c r="J216" s="39"/>
      <c r="K216" s="39"/>
      <c r="L216" s="39"/>
      <c r="M216" s="39"/>
      <c r="N216" s="39"/>
      <c r="O216" s="39"/>
      <c r="P216" s="39"/>
      <c r="Q216" s="39"/>
      <c r="R216" s="39"/>
      <c r="S216" s="39"/>
      <c r="T216" s="39"/>
      <c r="AR216" s="61"/>
      <c r="AY216" s="146"/>
    </row>
    <row r="217" ht="41.25" customHeight="1">
      <c r="C217" s="98"/>
      <c r="D217" s="131"/>
      <c r="E217" s="38"/>
      <c r="F217" s="98"/>
      <c r="G217" s="39"/>
      <c r="H217" s="39"/>
      <c r="I217" s="39"/>
      <c r="J217" s="39"/>
      <c r="K217" s="39"/>
      <c r="L217" s="39"/>
      <c r="M217" s="39"/>
      <c r="N217" s="39"/>
      <c r="O217" s="39"/>
      <c r="P217" s="39"/>
      <c r="Q217" s="39"/>
      <c r="R217" s="39"/>
      <c r="S217" s="39"/>
      <c r="T217" s="39"/>
      <c r="AR217" s="61"/>
      <c r="AY217" s="146"/>
    </row>
    <row r="218" ht="41.25" customHeight="1">
      <c r="C218" s="98"/>
      <c r="D218" s="131"/>
      <c r="E218" s="38"/>
      <c r="F218" s="98"/>
      <c r="G218" s="39"/>
      <c r="H218" s="39"/>
      <c r="I218" s="39"/>
      <c r="J218" s="39"/>
      <c r="K218" s="39"/>
      <c r="L218" s="39"/>
      <c r="M218" s="39"/>
      <c r="N218" s="39"/>
      <c r="O218" s="39"/>
      <c r="P218" s="39"/>
      <c r="Q218" s="39"/>
      <c r="R218" s="39"/>
      <c r="S218" s="39"/>
      <c r="T218" s="39"/>
      <c r="AR218" s="61"/>
      <c r="AY218" s="146"/>
    </row>
    <row r="219" ht="41.25" customHeight="1">
      <c r="C219" s="98"/>
      <c r="D219" s="131"/>
      <c r="E219" s="38"/>
      <c r="F219" s="98"/>
      <c r="G219" s="39"/>
      <c r="H219" s="39"/>
      <c r="I219" s="39"/>
      <c r="J219" s="39"/>
      <c r="K219" s="39"/>
      <c r="L219" s="39"/>
      <c r="M219" s="39"/>
      <c r="N219" s="39"/>
      <c r="O219" s="39"/>
      <c r="P219" s="39"/>
      <c r="Q219" s="39"/>
      <c r="R219" s="39"/>
      <c r="S219" s="39"/>
      <c r="T219" s="39"/>
      <c r="AR219" s="61"/>
      <c r="AY219" s="146"/>
    </row>
    <row r="220" ht="41.25" customHeight="1">
      <c r="C220" s="98"/>
      <c r="D220" s="131"/>
      <c r="E220" s="38"/>
      <c r="F220" s="98"/>
      <c r="G220" s="39"/>
      <c r="H220" s="39"/>
      <c r="I220" s="39"/>
      <c r="J220" s="39"/>
      <c r="K220" s="39"/>
      <c r="L220" s="39"/>
      <c r="M220" s="39"/>
      <c r="N220" s="39"/>
      <c r="O220" s="39"/>
      <c r="P220" s="39"/>
      <c r="Q220" s="39"/>
      <c r="R220" s="39"/>
      <c r="S220" s="39"/>
      <c r="T220" s="39"/>
      <c r="AR220" s="61"/>
      <c r="AY220" s="146"/>
    </row>
    <row r="221" ht="41.25" customHeight="1">
      <c r="C221" s="98"/>
      <c r="D221" s="131"/>
      <c r="E221" s="38"/>
      <c r="F221" s="98"/>
      <c r="G221" s="39"/>
      <c r="H221" s="39"/>
      <c r="I221" s="39"/>
      <c r="J221" s="39"/>
      <c r="K221" s="39"/>
      <c r="L221" s="39"/>
      <c r="M221" s="39"/>
      <c r="N221" s="39"/>
      <c r="O221" s="39"/>
      <c r="P221" s="39"/>
      <c r="Q221" s="39"/>
      <c r="R221" s="39"/>
      <c r="S221" s="39"/>
      <c r="T221" s="39"/>
      <c r="AR221" s="61"/>
      <c r="AY221" s="146"/>
    </row>
    <row r="222" ht="41.25" customHeight="1">
      <c r="C222" s="98"/>
      <c r="D222" s="131"/>
      <c r="E222" s="38"/>
      <c r="F222" s="98"/>
      <c r="G222" s="39"/>
      <c r="H222" s="39"/>
      <c r="I222" s="39"/>
      <c r="J222" s="39"/>
      <c r="K222" s="39"/>
      <c r="L222" s="39"/>
      <c r="M222" s="39"/>
      <c r="N222" s="39"/>
      <c r="O222" s="39"/>
      <c r="P222" s="39"/>
      <c r="Q222" s="39"/>
      <c r="R222" s="39"/>
      <c r="S222" s="39"/>
      <c r="T222" s="39"/>
      <c r="AR222" s="61"/>
      <c r="AY222" s="146"/>
    </row>
    <row r="223" ht="41.25" customHeight="1">
      <c r="C223" s="98"/>
      <c r="D223" s="131"/>
      <c r="E223" s="38"/>
      <c r="F223" s="98"/>
      <c r="G223" s="39"/>
      <c r="H223" s="39"/>
      <c r="I223" s="39"/>
      <c r="J223" s="39"/>
      <c r="K223" s="39"/>
      <c r="L223" s="39"/>
      <c r="M223" s="39"/>
      <c r="N223" s="39"/>
      <c r="O223" s="39"/>
      <c r="P223" s="39"/>
      <c r="Q223" s="39"/>
      <c r="R223" s="39"/>
      <c r="S223" s="39"/>
      <c r="T223" s="39"/>
      <c r="AR223" s="61"/>
      <c r="AY223" s="146"/>
    </row>
    <row r="224" ht="41.25" customHeight="1">
      <c r="C224" s="98"/>
      <c r="D224" s="131"/>
      <c r="E224" s="38"/>
      <c r="F224" s="98"/>
      <c r="G224" s="39"/>
      <c r="H224" s="39"/>
      <c r="I224" s="39"/>
      <c r="J224" s="39"/>
      <c r="K224" s="39"/>
      <c r="L224" s="39"/>
      <c r="M224" s="39"/>
      <c r="N224" s="39"/>
      <c r="O224" s="39"/>
      <c r="P224" s="39"/>
      <c r="Q224" s="39"/>
      <c r="R224" s="39"/>
      <c r="S224" s="39"/>
      <c r="T224" s="39"/>
      <c r="AR224" s="61"/>
      <c r="AY224" s="146"/>
    </row>
    <row r="225" ht="41.25" customHeight="1">
      <c r="C225" s="98"/>
      <c r="D225" s="131"/>
      <c r="E225" s="38"/>
      <c r="F225" s="98"/>
      <c r="G225" s="39"/>
      <c r="H225" s="39"/>
      <c r="I225" s="39"/>
      <c r="J225" s="39"/>
      <c r="K225" s="39"/>
      <c r="L225" s="39"/>
      <c r="M225" s="39"/>
      <c r="N225" s="39"/>
      <c r="O225" s="39"/>
      <c r="P225" s="39"/>
      <c r="Q225" s="39"/>
      <c r="R225" s="39"/>
      <c r="S225" s="39"/>
      <c r="T225" s="39"/>
      <c r="AR225" s="61"/>
      <c r="AY225" s="146"/>
    </row>
    <row r="226" ht="41.25" customHeight="1">
      <c r="C226" s="98"/>
      <c r="D226" s="131"/>
      <c r="E226" s="38"/>
      <c r="F226" s="98"/>
      <c r="G226" s="39"/>
      <c r="H226" s="39"/>
      <c r="I226" s="39"/>
      <c r="J226" s="39"/>
      <c r="K226" s="39"/>
      <c r="L226" s="39"/>
      <c r="M226" s="39"/>
      <c r="N226" s="39"/>
      <c r="O226" s="39"/>
      <c r="P226" s="39"/>
      <c r="Q226" s="39"/>
      <c r="R226" s="39"/>
      <c r="S226" s="39"/>
      <c r="T226" s="39"/>
      <c r="AR226" s="61"/>
      <c r="AY226" s="146"/>
    </row>
    <row r="227" ht="41.25" customHeight="1">
      <c r="C227" s="98"/>
      <c r="D227" s="131"/>
      <c r="E227" s="38"/>
      <c r="F227" s="98"/>
      <c r="G227" s="39"/>
      <c r="H227" s="39"/>
      <c r="I227" s="39"/>
      <c r="J227" s="39"/>
      <c r="K227" s="39"/>
      <c r="L227" s="39"/>
      <c r="M227" s="39"/>
      <c r="N227" s="39"/>
      <c r="O227" s="39"/>
      <c r="P227" s="39"/>
      <c r="Q227" s="39"/>
      <c r="R227" s="39"/>
      <c r="S227" s="39"/>
      <c r="T227" s="39"/>
      <c r="AR227" s="61"/>
      <c r="AY227" s="146"/>
    </row>
    <row r="228" ht="41.25" customHeight="1">
      <c r="C228" s="98"/>
      <c r="D228" s="131"/>
      <c r="E228" s="38"/>
      <c r="F228" s="98"/>
      <c r="G228" s="39"/>
      <c r="H228" s="39"/>
      <c r="I228" s="39"/>
      <c r="J228" s="39"/>
      <c r="K228" s="39"/>
      <c r="L228" s="39"/>
      <c r="M228" s="39"/>
      <c r="N228" s="39"/>
      <c r="O228" s="39"/>
      <c r="P228" s="39"/>
      <c r="Q228" s="39"/>
      <c r="R228" s="39"/>
      <c r="S228" s="39"/>
      <c r="T228" s="39"/>
      <c r="AR228" s="61"/>
      <c r="AY228" s="146"/>
    </row>
    <row r="229" ht="41.25" customHeight="1">
      <c r="C229" s="98"/>
      <c r="D229" s="131"/>
      <c r="E229" s="38"/>
      <c r="F229" s="98"/>
      <c r="G229" s="39"/>
      <c r="H229" s="39"/>
      <c r="I229" s="39"/>
      <c r="J229" s="39"/>
      <c r="K229" s="39"/>
      <c r="L229" s="39"/>
      <c r="M229" s="39"/>
      <c r="N229" s="39"/>
      <c r="O229" s="39"/>
      <c r="P229" s="39"/>
      <c r="Q229" s="39"/>
      <c r="R229" s="39"/>
      <c r="S229" s="39"/>
      <c r="T229" s="39"/>
      <c r="AR229" s="61"/>
      <c r="AY229" s="146"/>
    </row>
    <row r="230" ht="41.25" customHeight="1">
      <c r="C230" s="98"/>
      <c r="D230" s="131"/>
      <c r="E230" s="38"/>
      <c r="F230" s="98"/>
      <c r="G230" s="39"/>
      <c r="H230" s="39"/>
      <c r="I230" s="39"/>
      <c r="J230" s="39"/>
      <c r="K230" s="39"/>
      <c r="L230" s="39"/>
      <c r="M230" s="39"/>
      <c r="N230" s="39"/>
      <c r="O230" s="39"/>
      <c r="P230" s="39"/>
      <c r="Q230" s="39"/>
      <c r="R230" s="39"/>
      <c r="S230" s="39"/>
      <c r="T230" s="39"/>
      <c r="AR230" s="61"/>
      <c r="AY230" s="146"/>
    </row>
    <row r="231" ht="41.25" customHeight="1">
      <c r="C231" s="98"/>
      <c r="D231" s="131"/>
      <c r="E231" s="38"/>
      <c r="F231" s="98"/>
      <c r="G231" s="39"/>
      <c r="H231" s="39"/>
      <c r="I231" s="39"/>
      <c r="J231" s="39"/>
      <c r="K231" s="39"/>
      <c r="L231" s="39"/>
      <c r="M231" s="39"/>
      <c r="N231" s="39"/>
      <c r="O231" s="39"/>
      <c r="P231" s="39"/>
      <c r="Q231" s="39"/>
      <c r="R231" s="39"/>
      <c r="S231" s="39"/>
      <c r="T231" s="39"/>
      <c r="AR231" s="61"/>
      <c r="AY231" s="146"/>
    </row>
    <row r="232" ht="41.25" customHeight="1">
      <c r="C232" s="98"/>
      <c r="D232" s="131"/>
      <c r="E232" s="38"/>
      <c r="F232" s="98"/>
      <c r="G232" s="39"/>
      <c r="H232" s="39"/>
      <c r="I232" s="39"/>
      <c r="J232" s="39"/>
      <c r="K232" s="39"/>
      <c r="L232" s="39"/>
      <c r="M232" s="39"/>
      <c r="N232" s="39"/>
      <c r="O232" s="39"/>
      <c r="P232" s="39"/>
      <c r="Q232" s="39"/>
      <c r="R232" s="39"/>
      <c r="S232" s="39"/>
      <c r="T232" s="39"/>
      <c r="AR232" s="61"/>
      <c r="AY232" s="146"/>
    </row>
    <row r="233" ht="41.25" customHeight="1">
      <c r="C233" s="98"/>
      <c r="D233" s="131"/>
      <c r="E233" s="38"/>
      <c r="F233" s="98"/>
      <c r="G233" s="39"/>
      <c r="H233" s="39"/>
      <c r="I233" s="39"/>
      <c r="J233" s="39"/>
      <c r="K233" s="39"/>
      <c r="L233" s="39"/>
      <c r="M233" s="39"/>
      <c r="N233" s="39"/>
      <c r="O233" s="39"/>
      <c r="P233" s="39"/>
      <c r="Q233" s="39"/>
      <c r="R233" s="39"/>
      <c r="S233" s="39"/>
      <c r="T233" s="39"/>
      <c r="AR233" s="61"/>
      <c r="AY233" s="146"/>
    </row>
    <row r="234" ht="41.25" customHeight="1">
      <c r="C234" s="98"/>
      <c r="D234" s="131"/>
      <c r="E234" s="38"/>
      <c r="F234" s="98"/>
      <c r="G234" s="39"/>
      <c r="H234" s="39"/>
      <c r="I234" s="39"/>
      <c r="J234" s="39"/>
      <c r="K234" s="39"/>
      <c r="L234" s="39"/>
      <c r="M234" s="39"/>
      <c r="N234" s="39"/>
      <c r="O234" s="39"/>
      <c r="P234" s="39"/>
      <c r="Q234" s="39"/>
      <c r="R234" s="39"/>
      <c r="S234" s="39"/>
      <c r="T234" s="39"/>
      <c r="AR234" s="61"/>
      <c r="AY234" s="146"/>
    </row>
    <row r="235" ht="41.25" customHeight="1">
      <c r="C235" s="98"/>
      <c r="D235" s="131"/>
      <c r="E235" s="38"/>
      <c r="F235" s="98"/>
      <c r="G235" s="39"/>
      <c r="H235" s="39"/>
      <c r="I235" s="39"/>
      <c r="J235" s="39"/>
      <c r="K235" s="39"/>
      <c r="L235" s="39"/>
      <c r="M235" s="39"/>
      <c r="N235" s="39"/>
      <c r="O235" s="39"/>
      <c r="P235" s="39"/>
      <c r="Q235" s="39"/>
      <c r="R235" s="39"/>
      <c r="S235" s="39"/>
      <c r="T235" s="39"/>
      <c r="AR235" s="61"/>
      <c r="AY235" s="146"/>
    </row>
    <row r="236" ht="41.25" customHeight="1">
      <c r="C236" s="98"/>
      <c r="D236" s="131"/>
      <c r="E236" s="38"/>
      <c r="F236" s="98"/>
      <c r="G236" s="39"/>
      <c r="H236" s="39"/>
      <c r="I236" s="39"/>
      <c r="J236" s="39"/>
      <c r="K236" s="39"/>
      <c r="L236" s="39"/>
      <c r="M236" s="39"/>
      <c r="N236" s="39"/>
      <c r="O236" s="39"/>
      <c r="P236" s="39"/>
      <c r="Q236" s="39"/>
      <c r="R236" s="39"/>
      <c r="S236" s="39"/>
      <c r="T236" s="39"/>
      <c r="AR236" s="61"/>
      <c r="AY236" s="146"/>
    </row>
    <row r="237" ht="41.25" customHeight="1">
      <c r="C237" s="98"/>
      <c r="D237" s="131"/>
      <c r="E237" s="38"/>
      <c r="F237" s="98"/>
      <c r="G237" s="39"/>
      <c r="H237" s="39"/>
      <c r="I237" s="39"/>
      <c r="J237" s="39"/>
      <c r="K237" s="39"/>
      <c r="L237" s="39"/>
      <c r="M237" s="39"/>
      <c r="N237" s="39"/>
      <c r="O237" s="39"/>
      <c r="P237" s="39"/>
      <c r="Q237" s="39"/>
      <c r="R237" s="39"/>
      <c r="S237" s="39"/>
      <c r="T237" s="39"/>
      <c r="AR237" s="61"/>
      <c r="AY237" s="146"/>
    </row>
    <row r="238" ht="41.25" customHeight="1">
      <c r="C238" s="98"/>
      <c r="D238" s="131"/>
      <c r="E238" s="38"/>
      <c r="F238" s="98"/>
      <c r="G238" s="39"/>
      <c r="H238" s="39"/>
      <c r="I238" s="39"/>
      <c r="J238" s="39"/>
      <c r="K238" s="39"/>
      <c r="L238" s="39"/>
      <c r="M238" s="39"/>
      <c r="N238" s="39"/>
      <c r="O238" s="39"/>
      <c r="P238" s="39"/>
      <c r="Q238" s="39"/>
      <c r="R238" s="39"/>
      <c r="S238" s="39"/>
      <c r="T238" s="39"/>
      <c r="AR238" s="61"/>
      <c r="AY238" s="146"/>
    </row>
    <row r="239" ht="41.25" customHeight="1">
      <c r="D239" s="130"/>
      <c r="AR239" s="61"/>
      <c r="AY239" s="146"/>
    </row>
    <row r="240" ht="41.25" customHeight="1">
      <c r="D240" s="130"/>
      <c r="AR240" s="61"/>
      <c r="AY240" s="146"/>
    </row>
    <row r="241" ht="41.25" customHeight="1">
      <c r="D241" s="130"/>
      <c r="AR241" s="61"/>
      <c r="AY241" s="146"/>
    </row>
    <row r="242" ht="41.25" customHeight="1">
      <c r="D242" s="130"/>
      <c r="AR242" s="61"/>
      <c r="AY242" s="146"/>
    </row>
    <row r="243" ht="41.25" customHeight="1">
      <c r="D243" s="130"/>
      <c r="AR243" s="61"/>
      <c r="AY243" s="146"/>
    </row>
    <row r="244" ht="41.25" customHeight="1">
      <c r="D244" s="130"/>
      <c r="AR244" s="61"/>
      <c r="AY244" s="146"/>
    </row>
    <row r="245" ht="41.25" customHeight="1">
      <c r="D245" s="130"/>
      <c r="AR245" s="61"/>
      <c r="AY245" s="146"/>
    </row>
    <row r="246" ht="41.25" customHeight="1">
      <c r="D246" s="130"/>
      <c r="AR246" s="61"/>
      <c r="AY246" s="146"/>
    </row>
    <row r="247" ht="41.25" customHeight="1">
      <c r="D247" s="130"/>
      <c r="AR247" s="61"/>
      <c r="AY247" s="146"/>
    </row>
    <row r="248" ht="41.25" customHeight="1">
      <c r="D248" s="130"/>
      <c r="AR248" s="61"/>
      <c r="AY248" s="146"/>
    </row>
    <row r="249" ht="41.25" customHeight="1">
      <c r="D249" s="130"/>
      <c r="AR249" s="61"/>
      <c r="AY249" s="146"/>
    </row>
    <row r="250" ht="41.25" customHeight="1">
      <c r="D250" s="130"/>
      <c r="AR250" s="61"/>
      <c r="AY250" s="146"/>
    </row>
    <row r="251" ht="41.25" customHeight="1">
      <c r="D251" s="130"/>
      <c r="AR251" s="61"/>
      <c r="AY251" s="146"/>
    </row>
    <row r="252" ht="41.25" customHeight="1">
      <c r="D252" s="130"/>
      <c r="AR252" s="61"/>
      <c r="AY252" s="146"/>
    </row>
    <row r="253" ht="41.25" customHeight="1">
      <c r="D253" s="130"/>
      <c r="AR253" s="61"/>
      <c r="AY253" s="146"/>
    </row>
    <row r="254" ht="41.25" customHeight="1">
      <c r="D254" s="130"/>
      <c r="AR254" s="61"/>
      <c r="AY254" s="146"/>
    </row>
    <row r="255" ht="41.25" customHeight="1">
      <c r="D255" s="130"/>
      <c r="AR255" s="61"/>
      <c r="AY255" s="146"/>
    </row>
    <row r="256" ht="41.25" customHeight="1">
      <c r="D256" s="130"/>
      <c r="AR256" s="61"/>
      <c r="AY256" s="146"/>
    </row>
    <row r="257" ht="41.25" customHeight="1">
      <c r="D257" s="130"/>
      <c r="AR257" s="61"/>
      <c r="AY257" s="146"/>
    </row>
    <row r="258" ht="41.25" customHeight="1">
      <c r="D258" s="130"/>
      <c r="AR258" s="61"/>
      <c r="AY258" s="146"/>
    </row>
    <row r="259" ht="41.25" customHeight="1">
      <c r="D259" s="130"/>
      <c r="AR259" s="61"/>
      <c r="AY259" s="146"/>
    </row>
    <row r="260" ht="41.25" customHeight="1">
      <c r="D260" s="130"/>
      <c r="AR260" s="61"/>
      <c r="AY260" s="146"/>
    </row>
    <row r="261" ht="41.25" customHeight="1">
      <c r="D261" s="130"/>
      <c r="AR261" s="61"/>
      <c r="AY261" s="146"/>
    </row>
    <row r="262" ht="41.25" customHeight="1">
      <c r="D262" s="130"/>
      <c r="AR262" s="61"/>
      <c r="AY262" s="146"/>
    </row>
    <row r="263" ht="41.25" customHeight="1">
      <c r="D263" s="130"/>
      <c r="AR263" s="61"/>
      <c r="AY263" s="146"/>
    </row>
    <row r="264" ht="41.25" customHeight="1">
      <c r="D264" s="130"/>
      <c r="AR264" s="61"/>
      <c r="AY264" s="146"/>
    </row>
    <row r="265" ht="41.25" customHeight="1">
      <c r="D265" s="130"/>
      <c r="AR265" s="61"/>
      <c r="AY265" s="146"/>
    </row>
    <row r="266" ht="41.25" customHeight="1">
      <c r="D266" s="130"/>
      <c r="AR266" s="61"/>
      <c r="AY266" s="146"/>
    </row>
    <row r="267" ht="41.25" customHeight="1">
      <c r="D267" s="130"/>
      <c r="AR267" s="61"/>
      <c r="AY267" s="146"/>
    </row>
    <row r="268" ht="41.25" customHeight="1">
      <c r="D268" s="130"/>
      <c r="AR268" s="61"/>
      <c r="AY268" s="146"/>
    </row>
    <row r="269" ht="41.25" customHeight="1">
      <c r="D269" s="130"/>
      <c r="AR269" s="61"/>
      <c r="AY269" s="146"/>
    </row>
    <row r="270" ht="41.25" customHeight="1">
      <c r="D270" s="130"/>
      <c r="AR270" s="61"/>
      <c r="AY270" s="146"/>
    </row>
    <row r="271" ht="41.25" customHeight="1">
      <c r="D271" s="130"/>
      <c r="AR271" s="61"/>
      <c r="AY271" s="146"/>
    </row>
    <row r="272" ht="41.25" customHeight="1">
      <c r="D272" s="130"/>
      <c r="AR272" s="61"/>
      <c r="AY272" s="146"/>
    </row>
    <row r="273" ht="41.25" customHeight="1">
      <c r="D273" s="130"/>
      <c r="AR273" s="61"/>
      <c r="AY273" s="146"/>
    </row>
    <row r="274" ht="41.25" customHeight="1">
      <c r="D274" s="130"/>
      <c r="AR274" s="61"/>
      <c r="AY274" s="146"/>
    </row>
    <row r="275" ht="41.25" customHeight="1">
      <c r="D275" s="130"/>
      <c r="AR275" s="61"/>
      <c r="AY275" s="146"/>
    </row>
    <row r="276" ht="41.25" customHeight="1">
      <c r="D276" s="130"/>
      <c r="AR276" s="61"/>
      <c r="AY276" s="146"/>
    </row>
    <row r="277" ht="41.25" customHeight="1">
      <c r="D277" s="130"/>
      <c r="AR277" s="61"/>
      <c r="AY277" s="146"/>
    </row>
    <row r="278" ht="41.25" customHeight="1">
      <c r="D278" s="130"/>
      <c r="AR278" s="61"/>
      <c r="AY278" s="146"/>
    </row>
    <row r="279" ht="41.25" customHeight="1">
      <c r="D279" s="130"/>
      <c r="AR279" s="61"/>
      <c r="AY279" s="146"/>
    </row>
    <row r="280" ht="41.25" customHeight="1">
      <c r="D280" s="130"/>
      <c r="AR280" s="61"/>
      <c r="AY280" s="146"/>
    </row>
    <row r="281" ht="41.25" customHeight="1">
      <c r="D281" s="130"/>
      <c r="AR281" s="61"/>
      <c r="AY281" s="146"/>
    </row>
    <row r="282" ht="41.25" customHeight="1">
      <c r="D282" s="130"/>
      <c r="AR282" s="61"/>
      <c r="AY282" s="146"/>
    </row>
    <row r="283" ht="41.25" customHeight="1">
      <c r="D283" s="130"/>
      <c r="AR283" s="61"/>
      <c r="AY283" s="146"/>
    </row>
    <row r="284" ht="41.25" customHeight="1">
      <c r="D284" s="130"/>
      <c r="AR284" s="61"/>
      <c r="AY284" s="146"/>
    </row>
    <row r="285" ht="41.25" customHeight="1">
      <c r="D285" s="130"/>
      <c r="AR285" s="61"/>
      <c r="AY285" s="146"/>
    </row>
    <row r="286" ht="41.25" customHeight="1">
      <c r="D286" s="130"/>
      <c r="AR286" s="61"/>
      <c r="AY286" s="146"/>
    </row>
    <row r="287" ht="41.25" customHeight="1">
      <c r="D287" s="130"/>
      <c r="AR287" s="61"/>
      <c r="AY287" s="146"/>
    </row>
    <row r="288" ht="41.25" customHeight="1">
      <c r="D288" s="130"/>
      <c r="AR288" s="61"/>
      <c r="AY288" s="146"/>
    </row>
    <row r="289" ht="41.25" customHeight="1">
      <c r="D289" s="130"/>
      <c r="AR289" s="61"/>
      <c r="AY289" s="146"/>
    </row>
    <row r="290" ht="41.25" customHeight="1">
      <c r="D290" s="130"/>
      <c r="AR290" s="61"/>
      <c r="AY290" s="146"/>
    </row>
    <row r="291" ht="41.25" customHeight="1">
      <c r="D291" s="130"/>
      <c r="AR291" s="61"/>
      <c r="AY291" s="146"/>
    </row>
    <row r="292" ht="41.25" customHeight="1">
      <c r="D292" s="130"/>
      <c r="AR292" s="61"/>
      <c r="AY292" s="146"/>
    </row>
    <row r="293" ht="41.25" customHeight="1">
      <c r="D293" s="130"/>
      <c r="AR293" s="61"/>
      <c r="AY293" s="146"/>
    </row>
    <row r="294" ht="41.25" customHeight="1">
      <c r="D294" s="130"/>
      <c r="AR294" s="61"/>
      <c r="AY294" s="146"/>
    </row>
    <row r="295" ht="41.25" customHeight="1">
      <c r="D295" s="130"/>
      <c r="AR295" s="61"/>
      <c r="AY295" s="146"/>
    </row>
    <row r="296" ht="41.25" customHeight="1">
      <c r="D296" s="130"/>
      <c r="AR296" s="61"/>
      <c r="AY296" s="146"/>
    </row>
    <row r="297" ht="41.25" customHeight="1">
      <c r="D297" s="130"/>
      <c r="AR297" s="61"/>
      <c r="AY297" s="146"/>
    </row>
    <row r="298" ht="41.25" customHeight="1">
      <c r="D298" s="130"/>
      <c r="AR298" s="61"/>
      <c r="AY298" s="146"/>
    </row>
    <row r="299" ht="41.25" customHeight="1">
      <c r="D299" s="130"/>
      <c r="AR299" s="61"/>
      <c r="AY299" s="146"/>
    </row>
    <row r="300" ht="41.25" customHeight="1">
      <c r="D300" s="130"/>
      <c r="AR300" s="61"/>
      <c r="AY300" s="146"/>
    </row>
    <row r="301" ht="41.25" customHeight="1">
      <c r="D301" s="130"/>
      <c r="AR301" s="61"/>
      <c r="AY301" s="146"/>
    </row>
    <row r="302" ht="41.25" customHeight="1">
      <c r="D302" s="130"/>
      <c r="AR302" s="61"/>
      <c r="AY302" s="146"/>
    </row>
    <row r="303" ht="41.25" customHeight="1">
      <c r="D303" s="130"/>
      <c r="AR303" s="61"/>
      <c r="AY303" s="146"/>
    </row>
    <row r="304" ht="41.25" customHeight="1">
      <c r="D304" s="130"/>
      <c r="AR304" s="61"/>
      <c r="AY304" s="146"/>
    </row>
    <row r="305" ht="41.25" customHeight="1">
      <c r="D305" s="130"/>
      <c r="AR305" s="61"/>
      <c r="AY305" s="146"/>
    </row>
    <row r="306" ht="41.25" customHeight="1">
      <c r="D306" s="130"/>
      <c r="AR306" s="61"/>
      <c r="AY306" s="146"/>
    </row>
    <row r="307" ht="41.25" customHeight="1">
      <c r="D307" s="130"/>
      <c r="AR307" s="61"/>
      <c r="AY307" s="146"/>
    </row>
    <row r="308" ht="41.25" customHeight="1">
      <c r="D308" s="130"/>
      <c r="AR308" s="61"/>
      <c r="AY308" s="146"/>
    </row>
    <row r="309" ht="41.25" customHeight="1">
      <c r="D309" s="130"/>
      <c r="AR309" s="61"/>
      <c r="AY309" s="146"/>
    </row>
    <row r="310" ht="41.25" customHeight="1">
      <c r="D310" s="130"/>
      <c r="AR310" s="61"/>
      <c r="AY310" s="146"/>
    </row>
    <row r="311" ht="41.25" customHeight="1">
      <c r="D311" s="130"/>
      <c r="AR311" s="61"/>
      <c r="AY311" s="146"/>
    </row>
    <row r="312" ht="41.25" customHeight="1">
      <c r="D312" s="130"/>
      <c r="AR312" s="61"/>
      <c r="AY312" s="146"/>
    </row>
    <row r="313" ht="41.25" customHeight="1">
      <c r="D313" s="130"/>
      <c r="AR313" s="61"/>
      <c r="AY313" s="146"/>
    </row>
    <row r="314" ht="41.25" customHeight="1">
      <c r="D314" s="130"/>
      <c r="AR314" s="61"/>
      <c r="AY314" s="146"/>
    </row>
    <row r="315" ht="41.25" customHeight="1">
      <c r="D315" s="130"/>
      <c r="AR315" s="61"/>
      <c r="AY315" s="146"/>
    </row>
    <row r="316" ht="41.25" customHeight="1">
      <c r="D316" s="130"/>
      <c r="AR316" s="61"/>
      <c r="AY316" s="146"/>
    </row>
    <row r="317" ht="41.25" customHeight="1">
      <c r="D317" s="130"/>
      <c r="AR317" s="61"/>
      <c r="AY317" s="146"/>
    </row>
    <row r="318" ht="41.25" customHeight="1">
      <c r="D318" s="130"/>
      <c r="AR318" s="61"/>
      <c r="AY318" s="146"/>
    </row>
    <row r="319" ht="41.25" customHeight="1">
      <c r="D319" s="130"/>
      <c r="AR319" s="61"/>
      <c r="AY319" s="146"/>
    </row>
    <row r="320" ht="41.25" customHeight="1">
      <c r="D320" s="130"/>
      <c r="AR320" s="61"/>
      <c r="AY320" s="146"/>
    </row>
    <row r="321" ht="41.25" customHeight="1">
      <c r="D321" s="130"/>
      <c r="AR321" s="61"/>
      <c r="AY321" s="146"/>
    </row>
    <row r="322" ht="41.25" customHeight="1">
      <c r="D322" s="130"/>
      <c r="AR322" s="61"/>
      <c r="AY322" s="146"/>
    </row>
    <row r="323" ht="41.25" customHeight="1">
      <c r="D323" s="130"/>
      <c r="AR323" s="61"/>
      <c r="AY323" s="146"/>
    </row>
    <row r="324" ht="41.25" customHeight="1">
      <c r="D324" s="130"/>
      <c r="AR324" s="61"/>
      <c r="AY324" s="146"/>
    </row>
    <row r="325" ht="41.25" customHeight="1">
      <c r="D325" s="130"/>
      <c r="AR325" s="61"/>
      <c r="AY325" s="146"/>
    </row>
    <row r="326" ht="41.25" customHeight="1">
      <c r="D326" s="130"/>
      <c r="AR326" s="61"/>
      <c r="AY326" s="146"/>
    </row>
    <row r="327" ht="41.25" customHeight="1">
      <c r="D327" s="130"/>
      <c r="AR327" s="61"/>
      <c r="AY327" s="146"/>
    </row>
    <row r="328" ht="41.25" customHeight="1">
      <c r="D328" s="130"/>
      <c r="AR328" s="61"/>
      <c r="AY328" s="146"/>
    </row>
    <row r="329" ht="41.25" customHeight="1">
      <c r="D329" s="130"/>
      <c r="AR329" s="61"/>
      <c r="AY329" s="146"/>
    </row>
    <row r="330" ht="41.25" customHeight="1">
      <c r="D330" s="130"/>
      <c r="AR330" s="61"/>
      <c r="AY330" s="146"/>
    </row>
    <row r="331" ht="41.25" customHeight="1">
      <c r="D331" s="130"/>
      <c r="AR331" s="61"/>
      <c r="AY331" s="146"/>
    </row>
    <row r="332" ht="41.25" customHeight="1">
      <c r="D332" s="130"/>
      <c r="AR332" s="61"/>
      <c r="AY332" s="146"/>
    </row>
    <row r="333" ht="41.25" customHeight="1">
      <c r="D333" s="130"/>
      <c r="AR333" s="61"/>
      <c r="AY333" s="146"/>
    </row>
    <row r="334" ht="41.25" customHeight="1">
      <c r="D334" s="130"/>
      <c r="AR334" s="61"/>
      <c r="AY334" s="146"/>
    </row>
    <row r="335" ht="41.25" customHeight="1">
      <c r="D335" s="130"/>
      <c r="AR335" s="61"/>
      <c r="AY335" s="146"/>
    </row>
    <row r="336" ht="41.25" customHeight="1">
      <c r="D336" s="130"/>
      <c r="AR336" s="61"/>
      <c r="AY336" s="146"/>
    </row>
    <row r="337" ht="41.25" customHeight="1">
      <c r="D337" s="130"/>
      <c r="AR337" s="61"/>
      <c r="AY337" s="146"/>
    </row>
    <row r="338" ht="41.25" customHeight="1">
      <c r="D338" s="130"/>
      <c r="AR338" s="61"/>
      <c r="AY338" s="146"/>
    </row>
    <row r="339" ht="41.25" customHeight="1">
      <c r="D339" s="130"/>
      <c r="AR339" s="61"/>
      <c r="AY339" s="146"/>
    </row>
    <row r="340" ht="41.25" customHeight="1">
      <c r="D340" s="130"/>
      <c r="AR340" s="61"/>
      <c r="AY340" s="146"/>
    </row>
    <row r="341" ht="41.25" customHeight="1">
      <c r="D341" s="130"/>
      <c r="AR341" s="61"/>
      <c r="AY341" s="146"/>
    </row>
    <row r="342" ht="41.25" customHeight="1">
      <c r="D342" s="130"/>
      <c r="AR342" s="61"/>
      <c r="AY342" s="146"/>
    </row>
    <row r="343" ht="41.25" customHeight="1">
      <c r="D343" s="130"/>
      <c r="AR343" s="61"/>
      <c r="AY343" s="146"/>
    </row>
    <row r="344" ht="41.25" customHeight="1">
      <c r="D344" s="130"/>
      <c r="AR344" s="61"/>
      <c r="AY344" s="146"/>
    </row>
    <row r="345" ht="41.25" customHeight="1">
      <c r="D345" s="130"/>
      <c r="AR345" s="61"/>
      <c r="AY345" s="146"/>
    </row>
    <row r="346" ht="41.25" customHeight="1">
      <c r="D346" s="130"/>
      <c r="AR346" s="61"/>
      <c r="AY346" s="146"/>
    </row>
    <row r="347" ht="41.25" customHeight="1">
      <c r="D347" s="130"/>
      <c r="AR347" s="61"/>
      <c r="AY347" s="146"/>
    </row>
    <row r="348" ht="41.25" customHeight="1">
      <c r="D348" s="130"/>
      <c r="AR348" s="61"/>
      <c r="AY348" s="146"/>
    </row>
    <row r="349" ht="41.25" customHeight="1">
      <c r="D349" s="130"/>
      <c r="AR349" s="61"/>
      <c r="AY349" s="146"/>
    </row>
    <row r="350" ht="41.25" customHeight="1">
      <c r="D350" s="130"/>
      <c r="AR350" s="61"/>
      <c r="AY350" s="146"/>
    </row>
    <row r="351" ht="41.25" customHeight="1">
      <c r="D351" s="130"/>
      <c r="AR351" s="61"/>
      <c r="AY351" s="146"/>
    </row>
    <row r="352" ht="41.25" customHeight="1">
      <c r="D352" s="130"/>
      <c r="AR352" s="61"/>
      <c r="AY352" s="146"/>
    </row>
    <row r="353" ht="41.25" customHeight="1">
      <c r="D353" s="130"/>
      <c r="AR353" s="61"/>
      <c r="AY353" s="146"/>
    </row>
    <row r="354" ht="41.25" customHeight="1">
      <c r="D354" s="130"/>
      <c r="AR354" s="61"/>
      <c r="AY354" s="146"/>
    </row>
    <row r="355" ht="41.25" customHeight="1">
      <c r="D355" s="130"/>
      <c r="AR355" s="61"/>
      <c r="AY355" s="146"/>
    </row>
    <row r="356" ht="41.25" customHeight="1">
      <c r="D356" s="130"/>
      <c r="AR356" s="61"/>
      <c r="AY356" s="146"/>
    </row>
    <row r="357" ht="41.25" customHeight="1">
      <c r="D357" s="130"/>
      <c r="AR357" s="61"/>
      <c r="AY357" s="146"/>
    </row>
    <row r="358" ht="41.25" customHeight="1">
      <c r="D358" s="130"/>
      <c r="AR358" s="61"/>
      <c r="AY358" s="146"/>
    </row>
    <row r="359" ht="41.25" customHeight="1">
      <c r="D359" s="130"/>
      <c r="AR359" s="61"/>
      <c r="AY359" s="146"/>
    </row>
    <row r="360" ht="41.25" customHeight="1">
      <c r="D360" s="130"/>
      <c r="AR360" s="61"/>
      <c r="AY360" s="146"/>
    </row>
    <row r="361" ht="41.25" customHeight="1">
      <c r="D361" s="130"/>
      <c r="AR361" s="61"/>
      <c r="AY361" s="146"/>
    </row>
    <row r="362" ht="41.25" customHeight="1">
      <c r="D362" s="130"/>
      <c r="AR362" s="61"/>
      <c r="AY362" s="146"/>
    </row>
    <row r="363" ht="41.25" customHeight="1">
      <c r="D363" s="130"/>
      <c r="AR363" s="61"/>
      <c r="AY363" s="146"/>
    </row>
    <row r="364" ht="41.25" customHeight="1">
      <c r="D364" s="130"/>
      <c r="AR364" s="61"/>
      <c r="AY364" s="146"/>
    </row>
    <row r="365" ht="41.25" customHeight="1">
      <c r="D365" s="130"/>
      <c r="AR365" s="61"/>
      <c r="AY365" s="146"/>
    </row>
    <row r="366" ht="41.25" customHeight="1">
      <c r="D366" s="130"/>
      <c r="AR366" s="61"/>
      <c r="AY366" s="146"/>
    </row>
    <row r="367" ht="41.25" customHeight="1">
      <c r="D367" s="130"/>
      <c r="AR367" s="61"/>
      <c r="AY367" s="146"/>
    </row>
    <row r="368" ht="41.25" customHeight="1">
      <c r="D368" s="130"/>
      <c r="AR368" s="61"/>
      <c r="AY368" s="146"/>
    </row>
    <row r="369" ht="41.25" customHeight="1">
      <c r="D369" s="130"/>
      <c r="AR369" s="61"/>
      <c r="AY369" s="146"/>
    </row>
    <row r="370" ht="41.25" customHeight="1">
      <c r="D370" s="130"/>
      <c r="AR370" s="61"/>
      <c r="AY370" s="146"/>
    </row>
    <row r="371" ht="41.25" customHeight="1">
      <c r="D371" s="130"/>
      <c r="AR371" s="61"/>
      <c r="AY371" s="146"/>
    </row>
    <row r="372" ht="41.25" customHeight="1">
      <c r="D372" s="130"/>
      <c r="AR372" s="61"/>
      <c r="AY372" s="146"/>
    </row>
    <row r="373" ht="41.25" customHeight="1">
      <c r="D373" s="130"/>
      <c r="AR373" s="61"/>
      <c r="AY373" s="146"/>
    </row>
    <row r="374" ht="41.25" customHeight="1">
      <c r="D374" s="130"/>
      <c r="AR374" s="61"/>
      <c r="AY374" s="146"/>
    </row>
    <row r="375" ht="41.25" customHeight="1">
      <c r="D375" s="130"/>
      <c r="AR375" s="61"/>
      <c r="AY375" s="146"/>
    </row>
    <row r="376" ht="41.25" customHeight="1">
      <c r="D376" s="130"/>
      <c r="AR376" s="61"/>
      <c r="AY376" s="146"/>
    </row>
    <row r="377" ht="41.25" customHeight="1">
      <c r="D377" s="130"/>
      <c r="AR377" s="61"/>
      <c r="AY377" s="146"/>
    </row>
    <row r="378" ht="41.25" customHeight="1">
      <c r="D378" s="130"/>
      <c r="AR378" s="61"/>
      <c r="AY378" s="146"/>
    </row>
    <row r="379" ht="41.25" customHeight="1">
      <c r="D379" s="130"/>
      <c r="AR379" s="61"/>
      <c r="AY379" s="146"/>
    </row>
    <row r="380" ht="41.25" customHeight="1">
      <c r="D380" s="130"/>
      <c r="AR380" s="61"/>
      <c r="AY380" s="146"/>
    </row>
    <row r="381" ht="41.25" customHeight="1">
      <c r="D381" s="130"/>
      <c r="AR381" s="61"/>
      <c r="AY381" s="146"/>
    </row>
    <row r="382" ht="41.25" customHeight="1">
      <c r="D382" s="130"/>
      <c r="AR382" s="61"/>
      <c r="AY382" s="146"/>
    </row>
    <row r="383" ht="41.25" customHeight="1">
      <c r="D383" s="130"/>
      <c r="AR383" s="61"/>
      <c r="AY383" s="146"/>
    </row>
    <row r="384" ht="41.25" customHeight="1">
      <c r="D384" s="130"/>
      <c r="AR384" s="61"/>
      <c r="AY384" s="146"/>
    </row>
    <row r="385" ht="41.25" customHeight="1">
      <c r="D385" s="130"/>
      <c r="AR385" s="61"/>
      <c r="AY385" s="146"/>
    </row>
    <row r="386" ht="41.25" customHeight="1">
      <c r="D386" s="130"/>
      <c r="AR386" s="61"/>
      <c r="AY386" s="146"/>
    </row>
    <row r="387" ht="41.25" customHeight="1">
      <c r="D387" s="130"/>
      <c r="AR387" s="61"/>
      <c r="AY387" s="146"/>
    </row>
    <row r="388" ht="41.25" customHeight="1">
      <c r="D388" s="130"/>
      <c r="AR388" s="61"/>
      <c r="AY388" s="146"/>
    </row>
    <row r="389" ht="41.25" customHeight="1">
      <c r="D389" s="130"/>
      <c r="AR389" s="61"/>
      <c r="AY389" s="146"/>
    </row>
    <row r="390" ht="41.25" customHeight="1">
      <c r="D390" s="130"/>
      <c r="AR390" s="61"/>
      <c r="AY390" s="146"/>
    </row>
    <row r="391" ht="41.25" customHeight="1">
      <c r="D391" s="130"/>
      <c r="AR391" s="61"/>
      <c r="AY391" s="146"/>
    </row>
    <row r="392" ht="41.25" customHeight="1">
      <c r="D392" s="130"/>
      <c r="AR392" s="61"/>
      <c r="AY392" s="146"/>
    </row>
    <row r="393" ht="41.25" customHeight="1">
      <c r="D393" s="130"/>
      <c r="AR393" s="61"/>
      <c r="AY393" s="146"/>
    </row>
    <row r="394" ht="41.25" customHeight="1">
      <c r="D394" s="130"/>
      <c r="AR394" s="61"/>
      <c r="AY394" s="146"/>
    </row>
    <row r="395" ht="41.25" customHeight="1">
      <c r="D395" s="130"/>
      <c r="AR395" s="61"/>
      <c r="AY395" s="146"/>
    </row>
    <row r="396" ht="41.25" customHeight="1">
      <c r="D396" s="130"/>
      <c r="AR396" s="61"/>
      <c r="AY396" s="146"/>
    </row>
    <row r="397" ht="41.25" customHeight="1">
      <c r="D397" s="130"/>
      <c r="AR397" s="61"/>
      <c r="AY397" s="146"/>
    </row>
    <row r="398" ht="41.25" customHeight="1">
      <c r="D398" s="130"/>
      <c r="AR398" s="61"/>
      <c r="AY398" s="146"/>
    </row>
    <row r="399" ht="41.25" customHeight="1">
      <c r="D399" s="130"/>
      <c r="AR399" s="61"/>
      <c r="AY399" s="146"/>
    </row>
    <row r="400" ht="41.25" customHeight="1">
      <c r="D400" s="130"/>
      <c r="AR400" s="61"/>
      <c r="AY400" s="146"/>
    </row>
    <row r="401" ht="41.25" customHeight="1">
      <c r="D401" s="130"/>
      <c r="AR401" s="61"/>
      <c r="AY401" s="146"/>
    </row>
    <row r="402" ht="41.25" customHeight="1">
      <c r="D402" s="130"/>
      <c r="AR402" s="61"/>
      <c r="AY402" s="146"/>
    </row>
    <row r="403" ht="41.25" customHeight="1">
      <c r="D403" s="130"/>
      <c r="AR403" s="61"/>
      <c r="AY403" s="146"/>
    </row>
    <row r="404" ht="41.25" customHeight="1">
      <c r="D404" s="130"/>
      <c r="AR404" s="61"/>
      <c r="AY404" s="146"/>
    </row>
    <row r="405" ht="41.25" customHeight="1">
      <c r="D405" s="130"/>
      <c r="AR405" s="61"/>
      <c r="AY405" s="146"/>
    </row>
    <row r="406" ht="41.25" customHeight="1">
      <c r="D406" s="130"/>
      <c r="AR406" s="61"/>
      <c r="AY406" s="146"/>
    </row>
    <row r="407" ht="41.25" customHeight="1">
      <c r="D407" s="130"/>
      <c r="AR407" s="61"/>
      <c r="AY407" s="146"/>
    </row>
    <row r="408" ht="41.25" customHeight="1">
      <c r="D408" s="130"/>
      <c r="AR408" s="61"/>
      <c r="AY408" s="146"/>
    </row>
    <row r="409" ht="41.25" customHeight="1">
      <c r="D409" s="130"/>
      <c r="AR409" s="61"/>
      <c r="AY409" s="146"/>
    </row>
    <row r="410" ht="41.25" customHeight="1">
      <c r="D410" s="130"/>
      <c r="AR410" s="61"/>
      <c r="AY410" s="146"/>
    </row>
    <row r="411" ht="41.25" customHeight="1">
      <c r="D411" s="130"/>
      <c r="AR411" s="61"/>
      <c r="AY411" s="146"/>
    </row>
    <row r="412" ht="41.25" customHeight="1">
      <c r="D412" s="130"/>
      <c r="AR412" s="61"/>
      <c r="AY412" s="146"/>
    </row>
    <row r="413" ht="41.25" customHeight="1">
      <c r="D413" s="130"/>
      <c r="AR413" s="61"/>
      <c r="AY413" s="146"/>
    </row>
    <row r="414" ht="41.25" customHeight="1">
      <c r="D414" s="130"/>
      <c r="AR414" s="61"/>
      <c r="AY414" s="146"/>
    </row>
    <row r="415" ht="41.25" customHeight="1">
      <c r="D415" s="130"/>
      <c r="AR415" s="61"/>
      <c r="AY415" s="146"/>
    </row>
    <row r="416" ht="41.25" customHeight="1">
      <c r="D416" s="130"/>
      <c r="AR416" s="61"/>
      <c r="AY416" s="146"/>
    </row>
    <row r="417" ht="41.25" customHeight="1">
      <c r="D417" s="130"/>
      <c r="AR417" s="61"/>
      <c r="AY417" s="146"/>
    </row>
    <row r="418" ht="41.25" customHeight="1">
      <c r="D418" s="130"/>
      <c r="AR418" s="61"/>
      <c r="AY418" s="146"/>
    </row>
    <row r="419" ht="41.25" customHeight="1">
      <c r="D419" s="130"/>
      <c r="AR419" s="61"/>
      <c r="AY419" s="146"/>
    </row>
    <row r="420" ht="41.25" customHeight="1">
      <c r="D420" s="130"/>
      <c r="AR420" s="61"/>
      <c r="AY420" s="146"/>
    </row>
    <row r="421" ht="41.25" customHeight="1">
      <c r="D421" s="130"/>
      <c r="AR421" s="61"/>
      <c r="AY421" s="146"/>
    </row>
    <row r="422" ht="41.25" customHeight="1">
      <c r="D422" s="130"/>
      <c r="AR422" s="61"/>
      <c r="AY422" s="146"/>
    </row>
    <row r="423" ht="41.25" customHeight="1">
      <c r="D423" s="130"/>
      <c r="AR423" s="61"/>
      <c r="AY423" s="146"/>
    </row>
    <row r="424" ht="41.25" customHeight="1">
      <c r="D424" s="130"/>
      <c r="AR424" s="61"/>
      <c r="AY424" s="146"/>
    </row>
    <row r="425" ht="41.25" customHeight="1">
      <c r="D425" s="130"/>
      <c r="AR425" s="61"/>
      <c r="AY425" s="146"/>
    </row>
    <row r="426" ht="41.25" customHeight="1">
      <c r="D426" s="130"/>
      <c r="AR426" s="61"/>
      <c r="AY426" s="146"/>
    </row>
    <row r="427" ht="41.25" customHeight="1">
      <c r="D427" s="130"/>
      <c r="AR427" s="61"/>
      <c r="AY427" s="146"/>
    </row>
    <row r="428" ht="41.25" customHeight="1">
      <c r="D428" s="130"/>
      <c r="AR428" s="61"/>
      <c r="AY428" s="146"/>
    </row>
    <row r="429" ht="41.25" customHeight="1">
      <c r="D429" s="130"/>
      <c r="AR429" s="61"/>
      <c r="AY429" s="146"/>
    </row>
    <row r="430" ht="41.25" customHeight="1">
      <c r="D430" s="130"/>
      <c r="AR430" s="61"/>
      <c r="AY430" s="146"/>
    </row>
    <row r="431" ht="41.25" customHeight="1">
      <c r="D431" s="130"/>
      <c r="AR431" s="61"/>
      <c r="AY431" s="146"/>
    </row>
    <row r="432" ht="41.25" customHeight="1">
      <c r="D432" s="130"/>
      <c r="AR432" s="61"/>
      <c r="AY432" s="146"/>
    </row>
    <row r="433" ht="41.25" customHeight="1">
      <c r="D433" s="130"/>
      <c r="AR433" s="61"/>
      <c r="AY433" s="146"/>
    </row>
    <row r="434" ht="41.25" customHeight="1">
      <c r="D434" s="130"/>
      <c r="AR434" s="61"/>
      <c r="AY434" s="146"/>
    </row>
    <row r="435" ht="41.25" customHeight="1">
      <c r="D435" s="130"/>
      <c r="AR435" s="61"/>
      <c r="AY435" s="146"/>
    </row>
    <row r="436" ht="41.25" customHeight="1">
      <c r="D436" s="130"/>
      <c r="AR436" s="61"/>
      <c r="AY436" s="146"/>
    </row>
    <row r="437" ht="41.25" customHeight="1">
      <c r="D437" s="130"/>
      <c r="AR437" s="61"/>
      <c r="AY437" s="146"/>
    </row>
    <row r="438" ht="41.25" customHeight="1">
      <c r="D438" s="130"/>
      <c r="AR438" s="61"/>
      <c r="AY438" s="146"/>
    </row>
    <row r="439" ht="41.25" customHeight="1">
      <c r="D439" s="130"/>
      <c r="AR439" s="61"/>
      <c r="AY439" s="146"/>
    </row>
    <row r="440" ht="41.25" customHeight="1">
      <c r="D440" s="130"/>
      <c r="AR440" s="61"/>
      <c r="AY440" s="146"/>
    </row>
    <row r="441" ht="41.25" customHeight="1">
      <c r="D441" s="130"/>
      <c r="AR441" s="61"/>
      <c r="AY441" s="146"/>
    </row>
    <row r="442" ht="41.25" customHeight="1">
      <c r="D442" s="130"/>
      <c r="AR442" s="61"/>
      <c r="AY442" s="146"/>
    </row>
    <row r="443" ht="41.25" customHeight="1">
      <c r="D443" s="130"/>
      <c r="AR443" s="61"/>
      <c r="AY443" s="146"/>
    </row>
    <row r="444" ht="41.25" customHeight="1">
      <c r="D444" s="130"/>
      <c r="AR444" s="61"/>
      <c r="AY444" s="146"/>
    </row>
    <row r="445" ht="41.25" customHeight="1">
      <c r="D445" s="130"/>
      <c r="AR445" s="61"/>
      <c r="AY445" s="146"/>
    </row>
    <row r="446" ht="41.25" customHeight="1">
      <c r="D446" s="130"/>
      <c r="AR446" s="61"/>
      <c r="AY446" s="146"/>
    </row>
    <row r="447" ht="41.25" customHeight="1">
      <c r="D447" s="130"/>
      <c r="AR447" s="61"/>
      <c r="AY447" s="146"/>
    </row>
    <row r="448" ht="41.25" customHeight="1">
      <c r="D448" s="130"/>
      <c r="AR448" s="61"/>
      <c r="AY448" s="146"/>
    </row>
    <row r="449" ht="41.25" customHeight="1">
      <c r="D449" s="130"/>
      <c r="AR449" s="61"/>
      <c r="AY449" s="146"/>
    </row>
    <row r="450" ht="41.25" customHeight="1">
      <c r="D450" s="130"/>
      <c r="AR450" s="61"/>
      <c r="AY450" s="146"/>
    </row>
    <row r="451" ht="41.25" customHeight="1">
      <c r="D451" s="130"/>
      <c r="AR451" s="61"/>
      <c r="AY451" s="146"/>
    </row>
    <row r="452" ht="41.25" customHeight="1">
      <c r="D452" s="130"/>
      <c r="AR452" s="61"/>
      <c r="AY452" s="146"/>
    </row>
    <row r="453" ht="41.25" customHeight="1">
      <c r="D453" s="130"/>
      <c r="AR453" s="61"/>
      <c r="AY453" s="146"/>
    </row>
    <row r="454" ht="41.25" customHeight="1">
      <c r="D454" s="130"/>
      <c r="AR454" s="61"/>
      <c r="AY454" s="146"/>
    </row>
    <row r="455" ht="41.25" customHeight="1">
      <c r="D455" s="130"/>
      <c r="AR455" s="61"/>
      <c r="AY455" s="146"/>
    </row>
    <row r="456" ht="41.25" customHeight="1">
      <c r="D456" s="130"/>
      <c r="AR456" s="61"/>
      <c r="AY456" s="146"/>
    </row>
    <row r="457" ht="41.25" customHeight="1">
      <c r="D457" s="130"/>
      <c r="AR457" s="61"/>
      <c r="AY457" s="146"/>
    </row>
    <row r="458" ht="41.25" customHeight="1">
      <c r="D458" s="130"/>
      <c r="AR458" s="61"/>
      <c r="AY458" s="146"/>
    </row>
    <row r="459" ht="41.25" customHeight="1">
      <c r="D459" s="130"/>
      <c r="AR459" s="61"/>
      <c r="AY459" s="146"/>
    </row>
    <row r="460" ht="41.25" customHeight="1">
      <c r="D460" s="130"/>
      <c r="AR460" s="61"/>
      <c r="AY460" s="146"/>
    </row>
    <row r="461" ht="41.25" customHeight="1">
      <c r="D461" s="130"/>
      <c r="AR461" s="61"/>
      <c r="AY461" s="146"/>
    </row>
    <row r="462" ht="41.25" customHeight="1">
      <c r="D462" s="130"/>
      <c r="AR462" s="61"/>
      <c r="AY462" s="146"/>
    </row>
    <row r="463" ht="41.25" customHeight="1">
      <c r="D463" s="130"/>
      <c r="AR463" s="61"/>
      <c r="AY463" s="146"/>
    </row>
    <row r="464" ht="41.25" customHeight="1">
      <c r="D464" s="130"/>
      <c r="AR464" s="61"/>
      <c r="AY464" s="146"/>
    </row>
    <row r="465" ht="41.25" customHeight="1">
      <c r="D465" s="130"/>
      <c r="AR465" s="61"/>
      <c r="AY465" s="146"/>
    </row>
    <row r="466" ht="41.25" customHeight="1">
      <c r="D466" s="130"/>
      <c r="AR466" s="61"/>
      <c r="AY466" s="146"/>
    </row>
    <row r="467" ht="41.25" customHeight="1">
      <c r="D467" s="130"/>
      <c r="AR467" s="61"/>
      <c r="AY467" s="146"/>
    </row>
    <row r="468" ht="41.25" customHeight="1">
      <c r="D468" s="130"/>
      <c r="AR468" s="61"/>
      <c r="AY468" s="146"/>
    </row>
    <row r="469" ht="41.25" customHeight="1">
      <c r="D469" s="130"/>
      <c r="AR469" s="61"/>
      <c r="AY469" s="146"/>
    </row>
    <row r="470" ht="41.25" customHeight="1">
      <c r="D470" s="130"/>
      <c r="AR470" s="61"/>
      <c r="AY470" s="146"/>
    </row>
    <row r="471" ht="41.25" customHeight="1">
      <c r="D471" s="130"/>
      <c r="AR471" s="61"/>
      <c r="AY471" s="146"/>
    </row>
    <row r="472" ht="41.25" customHeight="1">
      <c r="D472" s="130"/>
      <c r="AR472" s="61"/>
      <c r="AY472" s="146"/>
    </row>
    <row r="473" ht="41.25" customHeight="1">
      <c r="D473" s="130"/>
      <c r="AR473" s="61"/>
      <c r="AY473" s="146"/>
    </row>
    <row r="474" ht="41.25" customHeight="1">
      <c r="D474" s="130"/>
      <c r="AR474" s="61"/>
      <c r="AY474" s="146"/>
    </row>
    <row r="475" ht="41.25" customHeight="1">
      <c r="D475" s="130"/>
      <c r="AR475" s="61"/>
      <c r="AY475" s="146"/>
    </row>
    <row r="476" ht="41.25" customHeight="1">
      <c r="D476" s="130"/>
      <c r="AR476" s="61"/>
      <c r="AY476" s="146"/>
    </row>
    <row r="477" ht="41.25" customHeight="1">
      <c r="D477" s="130"/>
      <c r="AR477" s="61"/>
      <c r="AY477" s="146"/>
    </row>
    <row r="478" ht="41.25" customHeight="1">
      <c r="D478" s="130"/>
      <c r="AR478" s="61"/>
      <c r="AY478" s="146"/>
    </row>
    <row r="479" ht="41.25" customHeight="1">
      <c r="D479" s="130"/>
      <c r="AR479" s="61"/>
      <c r="AY479" s="146"/>
    </row>
    <row r="480" ht="41.25" customHeight="1">
      <c r="D480" s="130"/>
      <c r="AR480" s="61"/>
      <c r="AY480" s="146"/>
    </row>
    <row r="481" ht="41.25" customHeight="1">
      <c r="D481" s="130"/>
      <c r="AR481" s="61"/>
      <c r="AY481" s="146"/>
    </row>
    <row r="482" ht="41.25" customHeight="1">
      <c r="D482" s="130"/>
      <c r="AR482" s="61"/>
      <c r="AY482" s="146"/>
    </row>
    <row r="483" ht="41.25" customHeight="1">
      <c r="D483" s="130"/>
      <c r="AR483" s="61"/>
      <c r="AY483" s="146"/>
    </row>
    <row r="484" ht="41.25" customHeight="1">
      <c r="D484" s="130"/>
      <c r="AR484" s="61"/>
      <c r="AY484" s="146"/>
    </row>
    <row r="485" ht="41.25" customHeight="1">
      <c r="D485" s="130"/>
      <c r="AR485" s="61"/>
      <c r="AY485" s="146"/>
    </row>
    <row r="486" ht="41.25" customHeight="1">
      <c r="D486" s="130"/>
      <c r="AR486" s="61"/>
      <c r="AY486" s="146"/>
    </row>
    <row r="487" ht="41.25" customHeight="1">
      <c r="D487" s="130"/>
      <c r="AR487" s="61"/>
      <c r="AY487" s="146"/>
    </row>
    <row r="488" ht="41.25" customHeight="1">
      <c r="D488" s="130"/>
      <c r="AR488" s="61"/>
      <c r="AY488" s="146"/>
    </row>
    <row r="489" ht="41.25" customHeight="1">
      <c r="D489" s="130"/>
      <c r="AR489" s="61"/>
      <c r="AY489" s="146"/>
    </row>
    <row r="490" ht="41.25" customHeight="1">
      <c r="D490" s="130"/>
      <c r="AR490" s="61"/>
      <c r="AY490" s="146"/>
    </row>
    <row r="491" ht="41.25" customHeight="1">
      <c r="D491" s="130"/>
      <c r="AR491" s="61"/>
      <c r="AY491" s="146"/>
    </row>
    <row r="492" ht="41.25" customHeight="1">
      <c r="D492" s="130"/>
      <c r="AR492" s="61"/>
      <c r="AY492" s="146"/>
    </row>
    <row r="493" ht="41.25" customHeight="1">
      <c r="D493" s="130"/>
      <c r="AR493" s="61"/>
      <c r="AY493" s="146"/>
    </row>
    <row r="494" ht="41.25" customHeight="1">
      <c r="D494" s="130"/>
      <c r="AR494" s="61"/>
      <c r="AY494" s="146"/>
    </row>
    <row r="495" ht="41.25" customHeight="1">
      <c r="D495" s="130"/>
      <c r="AR495" s="61"/>
      <c r="AY495" s="146"/>
    </row>
    <row r="496" ht="41.25" customHeight="1">
      <c r="D496" s="130"/>
      <c r="AR496" s="61"/>
      <c r="AY496" s="146"/>
    </row>
    <row r="497" ht="41.25" customHeight="1">
      <c r="D497" s="130"/>
      <c r="AR497" s="61"/>
      <c r="AY497" s="146"/>
    </row>
    <row r="498" ht="41.25" customHeight="1">
      <c r="D498" s="130"/>
      <c r="AR498" s="61"/>
      <c r="AY498" s="146"/>
    </row>
    <row r="499" ht="41.25" customHeight="1">
      <c r="D499" s="130"/>
      <c r="AR499" s="61"/>
      <c r="AY499" s="146"/>
    </row>
    <row r="500" ht="41.25" customHeight="1">
      <c r="D500" s="130"/>
      <c r="AR500" s="61"/>
      <c r="AY500" s="146"/>
    </row>
    <row r="501" ht="41.25" customHeight="1">
      <c r="D501" s="130"/>
      <c r="AR501" s="61"/>
      <c r="AY501" s="146"/>
    </row>
    <row r="502" ht="41.25" customHeight="1">
      <c r="D502" s="130"/>
      <c r="AR502" s="61"/>
      <c r="AY502" s="146"/>
    </row>
    <row r="503" ht="41.25" customHeight="1">
      <c r="D503" s="130"/>
      <c r="AR503" s="61"/>
      <c r="AY503" s="146"/>
    </row>
    <row r="504" ht="41.25" customHeight="1">
      <c r="D504" s="130"/>
      <c r="AR504" s="61"/>
      <c r="AY504" s="146"/>
    </row>
    <row r="505" ht="41.25" customHeight="1">
      <c r="D505" s="130"/>
      <c r="AR505" s="61"/>
      <c r="AY505" s="146"/>
    </row>
    <row r="506" ht="41.25" customHeight="1">
      <c r="D506" s="130"/>
      <c r="AR506" s="61"/>
      <c r="AY506" s="146"/>
    </row>
    <row r="507" ht="41.25" customHeight="1">
      <c r="D507" s="130"/>
      <c r="AR507" s="61"/>
      <c r="AY507" s="146"/>
    </row>
    <row r="508" ht="41.25" customHeight="1">
      <c r="D508" s="130"/>
      <c r="AR508" s="61"/>
      <c r="AY508" s="146"/>
    </row>
    <row r="509" ht="41.25" customHeight="1">
      <c r="D509" s="130"/>
      <c r="AR509" s="61"/>
      <c r="AY509" s="146"/>
    </row>
    <row r="510" ht="41.25" customHeight="1">
      <c r="D510" s="130"/>
      <c r="AR510" s="61"/>
      <c r="AY510" s="146"/>
    </row>
    <row r="511" ht="41.25" customHeight="1">
      <c r="D511" s="130"/>
      <c r="AR511" s="61"/>
      <c r="AY511" s="146"/>
    </row>
    <row r="512" ht="41.25" customHeight="1">
      <c r="D512" s="130"/>
      <c r="AR512" s="61"/>
      <c r="AY512" s="146"/>
    </row>
    <row r="513" ht="41.25" customHeight="1">
      <c r="D513" s="130"/>
      <c r="AR513" s="61"/>
      <c r="AY513" s="146"/>
    </row>
    <row r="514" ht="41.25" customHeight="1">
      <c r="D514" s="130"/>
      <c r="AR514" s="61"/>
      <c r="AY514" s="146"/>
    </row>
    <row r="515" ht="41.25" customHeight="1">
      <c r="D515" s="130"/>
      <c r="AR515" s="61"/>
      <c r="AY515" s="146"/>
    </row>
    <row r="516" ht="41.25" customHeight="1">
      <c r="D516" s="130"/>
      <c r="AR516" s="61"/>
      <c r="AY516" s="146"/>
    </row>
    <row r="517" ht="41.25" customHeight="1">
      <c r="D517" s="130"/>
      <c r="AR517" s="61"/>
      <c r="AY517" s="146"/>
    </row>
    <row r="518" ht="41.25" customHeight="1">
      <c r="D518" s="130"/>
      <c r="AR518" s="61"/>
      <c r="AY518" s="146"/>
    </row>
    <row r="519" ht="41.25" customHeight="1">
      <c r="D519" s="130"/>
      <c r="AR519" s="61"/>
      <c r="AY519" s="146"/>
    </row>
    <row r="520" ht="41.25" customHeight="1">
      <c r="D520" s="130"/>
      <c r="AR520" s="61"/>
      <c r="AY520" s="146"/>
    </row>
    <row r="521" ht="41.25" customHeight="1">
      <c r="D521" s="130"/>
      <c r="AR521" s="61"/>
      <c r="AY521" s="146"/>
    </row>
    <row r="522" ht="41.25" customHeight="1">
      <c r="D522" s="130"/>
      <c r="AR522" s="61"/>
      <c r="AY522" s="146"/>
    </row>
    <row r="523" ht="41.25" customHeight="1">
      <c r="D523" s="130"/>
      <c r="AR523" s="61"/>
      <c r="AY523" s="146"/>
    </row>
    <row r="524" ht="41.25" customHeight="1">
      <c r="D524" s="130"/>
      <c r="AR524" s="61"/>
      <c r="AY524" s="146"/>
    </row>
    <row r="525" ht="41.25" customHeight="1">
      <c r="D525" s="130"/>
      <c r="AR525" s="61"/>
      <c r="AY525" s="146"/>
    </row>
    <row r="526" ht="41.25" customHeight="1">
      <c r="D526" s="130"/>
      <c r="AR526" s="61"/>
      <c r="AY526" s="146"/>
    </row>
    <row r="527" ht="41.25" customHeight="1">
      <c r="D527" s="130"/>
      <c r="AR527" s="61"/>
      <c r="AY527" s="146"/>
    </row>
    <row r="528" ht="41.25" customHeight="1">
      <c r="D528" s="130"/>
      <c r="AR528" s="61"/>
      <c r="AY528" s="146"/>
    </row>
    <row r="529" ht="41.25" customHeight="1">
      <c r="D529" s="130"/>
      <c r="AR529" s="61"/>
      <c r="AY529" s="146"/>
    </row>
    <row r="530" ht="41.25" customHeight="1">
      <c r="D530" s="130"/>
      <c r="AR530" s="61"/>
      <c r="AY530" s="146"/>
    </row>
    <row r="531" ht="41.25" customHeight="1">
      <c r="D531" s="130"/>
      <c r="AR531" s="61"/>
      <c r="AY531" s="146"/>
    </row>
    <row r="532" ht="41.25" customHeight="1">
      <c r="D532" s="130"/>
      <c r="AR532" s="61"/>
      <c r="AY532" s="146"/>
    </row>
    <row r="533" ht="41.25" customHeight="1">
      <c r="D533" s="130"/>
      <c r="AR533" s="61"/>
      <c r="AY533" s="146"/>
    </row>
    <row r="534" ht="41.25" customHeight="1">
      <c r="D534" s="130"/>
      <c r="AR534" s="61"/>
      <c r="AY534" s="146"/>
    </row>
    <row r="535" ht="41.25" customHeight="1">
      <c r="D535" s="130"/>
      <c r="AR535" s="61"/>
      <c r="AY535" s="146"/>
    </row>
    <row r="536" ht="41.25" customHeight="1">
      <c r="D536" s="130"/>
      <c r="AR536" s="61"/>
      <c r="AY536" s="146"/>
    </row>
    <row r="537" ht="41.25" customHeight="1">
      <c r="D537" s="130"/>
      <c r="AR537" s="61"/>
      <c r="AY537" s="146"/>
    </row>
    <row r="538" ht="41.25" customHeight="1">
      <c r="D538" s="130"/>
      <c r="AR538" s="61"/>
      <c r="AY538" s="146"/>
    </row>
    <row r="539" ht="41.25" customHeight="1">
      <c r="D539" s="130"/>
      <c r="AR539" s="61"/>
      <c r="AY539" s="146"/>
    </row>
    <row r="540" ht="41.25" customHeight="1">
      <c r="D540" s="130"/>
      <c r="AR540" s="61"/>
      <c r="AY540" s="146"/>
    </row>
    <row r="541" ht="41.25" customHeight="1">
      <c r="D541" s="130"/>
      <c r="AR541" s="61"/>
      <c r="AY541" s="146"/>
    </row>
    <row r="542" ht="41.25" customHeight="1">
      <c r="D542" s="130"/>
      <c r="AR542" s="61"/>
      <c r="AY542" s="146"/>
    </row>
    <row r="543" ht="41.25" customHeight="1">
      <c r="D543" s="130"/>
      <c r="AR543" s="61"/>
      <c r="AY543" s="146"/>
    </row>
    <row r="544" ht="41.25" customHeight="1">
      <c r="D544" s="130"/>
      <c r="AR544" s="61"/>
      <c r="AY544" s="146"/>
    </row>
    <row r="545" ht="41.25" customHeight="1">
      <c r="D545" s="130"/>
      <c r="AR545" s="61"/>
      <c r="AY545" s="146"/>
    </row>
    <row r="546" ht="41.25" customHeight="1">
      <c r="D546" s="130"/>
      <c r="AR546" s="61"/>
      <c r="AY546" s="146"/>
    </row>
    <row r="547" ht="41.25" customHeight="1">
      <c r="D547" s="130"/>
      <c r="AR547" s="61"/>
      <c r="AY547" s="146"/>
    </row>
    <row r="548" ht="41.25" customHeight="1">
      <c r="D548" s="130"/>
      <c r="AR548" s="61"/>
      <c r="AY548" s="146"/>
    </row>
    <row r="549" ht="41.25" customHeight="1">
      <c r="D549" s="130"/>
      <c r="AR549" s="61"/>
      <c r="AY549" s="146"/>
    </row>
    <row r="550" ht="41.25" customHeight="1">
      <c r="D550" s="130"/>
      <c r="AR550" s="61"/>
      <c r="AY550" s="146"/>
    </row>
    <row r="551" ht="41.25" customHeight="1">
      <c r="D551" s="130"/>
      <c r="AR551" s="61"/>
      <c r="AY551" s="146"/>
    </row>
    <row r="552" ht="41.25" customHeight="1">
      <c r="D552" s="130"/>
      <c r="AR552" s="61"/>
      <c r="AY552" s="146"/>
    </row>
    <row r="553" ht="41.25" customHeight="1">
      <c r="D553" s="130"/>
      <c r="AR553" s="61"/>
      <c r="AY553" s="146"/>
    </row>
    <row r="554" ht="41.25" customHeight="1">
      <c r="D554" s="130"/>
      <c r="AR554" s="61"/>
      <c r="AY554" s="146"/>
    </row>
    <row r="555" ht="41.25" customHeight="1">
      <c r="D555" s="130"/>
      <c r="AR555" s="61"/>
      <c r="AY555" s="146"/>
    </row>
    <row r="556" ht="41.25" customHeight="1">
      <c r="D556" s="130"/>
      <c r="AR556" s="61"/>
      <c r="AY556" s="146"/>
    </row>
    <row r="557" ht="41.25" customHeight="1">
      <c r="D557" s="130"/>
      <c r="AR557" s="61"/>
      <c r="AY557" s="146"/>
    </row>
    <row r="558" ht="41.25" customHeight="1">
      <c r="D558" s="130"/>
      <c r="AR558" s="61"/>
      <c r="AY558" s="146"/>
    </row>
    <row r="559" ht="41.25" customHeight="1">
      <c r="D559" s="130"/>
      <c r="AR559" s="61"/>
      <c r="AY559" s="146"/>
    </row>
    <row r="560" ht="41.25" customHeight="1">
      <c r="D560" s="130"/>
      <c r="AR560" s="61"/>
      <c r="AY560" s="146"/>
    </row>
    <row r="561" ht="41.25" customHeight="1">
      <c r="D561" s="130"/>
      <c r="AR561" s="61"/>
      <c r="AY561" s="146"/>
    </row>
    <row r="562" ht="41.25" customHeight="1">
      <c r="D562" s="130"/>
      <c r="AR562" s="61"/>
      <c r="AY562" s="146"/>
    </row>
    <row r="563" ht="41.25" customHeight="1">
      <c r="D563" s="130"/>
      <c r="AR563" s="61"/>
      <c r="AY563" s="146"/>
    </row>
    <row r="564" ht="41.25" customHeight="1">
      <c r="D564" s="130"/>
      <c r="AR564" s="61"/>
      <c r="AY564" s="146"/>
    </row>
    <row r="565" ht="41.25" customHeight="1">
      <c r="D565" s="130"/>
      <c r="AR565" s="61"/>
      <c r="AY565" s="146"/>
    </row>
    <row r="566" ht="41.25" customHeight="1">
      <c r="D566" s="130"/>
      <c r="AR566" s="61"/>
      <c r="AY566" s="146"/>
    </row>
    <row r="567" ht="41.25" customHeight="1">
      <c r="D567" s="130"/>
      <c r="AR567" s="61"/>
      <c r="AY567" s="146"/>
    </row>
    <row r="568" ht="41.25" customHeight="1">
      <c r="D568" s="130"/>
      <c r="AR568" s="61"/>
      <c r="AY568" s="146"/>
    </row>
    <row r="569" ht="41.25" customHeight="1">
      <c r="D569" s="130"/>
      <c r="AR569" s="61"/>
      <c r="AY569" s="146"/>
    </row>
    <row r="570" ht="41.25" customHeight="1">
      <c r="D570" s="130"/>
      <c r="AR570" s="61"/>
      <c r="AY570" s="146"/>
    </row>
    <row r="571" ht="41.25" customHeight="1">
      <c r="D571" s="130"/>
      <c r="AR571" s="61"/>
      <c r="AY571" s="146"/>
    </row>
    <row r="572" ht="41.25" customHeight="1">
      <c r="D572" s="130"/>
      <c r="AR572" s="61"/>
      <c r="AY572" s="146"/>
    </row>
    <row r="573" ht="41.25" customHeight="1">
      <c r="D573" s="130"/>
      <c r="AR573" s="61"/>
      <c r="AY573" s="146"/>
    </row>
    <row r="574" ht="41.25" customHeight="1">
      <c r="D574" s="130"/>
      <c r="AR574" s="61"/>
      <c r="AY574" s="146"/>
    </row>
    <row r="575" ht="41.25" customHeight="1">
      <c r="D575" s="130"/>
      <c r="AR575" s="61"/>
      <c r="AY575" s="146"/>
    </row>
    <row r="576" ht="41.25" customHeight="1">
      <c r="D576" s="130"/>
      <c r="AR576" s="61"/>
      <c r="AY576" s="146"/>
    </row>
    <row r="577" ht="41.25" customHeight="1">
      <c r="D577" s="130"/>
      <c r="AR577" s="61"/>
      <c r="AY577" s="146"/>
    </row>
    <row r="578" ht="41.25" customHeight="1">
      <c r="D578" s="130"/>
      <c r="AR578" s="61"/>
      <c r="AY578" s="146"/>
    </row>
    <row r="579" ht="41.25" customHeight="1">
      <c r="D579" s="130"/>
      <c r="AR579" s="61"/>
      <c r="AY579" s="146"/>
    </row>
    <row r="580" ht="41.25" customHeight="1">
      <c r="D580" s="130"/>
      <c r="AR580" s="61"/>
      <c r="AY580" s="146"/>
    </row>
    <row r="581" ht="41.25" customHeight="1">
      <c r="D581" s="130"/>
      <c r="AR581" s="61"/>
      <c r="AY581" s="146"/>
    </row>
    <row r="582" ht="41.25" customHeight="1">
      <c r="D582" s="130"/>
      <c r="AR582" s="61"/>
      <c r="AY582" s="146"/>
    </row>
    <row r="583" ht="41.25" customHeight="1">
      <c r="D583" s="130"/>
      <c r="AR583" s="61"/>
      <c r="AY583" s="146"/>
    </row>
    <row r="584" ht="41.25" customHeight="1">
      <c r="D584" s="130"/>
      <c r="AR584" s="61"/>
      <c r="AY584" s="146"/>
    </row>
    <row r="585" ht="41.25" customHeight="1">
      <c r="D585" s="130"/>
      <c r="AR585" s="61"/>
      <c r="AY585" s="146"/>
    </row>
    <row r="586" ht="41.25" customHeight="1">
      <c r="D586" s="130"/>
      <c r="AR586" s="61"/>
      <c r="AY586" s="146"/>
    </row>
    <row r="587" ht="41.25" customHeight="1">
      <c r="D587" s="130"/>
      <c r="AR587" s="61"/>
      <c r="AY587" s="146"/>
    </row>
    <row r="588" ht="41.25" customHeight="1">
      <c r="D588" s="130"/>
      <c r="AR588" s="61"/>
      <c r="AY588" s="146"/>
    </row>
    <row r="589" ht="41.25" customHeight="1">
      <c r="D589" s="130"/>
      <c r="AR589" s="61"/>
      <c r="AY589" s="146"/>
    </row>
    <row r="590" ht="41.25" customHeight="1">
      <c r="D590" s="130"/>
      <c r="AR590" s="61"/>
      <c r="AY590" s="146"/>
    </row>
    <row r="591" ht="41.25" customHeight="1">
      <c r="D591" s="130"/>
      <c r="AR591" s="61"/>
      <c r="AY591" s="146"/>
    </row>
    <row r="592" ht="41.25" customHeight="1">
      <c r="D592" s="130"/>
      <c r="AR592" s="61"/>
      <c r="AY592" s="146"/>
    </row>
    <row r="593" ht="41.25" customHeight="1">
      <c r="D593" s="130"/>
      <c r="AR593" s="61"/>
      <c r="AY593" s="146"/>
    </row>
    <row r="594" ht="41.25" customHeight="1">
      <c r="D594" s="130"/>
      <c r="AR594" s="61"/>
      <c r="AY594" s="146"/>
    </row>
    <row r="595" ht="41.25" customHeight="1">
      <c r="D595" s="130"/>
      <c r="AR595" s="61"/>
      <c r="AY595" s="146"/>
    </row>
    <row r="596" ht="41.25" customHeight="1">
      <c r="D596" s="130"/>
      <c r="AR596" s="61"/>
      <c r="AY596" s="146"/>
    </row>
    <row r="597" ht="41.25" customHeight="1">
      <c r="D597" s="130"/>
      <c r="AR597" s="61"/>
      <c r="AY597" s="146"/>
    </row>
    <row r="598" ht="41.25" customHeight="1">
      <c r="D598" s="130"/>
      <c r="AR598" s="61"/>
      <c r="AY598" s="146"/>
    </row>
    <row r="599" ht="41.25" customHeight="1">
      <c r="D599" s="130"/>
      <c r="AR599" s="61"/>
      <c r="AY599" s="146"/>
    </row>
    <row r="600" ht="41.25" customHeight="1">
      <c r="D600" s="130"/>
      <c r="AR600" s="61"/>
      <c r="AY600" s="146"/>
    </row>
    <row r="601" ht="41.25" customHeight="1">
      <c r="D601" s="130"/>
      <c r="AR601" s="61"/>
      <c r="AY601" s="146"/>
    </row>
    <row r="602" ht="41.25" customHeight="1">
      <c r="D602" s="130"/>
      <c r="AR602" s="61"/>
      <c r="AY602" s="146"/>
    </row>
    <row r="603" ht="41.25" customHeight="1">
      <c r="D603" s="130"/>
      <c r="AR603" s="61"/>
      <c r="AY603" s="146"/>
    </row>
    <row r="604" ht="41.25" customHeight="1">
      <c r="D604" s="130"/>
      <c r="AR604" s="61"/>
      <c r="AY604" s="146"/>
    </row>
    <row r="605" ht="41.25" customHeight="1">
      <c r="D605" s="130"/>
      <c r="AR605" s="61"/>
      <c r="AY605" s="146"/>
    </row>
    <row r="606" ht="41.25" customHeight="1">
      <c r="D606" s="130"/>
      <c r="AR606" s="61"/>
      <c r="AY606" s="146"/>
    </row>
    <row r="607" ht="41.25" customHeight="1">
      <c r="D607" s="130"/>
      <c r="AR607" s="61"/>
      <c r="AY607" s="146"/>
    </row>
    <row r="608" ht="41.25" customHeight="1">
      <c r="D608" s="130"/>
      <c r="AR608" s="61"/>
      <c r="AY608" s="146"/>
    </row>
    <row r="609" ht="41.25" customHeight="1">
      <c r="D609" s="130"/>
      <c r="AR609" s="61"/>
      <c r="AY609" s="146"/>
    </row>
    <row r="610" ht="41.25" customHeight="1">
      <c r="D610" s="130"/>
      <c r="AR610" s="61"/>
      <c r="AY610" s="146"/>
    </row>
    <row r="611" ht="41.25" customHeight="1">
      <c r="D611" s="130"/>
      <c r="AR611" s="61"/>
      <c r="AY611" s="146"/>
    </row>
    <row r="612" ht="41.25" customHeight="1">
      <c r="D612" s="130"/>
      <c r="AR612" s="61"/>
      <c r="AY612" s="146"/>
    </row>
    <row r="613" ht="41.25" customHeight="1">
      <c r="D613" s="130"/>
      <c r="AR613" s="61"/>
      <c r="AY613" s="146"/>
    </row>
    <row r="614" ht="41.25" customHeight="1">
      <c r="D614" s="130"/>
      <c r="AR614" s="61"/>
      <c r="AY614" s="146"/>
    </row>
    <row r="615" ht="41.25" customHeight="1">
      <c r="D615" s="130"/>
      <c r="AR615" s="61"/>
      <c r="AY615" s="146"/>
    </row>
    <row r="616" ht="41.25" customHeight="1">
      <c r="D616" s="130"/>
      <c r="AR616" s="61"/>
      <c r="AY616" s="146"/>
    </row>
    <row r="617" ht="41.25" customHeight="1">
      <c r="D617" s="130"/>
      <c r="AR617" s="61"/>
      <c r="AY617" s="146"/>
    </row>
    <row r="618" ht="41.25" customHeight="1">
      <c r="D618" s="130"/>
      <c r="AR618" s="61"/>
      <c r="AY618" s="146"/>
    </row>
    <row r="619" ht="41.25" customHeight="1">
      <c r="D619" s="130"/>
      <c r="AR619" s="61"/>
      <c r="AY619" s="146"/>
    </row>
    <row r="620" ht="41.25" customHeight="1">
      <c r="D620" s="130"/>
      <c r="AR620" s="61"/>
      <c r="AY620" s="146"/>
    </row>
    <row r="621" ht="41.25" customHeight="1">
      <c r="D621" s="130"/>
      <c r="AR621" s="61"/>
      <c r="AY621" s="146"/>
    </row>
    <row r="622" ht="41.25" customHeight="1">
      <c r="D622" s="130"/>
      <c r="AR622" s="61"/>
      <c r="AY622" s="146"/>
    </row>
    <row r="623" ht="41.25" customHeight="1">
      <c r="D623" s="130"/>
      <c r="AR623" s="61"/>
      <c r="AY623" s="146"/>
    </row>
    <row r="624" ht="41.25" customHeight="1">
      <c r="D624" s="130"/>
      <c r="AR624" s="61"/>
      <c r="AY624" s="146"/>
    </row>
    <row r="625" ht="41.25" customHeight="1">
      <c r="D625" s="130"/>
      <c r="AR625" s="61"/>
      <c r="AY625" s="146"/>
    </row>
    <row r="626" ht="41.25" customHeight="1">
      <c r="D626" s="130"/>
      <c r="AR626" s="61"/>
      <c r="AY626" s="146"/>
    </row>
    <row r="627" ht="41.25" customHeight="1">
      <c r="D627" s="130"/>
      <c r="AR627" s="61"/>
      <c r="AY627" s="146"/>
    </row>
    <row r="628" ht="41.25" customHeight="1">
      <c r="D628" s="130"/>
      <c r="AR628" s="61"/>
      <c r="AY628" s="146"/>
    </row>
    <row r="629" ht="41.25" customHeight="1">
      <c r="D629" s="130"/>
      <c r="AR629" s="61"/>
      <c r="AY629" s="146"/>
    </row>
    <row r="630" ht="41.25" customHeight="1">
      <c r="D630" s="130"/>
      <c r="AR630" s="61"/>
      <c r="AY630" s="146"/>
    </row>
    <row r="631" ht="41.25" customHeight="1">
      <c r="D631" s="130"/>
      <c r="AR631" s="61"/>
      <c r="AY631" s="146"/>
    </row>
    <row r="632" ht="41.25" customHeight="1">
      <c r="D632" s="130"/>
      <c r="AR632" s="61"/>
      <c r="AY632" s="146"/>
    </row>
    <row r="633" ht="41.25" customHeight="1">
      <c r="D633" s="130"/>
      <c r="AR633" s="61"/>
      <c r="AY633" s="146"/>
    </row>
    <row r="634" ht="41.25" customHeight="1">
      <c r="D634" s="130"/>
      <c r="AR634" s="61"/>
      <c r="AY634" s="146"/>
    </row>
    <row r="635" ht="41.25" customHeight="1">
      <c r="D635" s="130"/>
      <c r="AR635" s="61"/>
      <c r="AY635" s="146"/>
    </row>
    <row r="636" ht="41.25" customHeight="1">
      <c r="D636" s="130"/>
      <c r="AR636" s="61"/>
      <c r="AY636" s="146"/>
    </row>
    <row r="637" ht="41.25" customHeight="1">
      <c r="D637" s="130"/>
      <c r="AR637" s="61"/>
      <c r="AY637" s="146"/>
    </row>
    <row r="638" ht="41.25" customHeight="1">
      <c r="D638" s="130"/>
      <c r="AR638" s="61"/>
      <c r="AY638" s="146"/>
    </row>
    <row r="639" ht="41.25" customHeight="1">
      <c r="D639" s="130"/>
      <c r="AR639" s="61"/>
      <c r="AY639" s="146"/>
    </row>
    <row r="640" ht="41.25" customHeight="1">
      <c r="D640" s="130"/>
      <c r="AR640" s="61"/>
      <c r="AY640" s="146"/>
    </row>
    <row r="641" ht="41.25" customHeight="1">
      <c r="D641" s="130"/>
      <c r="AR641" s="61"/>
      <c r="AY641" s="146"/>
    </row>
    <row r="642" ht="41.25" customHeight="1">
      <c r="D642" s="130"/>
      <c r="AR642" s="61"/>
      <c r="AY642" s="146"/>
    </row>
    <row r="643" ht="41.25" customHeight="1">
      <c r="D643" s="130"/>
      <c r="AR643" s="61"/>
      <c r="AY643" s="146"/>
    </row>
    <row r="644" ht="41.25" customHeight="1">
      <c r="D644" s="130"/>
      <c r="AR644" s="61"/>
      <c r="AY644" s="146"/>
    </row>
    <row r="645" ht="41.25" customHeight="1">
      <c r="D645" s="130"/>
      <c r="AR645" s="61"/>
      <c r="AY645" s="146"/>
    </row>
    <row r="646" ht="41.25" customHeight="1">
      <c r="D646" s="130"/>
      <c r="AR646" s="61"/>
      <c r="AY646" s="146"/>
    </row>
    <row r="647" ht="41.25" customHeight="1">
      <c r="D647" s="130"/>
      <c r="AR647" s="61"/>
      <c r="AY647" s="146"/>
    </row>
    <row r="648" ht="41.25" customHeight="1">
      <c r="D648" s="130"/>
      <c r="AR648" s="61"/>
      <c r="AY648" s="146"/>
    </row>
    <row r="649" ht="41.25" customHeight="1">
      <c r="D649" s="130"/>
      <c r="AR649" s="61"/>
      <c r="AY649" s="146"/>
    </row>
    <row r="650" ht="41.25" customHeight="1">
      <c r="D650" s="130"/>
      <c r="AR650" s="61"/>
      <c r="AY650" s="146"/>
    </row>
    <row r="651" ht="41.25" customHeight="1">
      <c r="D651" s="130"/>
      <c r="AR651" s="61"/>
      <c r="AY651" s="146"/>
    </row>
    <row r="652" ht="41.25" customHeight="1">
      <c r="D652" s="130"/>
      <c r="AR652" s="61"/>
      <c r="AY652" s="146"/>
    </row>
    <row r="653" ht="41.25" customHeight="1">
      <c r="D653" s="130"/>
      <c r="AR653" s="61"/>
      <c r="AY653" s="146"/>
    </row>
    <row r="654" ht="41.25" customHeight="1">
      <c r="D654" s="130"/>
      <c r="AR654" s="61"/>
      <c r="AY654" s="146"/>
    </row>
    <row r="655" ht="41.25" customHeight="1">
      <c r="D655" s="130"/>
      <c r="AR655" s="61"/>
      <c r="AY655" s="146"/>
    </row>
    <row r="656" ht="41.25" customHeight="1">
      <c r="D656" s="130"/>
      <c r="AR656" s="61"/>
      <c r="AY656" s="146"/>
    </row>
    <row r="657" ht="41.25" customHeight="1">
      <c r="D657" s="130"/>
      <c r="AR657" s="61"/>
      <c r="AY657" s="146"/>
    </row>
    <row r="658" ht="41.25" customHeight="1">
      <c r="D658" s="130"/>
      <c r="AR658" s="61"/>
      <c r="AY658" s="146"/>
    </row>
    <row r="659" ht="41.25" customHeight="1">
      <c r="D659" s="130"/>
      <c r="AR659" s="61"/>
      <c r="AY659" s="146"/>
    </row>
    <row r="660" ht="41.25" customHeight="1">
      <c r="D660" s="130"/>
      <c r="AR660" s="61"/>
      <c r="AY660" s="146"/>
    </row>
    <row r="661" ht="41.25" customHeight="1">
      <c r="D661" s="130"/>
      <c r="AR661" s="61"/>
      <c r="AY661" s="146"/>
    </row>
    <row r="662" ht="41.25" customHeight="1">
      <c r="D662" s="130"/>
      <c r="AR662" s="61"/>
      <c r="AY662" s="146"/>
    </row>
    <row r="663" ht="41.25" customHeight="1">
      <c r="D663" s="130"/>
      <c r="AR663" s="61"/>
      <c r="AY663" s="146"/>
    </row>
    <row r="664" ht="41.25" customHeight="1">
      <c r="D664" s="130"/>
      <c r="AR664" s="61"/>
      <c r="AY664" s="146"/>
    </row>
    <row r="665" ht="41.25" customHeight="1">
      <c r="D665" s="130"/>
      <c r="AR665" s="61"/>
      <c r="AY665" s="146"/>
    </row>
    <row r="666" ht="41.25" customHeight="1">
      <c r="D666" s="130"/>
      <c r="AR666" s="61"/>
      <c r="AY666" s="146"/>
    </row>
    <row r="667" ht="41.25" customHeight="1">
      <c r="D667" s="130"/>
      <c r="AR667" s="61"/>
      <c r="AY667" s="146"/>
    </row>
    <row r="668" ht="41.25" customHeight="1">
      <c r="D668" s="130"/>
      <c r="AR668" s="61"/>
      <c r="AY668" s="146"/>
    </row>
    <row r="669" ht="41.25" customHeight="1">
      <c r="D669" s="130"/>
      <c r="AR669" s="61"/>
      <c r="AY669" s="146"/>
    </row>
    <row r="670" ht="41.25" customHeight="1">
      <c r="D670" s="130"/>
      <c r="AR670" s="61"/>
      <c r="AY670" s="146"/>
    </row>
    <row r="671" ht="41.25" customHeight="1">
      <c r="D671" s="130"/>
      <c r="AR671" s="61"/>
      <c r="AY671" s="146"/>
    </row>
    <row r="672" ht="41.25" customHeight="1">
      <c r="D672" s="130"/>
      <c r="AR672" s="61"/>
      <c r="AY672" s="146"/>
    </row>
    <row r="673" ht="41.25" customHeight="1">
      <c r="D673" s="130"/>
      <c r="AR673" s="61"/>
      <c r="AY673" s="146"/>
    </row>
    <row r="674" ht="41.25" customHeight="1">
      <c r="D674" s="130"/>
      <c r="AR674" s="61"/>
      <c r="AY674" s="146"/>
    </row>
    <row r="675" ht="41.25" customHeight="1">
      <c r="D675" s="130"/>
      <c r="AR675" s="61"/>
      <c r="AY675" s="146"/>
    </row>
    <row r="676" ht="41.25" customHeight="1">
      <c r="D676" s="130"/>
      <c r="AR676" s="61"/>
      <c r="AY676" s="146"/>
    </row>
    <row r="677" ht="41.25" customHeight="1">
      <c r="D677" s="130"/>
      <c r="AR677" s="61"/>
      <c r="AY677" s="146"/>
    </row>
    <row r="678" ht="41.25" customHeight="1">
      <c r="D678" s="130"/>
      <c r="AR678" s="61"/>
      <c r="AY678" s="146"/>
    </row>
    <row r="679" ht="41.25" customHeight="1">
      <c r="D679" s="130"/>
      <c r="AR679" s="61"/>
      <c r="AY679" s="146"/>
    </row>
    <row r="680" ht="41.25" customHeight="1">
      <c r="D680" s="130"/>
      <c r="AR680" s="61"/>
      <c r="AY680" s="146"/>
    </row>
    <row r="681" ht="41.25" customHeight="1">
      <c r="D681" s="130"/>
      <c r="AR681" s="61"/>
      <c r="AY681" s="146"/>
    </row>
    <row r="682" ht="41.25" customHeight="1">
      <c r="D682" s="130"/>
      <c r="AR682" s="61"/>
      <c r="AY682" s="146"/>
    </row>
    <row r="683" ht="41.25" customHeight="1">
      <c r="D683" s="130"/>
      <c r="AR683" s="61"/>
      <c r="AY683" s="146"/>
    </row>
    <row r="684" ht="41.25" customHeight="1">
      <c r="D684" s="130"/>
      <c r="AR684" s="61"/>
      <c r="AY684" s="146"/>
    </row>
    <row r="685" ht="41.25" customHeight="1">
      <c r="D685" s="130"/>
      <c r="AR685" s="61"/>
      <c r="AY685" s="146"/>
    </row>
    <row r="686" ht="41.25" customHeight="1">
      <c r="D686" s="130"/>
      <c r="AR686" s="61"/>
      <c r="AY686" s="146"/>
    </row>
    <row r="687" ht="41.25" customHeight="1">
      <c r="D687" s="130"/>
      <c r="AR687" s="61"/>
      <c r="AY687" s="146"/>
    </row>
    <row r="688" ht="41.25" customHeight="1">
      <c r="D688" s="130"/>
      <c r="AR688" s="61"/>
      <c r="AY688" s="146"/>
    </row>
    <row r="689" ht="41.25" customHeight="1">
      <c r="D689" s="130"/>
      <c r="AR689" s="61"/>
      <c r="AY689" s="146"/>
    </row>
    <row r="690" ht="41.25" customHeight="1">
      <c r="D690" s="130"/>
      <c r="AR690" s="61"/>
      <c r="AY690" s="146"/>
    </row>
    <row r="691" ht="41.25" customHeight="1">
      <c r="D691" s="130"/>
      <c r="AR691" s="61"/>
      <c r="AY691" s="146"/>
    </row>
    <row r="692" ht="41.25" customHeight="1">
      <c r="D692" s="130"/>
      <c r="AR692" s="61"/>
      <c r="AY692" s="146"/>
    </row>
    <row r="693" ht="41.25" customHeight="1">
      <c r="D693" s="130"/>
      <c r="AR693" s="61"/>
      <c r="AY693" s="146"/>
    </row>
    <row r="694" ht="41.25" customHeight="1">
      <c r="D694" s="130"/>
      <c r="AR694" s="61"/>
      <c r="AY694" s="146"/>
    </row>
    <row r="695" ht="41.25" customHeight="1">
      <c r="D695" s="130"/>
      <c r="AR695" s="61"/>
      <c r="AY695" s="146"/>
    </row>
    <row r="696" ht="41.25" customHeight="1">
      <c r="D696" s="130"/>
      <c r="AR696" s="61"/>
      <c r="AY696" s="146"/>
    </row>
    <row r="697" ht="41.25" customHeight="1">
      <c r="D697" s="130"/>
      <c r="AR697" s="61"/>
      <c r="AY697" s="146"/>
    </row>
    <row r="698" ht="41.25" customHeight="1">
      <c r="D698" s="130"/>
      <c r="AR698" s="61"/>
      <c r="AY698" s="146"/>
    </row>
    <row r="699" ht="41.25" customHeight="1">
      <c r="D699" s="130"/>
      <c r="AR699" s="61"/>
      <c r="AY699" s="146"/>
    </row>
    <row r="700" ht="41.25" customHeight="1">
      <c r="D700" s="130"/>
      <c r="AR700" s="61"/>
      <c r="AY700" s="146"/>
    </row>
    <row r="701" ht="41.25" customHeight="1">
      <c r="D701" s="130"/>
      <c r="AR701" s="61"/>
      <c r="AY701" s="146"/>
    </row>
    <row r="702" ht="41.25" customHeight="1">
      <c r="D702" s="130"/>
      <c r="AR702" s="61"/>
      <c r="AY702" s="146"/>
    </row>
    <row r="703" ht="41.25" customHeight="1">
      <c r="D703" s="130"/>
      <c r="AR703" s="61"/>
      <c r="AY703" s="146"/>
    </row>
    <row r="704" ht="41.25" customHeight="1">
      <c r="D704" s="130"/>
      <c r="AR704" s="61"/>
      <c r="AY704" s="146"/>
    </row>
    <row r="705" ht="41.25" customHeight="1">
      <c r="D705" s="130"/>
      <c r="AR705" s="61"/>
      <c r="AY705" s="146"/>
    </row>
    <row r="706" ht="41.25" customHeight="1">
      <c r="D706" s="130"/>
      <c r="AR706" s="61"/>
      <c r="AY706" s="146"/>
    </row>
    <row r="707" ht="41.25" customHeight="1">
      <c r="D707" s="130"/>
      <c r="AR707" s="61"/>
      <c r="AY707" s="146"/>
    </row>
    <row r="708" ht="41.25" customHeight="1">
      <c r="D708" s="130"/>
      <c r="AR708" s="61"/>
      <c r="AY708" s="146"/>
    </row>
    <row r="709" ht="41.25" customHeight="1">
      <c r="D709" s="130"/>
      <c r="AR709" s="61"/>
      <c r="AY709" s="146"/>
    </row>
    <row r="710" ht="41.25" customHeight="1">
      <c r="D710" s="130"/>
      <c r="AR710" s="61"/>
      <c r="AY710" s="146"/>
    </row>
    <row r="711" ht="41.25" customHeight="1">
      <c r="D711" s="130"/>
      <c r="AR711" s="61"/>
      <c r="AY711" s="146"/>
    </row>
    <row r="712" ht="41.25" customHeight="1">
      <c r="D712" s="130"/>
      <c r="AR712" s="61"/>
      <c r="AY712" s="146"/>
    </row>
    <row r="713" ht="41.25" customHeight="1">
      <c r="D713" s="130"/>
      <c r="AR713" s="61"/>
      <c r="AY713" s="146"/>
    </row>
    <row r="714" ht="41.25" customHeight="1">
      <c r="D714" s="130"/>
      <c r="AR714" s="61"/>
      <c r="AY714" s="146"/>
    </row>
    <row r="715" ht="41.25" customHeight="1">
      <c r="D715" s="130"/>
      <c r="AR715" s="61"/>
      <c r="AY715" s="146"/>
    </row>
    <row r="716" ht="41.25" customHeight="1">
      <c r="D716" s="130"/>
      <c r="AR716" s="61"/>
      <c r="AY716" s="146"/>
    </row>
    <row r="717" ht="41.25" customHeight="1">
      <c r="D717" s="130"/>
      <c r="AR717" s="61"/>
      <c r="AY717" s="146"/>
    </row>
    <row r="718" ht="41.25" customHeight="1">
      <c r="D718" s="130"/>
      <c r="AR718" s="61"/>
      <c r="AY718" s="146"/>
    </row>
    <row r="719" ht="41.25" customHeight="1">
      <c r="D719" s="130"/>
      <c r="AR719" s="61"/>
      <c r="AY719" s="146"/>
    </row>
    <row r="720" ht="41.25" customHeight="1">
      <c r="D720" s="130"/>
      <c r="AR720" s="61"/>
      <c r="AY720" s="146"/>
    </row>
    <row r="721" ht="41.25" customHeight="1">
      <c r="D721" s="130"/>
      <c r="AR721" s="61"/>
      <c r="AY721" s="146"/>
    </row>
    <row r="722" ht="41.25" customHeight="1">
      <c r="D722" s="130"/>
      <c r="AR722" s="61"/>
      <c r="AY722" s="146"/>
    </row>
    <row r="723" ht="41.25" customHeight="1">
      <c r="D723" s="130"/>
      <c r="AR723" s="61"/>
      <c r="AY723" s="146"/>
    </row>
    <row r="724" ht="41.25" customHeight="1">
      <c r="D724" s="130"/>
      <c r="AR724" s="61"/>
      <c r="AY724" s="146"/>
    </row>
    <row r="725" ht="41.25" customHeight="1">
      <c r="D725" s="130"/>
      <c r="AR725" s="61"/>
      <c r="AY725" s="146"/>
    </row>
    <row r="726" ht="41.25" customHeight="1">
      <c r="D726" s="130"/>
      <c r="AR726" s="61"/>
      <c r="AY726" s="146"/>
    </row>
    <row r="727" ht="41.25" customHeight="1">
      <c r="D727" s="130"/>
      <c r="AR727" s="61"/>
      <c r="AY727" s="146"/>
    </row>
    <row r="728" ht="41.25" customHeight="1">
      <c r="D728" s="130"/>
      <c r="AR728" s="61"/>
      <c r="AY728" s="146"/>
    </row>
    <row r="729" ht="41.25" customHeight="1">
      <c r="D729" s="130"/>
      <c r="AR729" s="61"/>
      <c r="AY729" s="146"/>
    </row>
    <row r="730" ht="41.25" customHeight="1">
      <c r="D730" s="130"/>
      <c r="AR730" s="61"/>
      <c r="AY730" s="146"/>
    </row>
    <row r="731" ht="41.25" customHeight="1">
      <c r="D731" s="130"/>
      <c r="AR731" s="61"/>
      <c r="AY731" s="146"/>
    </row>
    <row r="732" ht="41.25" customHeight="1">
      <c r="D732" s="130"/>
      <c r="AR732" s="61"/>
      <c r="AY732" s="146"/>
    </row>
    <row r="733" ht="41.25" customHeight="1">
      <c r="D733" s="130"/>
      <c r="AR733" s="61"/>
      <c r="AY733" s="146"/>
    </row>
    <row r="734" ht="41.25" customHeight="1">
      <c r="D734" s="130"/>
      <c r="AR734" s="61"/>
      <c r="AY734" s="146"/>
    </row>
    <row r="735" ht="41.25" customHeight="1">
      <c r="D735" s="130"/>
      <c r="AR735" s="61"/>
      <c r="AY735" s="146"/>
    </row>
    <row r="736" ht="41.25" customHeight="1">
      <c r="D736" s="130"/>
      <c r="AR736" s="61"/>
      <c r="AY736" s="146"/>
    </row>
    <row r="737" ht="41.25" customHeight="1">
      <c r="D737" s="130"/>
      <c r="AR737" s="61"/>
      <c r="AY737" s="146"/>
    </row>
    <row r="738" ht="41.25" customHeight="1">
      <c r="D738" s="130"/>
      <c r="AR738" s="61"/>
      <c r="AY738" s="146"/>
    </row>
    <row r="739" ht="41.25" customHeight="1">
      <c r="D739" s="130"/>
      <c r="AR739" s="61"/>
      <c r="AY739" s="146"/>
    </row>
    <row r="740" ht="41.25" customHeight="1">
      <c r="D740" s="130"/>
      <c r="AR740" s="61"/>
      <c r="AY740" s="146"/>
    </row>
    <row r="741" ht="41.25" customHeight="1">
      <c r="D741" s="130"/>
      <c r="AR741" s="61"/>
      <c r="AY741" s="146"/>
    </row>
    <row r="742" ht="41.25" customHeight="1">
      <c r="D742" s="130"/>
      <c r="AR742" s="61"/>
      <c r="AY742" s="146"/>
    </row>
    <row r="743" ht="41.25" customHeight="1">
      <c r="D743" s="130"/>
      <c r="AR743" s="61"/>
      <c r="AY743" s="146"/>
    </row>
    <row r="744" ht="41.25" customHeight="1">
      <c r="D744" s="130"/>
      <c r="AR744" s="61"/>
      <c r="AY744" s="146"/>
    </row>
    <row r="745" ht="41.25" customHeight="1">
      <c r="D745" s="130"/>
      <c r="AR745" s="61"/>
      <c r="AY745" s="146"/>
    </row>
    <row r="746" ht="41.25" customHeight="1">
      <c r="D746" s="130"/>
      <c r="AR746" s="61"/>
      <c r="AY746" s="146"/>
    </row>
    <row r="747" ht="41.25" customHeight="1">
      <c r="D747" s="130"/>
      <c r="AR747" s="61"/>
      <c r="AY747" s="146"/>
    </row>
    <row r="748" ht="41.25" customHeight="1">
      <c r="D748" s="130"/>
      <c r="AR748" s="61"/>
      <c r="AY748" s="146"/>
    </row>
    <row r="749" ht="41.25" customHeight="1">
      <c r="D749" s="130"/>
      <c r="AR749" s="61"/>
      <c r="AY749" s="146"/>
    </row>
    <row r="750" ht="41.25" customHeight="1">
      <c r="D750" s="130"/>
      <c r="AR750" s="61"/>
      <c r="AY750" s="146"/>
    </row>
    <row r="751" ht="41.25" customHeight="1">
      <c r="D751" s="130"/>
      <c r="AR751" s="61"/>
      <c r="AY751" s="146"/>
    </row>
    <row r="752" ht="41.25" customHeight="1">
      <c r="D752" s="130"/>
      <c r="AR752" s="61"/>
      <c r="AY752" s="146"/>
    </row>
    <row r="753" ht="41.25" customHeight="1">
      <c r="D753" s="130"/>
      <c r="AR753" s="61"/>
      <c r="AY753" s="146"/>
    </row>
    <row r="754" ht="41.25" customHeight="1">
      <c r="D754" s="130"/>
      <c r="AR754" s="61"/>
      <c r="AY754" s="146"/>
    </row>
    <row r="755" ht="41.25" customHeight="1">
      <c r="D755" s="130"/>
      <c r="AR755" s="61"/>
      <c r="AY755" s="146"/>
    </row>
    <row r="756" ht="41.25" customHeight="1">
      <c r="D756" s="130"/>
      <c r="AR756" s="61"/>
      <c r="AY756" s="146"/>
    </row>
    <row r="757" ht="41.25" customHeight="1">
      <c r="D757" s="130"/>
      <c r="AR757" s="61"/>
      <c r="AY757" s="146"/>
    </row>
    <row r="758" ht="41.25" customHeight="1">
      <c r="D758" s="130"/>
      <c r="AR758" s="61"/>
      <c r="AY758" s="146"/>
    </row>
    <row r="759" ht="41.25" customHeight="1">
      <c r="D759" s="130"/>
      <c r="AR759" s="61"/>
      <c r="AY759" s="146"/>
    </row>
    <row r="760" ht="41.25" customHeight="1">
      <c r="D760" s="130"/>
      <c r="AR760" s="61"/>
      <c r="AY760" s="146"/>
    </row>
    <row r="761" ht="41.25" customHeight="1">
      <c r="D761" s="130"/>
      <c r="AR761" s="61"/>
      <c r="AY761" s="146"/>
    </row>
    <row r="762" ht="41.25" customHeight="1">
      <c r="D762" s="130"/>
      <c r="AR762" s="61"/>
      <c r="AY762" s="146"/>
    </row>
    <row r="763" ht="41.25" customHeight="1">
      <c r="D763" s="130"/>
      <c r="AR763" s="61"/>
      <c r="AY763" s="146"/>
    </row>
    <row r="764" ht="41.25" customHeight="1">
      <c r="D764" s="130"/>
      <c r="AR764" s="61"/>
      <c r="AY764" s="146"/>
    </row>
    <row r="765" ht="41.25" customHeight="1">
      <c r="D765" s="130"/>
      <c r="AR765" s="61"/>
      <c r="AY765" s="146"/>
    </row>
    <row r="766" ht="41.25" customHeight="1">
      <c r="D766" s="130"/>
      <c r="AR766" s="61"/>
      <c r="AY766" s="146"/>
    </row>
    <row r="767" ht="41.25" customHeight="1">
      <c r="D767" s="130"/>
      <c r="AR767" s="61"/>
      <c r="AY767" s="146"/>
    </row>
    <row r="768" ht="41.25" customHeight="1">
      <c r="D768" s="130"/>
      <c r="AR768" s="61"/>
      <c r="AY768" s="146"/>
    </row>
    <row r="769" ht="41.25" customHeight="1">
      <c r="D769" s="130"/>
      <c r="AR769" s="61"/>
      <c r="AY769" s="146"/>
    </row>
    <row r="770" ht="41.25" customHeight="1">
      <c r="D770" s="130"/>
      <c r="AR770" s="61"/>
      <c r="AY770" s="146"/>
    </row>
    <row r="771" ht="41.25" customHeight="1">
      <c r="D771" s="130"/>
      <c r="AR771" s="61"/>
      <c r="AY771" s="146"/>
    </row>
    <row r="772" ht="41.25" customHeight="1">
      <c r="D772" s="130"/>
      <c r="AR772" s="61"/>
      <c r="AY772" s="146"/>
    </row>
    <row r="773" ht="41.25" customHeight="1">
      <c r="D773" s="130"/>
      <c r="AR773" s="61"/>
      <c r="AY773" s="146"/>
    </row>
    <row r="774" ht="41.25" customHeight="1">
      <c r="D774" s="130"/>
      <c r="AR774" s="61"/>
      <c r="AY774" s="146"/>
    </row>
    <row r="775" ht="41.25" customHeight="1">
      <c r="D775" s="130"/>
      <c r="AR775" s="61"/>
      <c r="AY775" s="146"/>
    </row>
    <row r="776" ht="41.25" customHeight="1">
      <c r="D776" s="130"/>
      <c r="AR776" s="61"/>
      <c r="AY776" s="146"/>
    </row>
    <row r="777" ht="41.25" customHeight="1">
      <c r="D777" s="130"/>
      <c r="AR777" s="61"/>
      <c r="AY777" s="146"/>
    </row>
    <row r="778" ht="41.25" customHeight="1">
      <c r="D778" s="130"/>
      <c r="AR778" s="61"/>
      <c r="AY778" s="146"/>
    </row>
    <row r="779" ht="41.25" customHeight="1">
      <c r="D779" s="130"/>
      <c r="AR779" s="61"/>
      <c r="AY779" s="146"/>
    </row>
    <row r="780" ht="41.25" customHeight="1">
      <c r="D780" s="130"/>
      <c r="AR780" s="61"/>
      <c r="AY780" s="146"/>
    </row>
    <row r="781" ht="41.25" customHeight="1">
      <c r="D781" s="130"/>
      <c r="AR781" s="61"/>
      <c r="AY781" s="146"/>
    </row>
    <row r="782" ht="41.25" customHeight="1">
      <c r="D782" s="130"/>
      <c r="AR782" s="61"/>
      <c r="AY782" s="146"/>
    </row>
    <row r="783" ht="41.25" customHeight="1">
      <c r="D783" s="130"/>
      <c r="AR783" s="61"/>
      <c r="AY783" s="146"/>
    </row>
    <row r="784" ht="41.25" customHeight="1">
      <c r="D784" s="130"/>
      <c r="AR784" s="61"/>
      <c r="AY784" s="146"/>
    </row>
    <row r="785" ht="41.25" customHeight="1">
      <c r="D785" s="130"/>
      <c r="AR785" s="61"/>
      <c r="AY785" s="146"/>
    </row>
    <row r="786" ht="41.25" customHeight="1">
      <c r="D786" s="130"/>
      <c r="AR786" s="61"/>
      <c r="AY786" s="146"/>
    </row>
    <row r="787" ht="41.25" customHeight="1">
      <c r="D787" s="130"/>
      <c r="AR787" s="61"/>
      <c r="AY787" s="146"/>
    </row>
    <row r="788" ht="41.25" customHeight="1">
      <c r="D788" s="130"/>
      <c r="AR788" s="61"/>
      <c r="AY788" s="146"/>
    </row>
    <row r="789" ht="41.25" customHeight="1">
      <c r="D789" s="130"/>
      <c r="AR789" s="61"/>
      <c r="AY789" s="146"/>
    </row>
    <row r="790" ht="41.25" customHeight="1">
      <c r="D790" s="130"/>
      <c r="AR790" s="61"/>
      <c r="AY790" s="146"/>
    </row>
    <row r="791" ht="41.25" customHeight="1">
      <c r="D791" s="130"/>
      <c r="AR791" s="61"/>
      <c r="AY791" s="146"/>
    </row>
    <row r="792" ht="41.25" customHeight="1">
      <c r="D792" s="130"/>
      <c r="AR792" s="61"/>
      <c r="AY792" s="146"/>
    </row>
    <row r="793" ht="41.25" customHeight="1">
      <c r="D793" s="130"/>
      <c r="AR793" s="61"/>
      <c r="AY793" s="146"/>
    </row>
    <row r="794" ht="41.25" customHeight="1">
      <c r="D794" s="130"/>
      <c r="AR794" s="61"/>
      <c r="AY794" s="146"/>
    </row>
    <row r="795" ht="41.25" customHeight="1">
      <c r="D795" s="130"/>
      <c r="AR795" s="61"/>
      <c r="AY795" s="146"/>
    </row>
    <row r="796" ht="41.25" customHeight="1">
      <c r="D796" s="130"/>
      <c r="AR796" s="61"/>
      <c r="AY796" s="146"/>
    </row>
    <row r="797" ht="41.25" customHeight="1">
      <c r="D797" s="130"/>
      <c r="AR797" s="61"/>
      <c r="AY797" s="146"/>
    </row>
    <row r="798" ht="41.25" customHeight="1">
      <c r="D798" s="130"/>
      <c r="AR798" s="61"/>
      <c r="AY798" s="146"/>
    </row>
    <row r="799" ht="41.25" customHeight="1">
      <c r="D799" s="130"/>
      <c r="AR799" s="61"/>
      <c r="AY799" s="146"/>
    </row>
    <row r="800" ht="41.25" customHeight="1">
      <c r="D800" s="130"/>
      <c r="AR800" s="61"/>
      <c r="AY800" s="146"/>
    </row>
    <row r="801" ht="41.25" customHeight="1">
      <c r="D801" s="130"/>
      <c r="AR801" s="61"/>
      <c r="AY801" s="146"/>
    </row>
    <row r="802" ht="41.25" customHeight="1">
      <c r="D802" s="130"/>
      <c r="AR802" s="61"/>
      <c r="AY802" s="146"/>
    </row>
    <row r="803" ht="41.25" customHeight="1">
      <c r="D803" s="130"/>
      <c r="AR803" s="61"/>
      <c r="AY803" s="146"/>
    </row>
    <row r="804" ht="41.25" customHeight="1">
      <c r="D804" s="130"/>
      <c r="AR804" s="61"/>
      <c r="AY804" s="146"/>
    </row>
    <row r="805" ht="41.25" customHeight="1">
      <c r="D805" s="130"/>
      <c r="AR805" s="61"/>
      <c r="AY805" s="146"/>
    </row>
    <row r="806" ht="41.25" customHeight="1">
      <c r="D806" s="130"/>
      <c r="AR806" s="61"/>
      <c r="AY806" s="146"/>
    </row>
    <row r="807" ht="41.25" customHeight="1">
      <c r="D807" s="130"/>
      <c r="AR807" s="61"/>
      <c r="AY807" s="146"/>
    </row>
    <row r="808" ht="41.25" customHeight="1">
      <c r="D808" s="130"/>
      <c r="AR808" s="61"/>
      <c r="AY808" s="146"/>
    </row>
    <row r="809" ht="41.25" customHeight="1">
      <c r="D809" s="130"/>
      <c r="AR809" s="61"/>
      <c r="AY809" s="146"/>
    </row>
    <row r="810" ht="41.25" customHeight="1">
      <c r="D810" s="130"/>
      <c r="AR810" s="61"/>
      <c r="AY810" s="146"/>
    </row>
    <row r="811" ht="41.25" customHeight="1">
      <c r="D811" s="130"/>
      <c r="AR811" s="61"/>
      <c r="AY811" s="146"/>
    </row>
    <row r="812" ht="41.25" customHeight="1">
      <c r="D812" s="130"/>
      <c r="AR812" s="61"/>
      <c r="AY812" s="146"/>
    </row>
    <row r="813" ht="41.25" customHeight="1">
      <c r="D813" s="130"/>
      <c r="AR813" s="61"/>
      <c r="AY813" s="146"/>
    </row>
    <row r="814" ht="41.25" customHeight="1">
      <c r="D814" s="130"/>
      <c r="AR814" s="61"/>
      <c r="AY814" s="146"/>
    </row>
    <row r="815" ht="41.25" customHeight="1">
      <c r="D815" s="130"/>
      <c r="AR815" s="61"/>
      <c r="AY815" s="146"/>
    </row>
    <row r="816" ht="41.25" customHeight="1">
      <c r="D816" s="130"/>
      <c r="AR816" s="61"/>
      <c r="AY816" s="146"/>
    </row>
    <row r="817" ht="41.25" customHeight="1">
      <c r="D817" s="130"/>
      <c r="AR817" s="61"/>
      <c r="AY817" s="146"/>
    </row>
    <row r="818" ht="41.25" customHeight="1">
      <c r="D818" s="130"/>
      <c r="AR818" s="61"/>
      <c r="AY818" s="146"/>
    </row>
    <row r="819" ht="41.25" customHeight="1">
      <c r="D819" s="130"/>
      <c r="AR819" s="61"/>
      <c r="AY819" s="146"/>
    </row>
    <row r="820" ht="41.25" customHeight="1">
      <c r="D820" s="130"/>
      <c r="AR820" s="61"/>
      <c r="AY820" s="146"/>
    </row>
    <row r="821" ht="41.25" customHeight="1">
      <c r="D821" s="130"/>
      <c r="AR821" s="61"/>
      <c r="AY821" s="146"/>
    </row>
    <row r="822" ht="41.25" customHeight="1">
      <c r="D822" s="130"/>
      <c r="AR822" s="61"/>
      <c r="AY822" s="146"/>
    </row>
    <row r="823" ht="41.25" customHeight="1">
      <c r="D823" s="130"/>
      <c r="AR823" s="61"/>
      <c r="AY823" s="146"/>
    </row>
    <row r="824" ht="41.25" customHeight="1">
      <c r="D824" s="130"/>
      <c r="AR824" s="61"/>
      <c r="AY824" s="146"/>
    </row>
    <row r="825" ht="41.25" customHeight="1">
      <c r="D825" s="130"/>
      <c r="AR825" s="61"/>
      <c r="AY825" s="146"/>
    </row>
    <row r="826" ht="41.25" customHeight="1">
      <c r="D826" s="130"/>
      <c r="AR826" s="61"/>
      <c r="AY826" s="146"/>
    </row>
    <row r="827" ht="41.25" customHeight="1">
      <c r="D827" s="130"/>
      <c r="AR827" s="61"/>
      <c r="AY827" s="146"/>
    </row>
    <row r="828" ht="41.25" customHeight="1">
      <c r="D828" s="130"/>
      <c r="AR828" s="61"/>
      <c r="AY828" s="146"/>
    </row>
    <row r="829" ht="41.25" customHeight="1">
      <c r="D829" s="130"/>
      <c r="AR829" s="61"/>
      <c r="AY829" s="146"/>
    </row>
    <row r="830" ht="41.25" customHeight="1">
      <c r="D830" s="130"/>
      <c r="AR830" s="61"/>
      <c r="AY830" s="146"/>
    </row>
    <row r="831" ht="41.25" customHeight="1">
      <c r="D831" s="130"/>
      <c r="AR831" s="61"/>
      <c r="AY831" s="146"/>
    </row>
    <row r="832" ht="41.25" customHeight="1">
      <c r="D832" s="130"/>
      <c r="AR832" s="61"/>
      <c r="AY832" s="146"/>
    </row>
    <row r="833" ht="41.25" customHeight="1">
      <c r="D833" s="130"/>
      <c r="AR833" s="61"/>
      <c r="AY833" s="146"/>
    </row>
    <row r="834" ht="41.25" customHeight="1">
      <c r="D834" s="130"/>
      <c r="AR834" s="61"/>
      <c r="AY834" s="146"/>
    </row>
    <row r="835" ht="41.25" customHeight="1">
      <c r="D835" s="130"/>
      <c r="AR835" s="61"/>
      <c r="AY835" s="146"/>
    </row>
    <row r="836" ht="41.25" customHeight="1">
      <c r="D836" s="130"/>
      <c r="AR836" s="61"/>
      <c r="AY836" s="146"/>
    </row>
    <row r="837" ht="41.25" customHeight="1">
      <c r="D837" s="130"/>
      <c r="AR837" s="61"/>
      <c r="AY837" s="146"/>
    </row>
    <row r="838" ht="41.25" customHeight="1">
      <c r="D838" s="130"/>
      <c r="AR838" s="61"/>
      <c r="AY838" s="146"/>
    </row>
    <row r="839" ht="41.25" customHeight="1">
      <c r="D839" s="130"/>
      <c r="AR839" s="61"/>
      <c r="AY839" s="146"/>
    </row>
    <row r="840" ht="41.25" customHeight="1">
      <c r="D840" s="130"/>
      <c r="AR840" s="61"/>
      <c r="AY840" s="146"/>
    </row>
    <row r="841" ht="41.25" customHeight="1">
      <c r="D841" s="130"/>
      <c r="AR841" s="61"/>
      <c r="AY841" s="146"/>
    </row>
    <row r="842" ht="41.25" customHeight="1">
      <c r="D842" s="130"/>
      <c r="AR842" s="61"/>
      <c r="AY842" s="146"/>
    </row>
    <row r="843" ht="41.25" customHeight="1">
      <c r="D843" s="130"/>
      <c r="AR843" s="61"/>
      <c r="AY843" s="146"/>
    </row>
    <row r="844" ht="41.25" customHeight="1">
      <c r="D844" s="130"/>
      <c r="AR844" s="61"/>
      <c r="AY844" s="146"/>
    </row>
    <row r="845" ht="41.25" customHeight="1">
      <c r="D845" s="130"/>
      <c r="AR845" s="61"/>
      <c r="AY845" s="146"/>
    </row>
    <row r="846" ht="41.25" customHeight="1">
      <c r="D846" s="130"/>
      <c r="AR846" s="61"/>
      <c r="AY846" s="146"/>
    </row>
    <row r="847" ht="41.25" customHeight="1">
      <c r="D847" s="130"/>
      <c r="AR847" s="61"/>
      <c r="AY847" s="146"/>
    </row>
    <row r="848" ht="41.25" customHeight="1">
      <c r="D848" s="130"/>
      <c r="AR848" s="61"/>
      <c r="AY848" s="146"/>
    </row>
    <row r="849" ht="41.25" customHeight="1">
      <c r="D849" s="130"/>
      <c r="AR849" s="61"/>
      <c r="AY849" s="146"/>
    </row>
    <row r="850" ht="41.25" customHeight="1">
      <c r="D850" s="130"/>
      <c r="AR850" s="61"/>
      <c r="AY850" s="146"/>
    </row>
    <row r="851" ht="41.25" customHeight="1">
      <c r="D851" s="130"/>
      <c r="AR851" s="61"/>
      <c r="AY851" s="146"/>
    </row>
    <row r="852" ht="41.25" customHeight="1">
      <c r="D852" s="130"/>
      <c r="AR852" s="61"/>
      <c r="AY852" s="146"/>
    </row>
    <row r="853" ht="41.25" customHeight="1">
      <c r="D853" s="130"/>
      <c r="AR853" s="61"/>
      <c r="AY853" s="146"/>
    </row>
    <row r="854" ht="41.25" customHeight="1">
      <c r="D854" s="130"/>
      <c r="AR854" s="61"/>
      <c r="AY854" s="146"/>
    </row>
    <row r="855" ht="41.25" customHeight="1">
      <c r="D855" s="130"/>
      <c r="AR855" s="61"/>
      <c r="AY855" s="146"/>
    </row>
    <row r="856" ht="41.25" customHeight="1">
      <c r="D856" s="130"/>
      <c r="AR856" s="61"/>
      <c r="AY856" s="146"/>
    </row>
    <row r="857" ht="41.25" customHeight="1">
      <c r="D857" s="130"/>
      <c r="AR857" s="61"/>
      <c r="AY857" s="146"/>
    </row>
    <row r="858" ht="41.25" customHeight="1">
      <c r="D858" s="130"/>
      <c r="AR858" s="61"/>
      <c r="AY858" s="146"/>
    </row>
    <row r="859" ht="41.25" customHeight="1">
      <c r="D859" s="130"/>
      <c r="AR859" s="61"/>
      <c r="AY859" s="146"/>
    </row>
    <row r="860" ht="41.25" customHeight="1">
      <c r="D860" s="130"/>
      <c r="AR860" s="61"/>
      <c r="AY860" s="146"/>
    </row>
    <row r="861" ht="41.25" customHeight="1">
      <c r="D861" s="130"/>
      <c r="AR861" s="61"/>
      <c r="AY861" s="146"/>
    </row>
    <row r="862" ht="41.25" customHeight="1">
      <c r="D862" s="130"/>
      <c r="AR862" s="61"/>
      <c r="AY862" s="146"/>
    </row>
    <row r="863" ht="41.25" customHeight="1">
      <c r="D863" s="130"/>
      <c r="AR863" s="61"/>
      <c r="AY863" s="146"/>
    </row>
    <row r="864" ht="41.25" customHeight="1">
      <c r="D864" s="130"/>
      <c r="AR864" s="61"/>
      <c r="AY864" s="146"/>
    </row>
    <row r="865" ht="41.25" customHeight="1">
      <c r="D865" s="130"/>
      <c r="AR865" s="61"/>
      <c r="AY865" s="146"/>
    </row>
    <row r="866" ht="41.25" customHeight="1">
      <c r="D866" s="130"/>
      <c r="AR866" s="61"/>
      <c r="AY866" s="146"/>
    </row>
    <row r="867" ht="41.25" customHeight="1">
      <c r="D867" s="130"/>
      <c r="AR867" s="61"/>
      <c r="AY867" s="146"/>
    </row>
    <row r="868" ht="41.25" customHeight="1">
      <c r="D868" s="130"/>
      <c r="AR868" s="61"/>
      <c r="AY868" s="146"/>
    </row>
    <row r="869" ht="41.25" customHeight="1">
      <c r="D869" s="130"/>
      <c r="AR869" s="61"/>
      <c r="AY869" s="146"/>
    </row>
    <row r="870" ht="41.25" customHeight="1">
      <c r="D870" s="130"/>
      <c r="AR870" s="61"/>
      <c r="AY870" s="146"/>
    </row>
    <row r="871" ht="41.25" customHeight="1">
      <c r="D871" s="130"/>
      <c r="AR871" s="61"/>
      <c r="AY871" s="146"/>
    </row>
    <row r="872" ht="41.25" customHeight="1">
      <c r="D872" s="130"/>
      <c r="AR872" s="61"/>
      <c r="AY872" s="146"/>
    </row>
    <row r="873" ht="41.25" customHeight="1">
      <c r="D873" s="130"/>
      <c r="AR873" s="61"/>
      <c r="AY873" s="146"/>
    </row>
    <row r="874" ht="41.25" customHeight="1">
      <c r="D874" s="130"/>
      <c r="AR874" s="61"/>
      <c r="AY874" s="146"/>
    </row>
    <row r="875" ht="41.25" customHeight="1">
      <c r="D875" s="130"/>
      <c r="AR875" s="61"/>
      <c r="AY875" s="146"/>
    </row>
    <row r="876" ht="41.25" customHeight="1">
      <c r="D876" s="130"/>
      <c r="AR876" s="61"/>
      <c r="AY876" s="146"/>
    </row>
    <row r="877" ht="41.25" customHeight="1">
      <c r="D877" s="130"/>
      <c r="AR877" s="61"/>
      <c r="AY877" s="146"/>
    </row>
    <row r="878" ht="41.25" customHeight="1">
      <c r="D878" s="130"/>
      <c r="AR878" s="61"/>
      <c r="AY878" s="146"/>
    </row>
    <row r="879" ht="41.25" customHeight="1">
      <c r="D879" s="130"/>
      <c r="AR879" s="61"/>
      <c r="AY879" s="146"/>
    </row>
    <row r="880" ht="41.25" customHeight="1">
      <c r="D880" s="130"/>
      <c r="AR880" s="61"/>
      <c r="AY880" s="146"/>
    </row>
    <row r="881" ht="41.25" customHeight="1">
      <c r="D881" s="130"/>
      <c r="AR881" s="61"/>
      <c r="AY881" s="146"/>
    </row>
    <row r="882" ht="41.25" customHeight="1">
      <c r="D882" s="130"/>
      <c r="AR882" s="61"/>
      <c r="AY882" s="146"/>
    </row>
    <row r="883" ht="41.25" customHeight="1">
      <c r="D883" s="130"/>
      <c r="AR883" s="61"/>
      <c r="AY883" s="146"/>
    </row>
    <row r="884" ht="41.25" customHeight="1">
      <c r="D884" s="130"/>
      <c r="AR884" s="61"/>
      <c r="AY884" s="146"/>
    </row>
    <row r="885" ht="41.25" customHeight="1">
      <c r="D885" s="130"/>
      <c r="AR885" s="61"/>
      <c r="AY885" s="146"/>
    </row>
    <row r="886" ht="41.25" customHeight="1">
      <c r="D886" s="130"/>
      <c r="AR886" s="61"/>
      <c r="AY886" s="146"/>
    </row>
    <row r="887" ht="41.25" customHeight="1">
      <c r="D887" s="130"/>
      <c r="AR887" s="61"/>
      <c r="AY887" s="146"/>
    </row>
    <row r="888" ht="41.25" customHeight="1">
      <c r="D888" s="130"/>
      <c r="AR888" s="61"/>
      <c r="AY888" s="146"/>
    </row>
    <row r="889" ht="41.25" customHeight="1">
      <c r="D889" s="130"/>
      <c r="AR889" s="61"/>
      <c r="AY889" s="146"/>
    </row>
    <row r="890" ht="41.25" customHeight="1">
      <c r="D890" s="130"/>
      <c r="AR890" s="61"/>
      <c r="AY890" s="146"/>
    </row>
    <row r="891" ht="41.25" customHeight="1">
      <c r="D891" s="130"/>
      <c r="AR891" s="61"/>
      <c r="AY891" s="146"/>
    </row>
    <row r="892" ht="41.25" customHeight="1">
      <c r="D892" s="130"/>
      <c r="AR892" s="61"/>
      <c r="AY892" s="146"/>
    </row>
    <row r="893" ht="41.25" customHeight="1">
      <c r="D893" s="130"/>
      <c r="AR893" s="61"/>
      <c r="AY893" s="146"/>
    </row>
    <row r="894" ht="41.25" customHeight="1">
      <c r="D894" s="130"/>
      <c r="AR894" s="61"/>
      <c r="AY894" s="146"/>
    </row>
    <row r="895" ht="41.25" customHeight="1">
      <c r="D895" s="130"/>
      <c r="AR895" s="61"/>
      <c r="AY895" s="146"/>
    </row>
    <row r="896" ht="41.25" customHeight="1">
      <c r="D896" s="130"/>
      <c r="AR896" s="61"/>
      <c r="AY896" s="146"/>
    </row>
    <row r="897" ht="41.25" customHeight="1">
      <c r="D897" s="130"/>
      <c r="AR897" s="61"/>
      <c r="AY897" s="146"/>
    </row>
    <row r="898" ht="41.25" customHeight="1">
      <c r="D898" s="130"/>
      <c r="AR898" s="61"/>
      <c r="AY898" s="146"/>
    </row>
    <row r="899" ht="41.25" customHeight="1">
      <c r="D899" s="130"/>
      <c r="AR899" s="61"/>
      <c r="AY899" s="146"/>
    </row>
    <row r="900" ht="41.25" customHeight="1">
      <c r="D900" s="130"/>
      <c r="AR900" s="61"/>
      <c r="AY900" s="146"/>
    </row>
    <row r="901" ht="41.25" customHeight="1">
      <c r="D901" s="130"/>
      <c r="AR901" s="61"/>
      <c r="AY901" s="146"/>
    </row>
    <row r="902" ht="41.25" customHeight="1">
      <c r="D902" s="130"/>
      <c r="AR902" s="61"/>
      <c r="AY902" s="146"/>
    </row>
    <row r="903" ht="41.25" customHeight="1">
      <c r="D903" s="130"/>
      <c r="AR903" s="61"/>
      <c r="AY903" s="146"/>
    </row>
    <row r="904" ht="41.25" customHeight="1">
      <c r="D904" s="130"/>
      <c r="AR904" s="61"/>
      <c r="AY904" s="146"/>
    </row>
    <row r="905" ht="41.25" customHeight="1">
      <c r="D905" s="130"/>
      <c r="AR905" s="61"/>
      <c r="AY905" s="146"/>
    </row>
    <row r="906" ht="41.25" customHeight="1">
      <c r="D906" s="130"/>
      <c r="AR906" s="61"/>
      <c r="AY906" s="146"/>
    </row>
    <row r="907" ht="41.25" customHeight="1">
      <c r="D907" s="130"/>
      <c r="AR907" s="61"/>
      <c r="AY907" s="146"/>
    </row>
    <row r="908" ht="41.25" customHeight="1">
      <c r="D908" s="130"/>
      <c r="AR908" s="61"/>
      <c r="AY908" s="146"/>
    </row>
    <row r="909" ht="41.25" customHeight="1">
      <c r="D909" s="130"/>
      <c r="AR909" s="61"/>
      <c r="AY909" s="146"/>
    </row>
    <row r="910" ht="41.25" customHeight="1">
      <c r="D910" s="130"/>
      <c r="AR910" s="61"/>
      <c r="AY910" s="146"/>
    </row>
    <row r="911" ht="41.25" customHeight="1">
      <c r="D911" s="130"/>
      <c r="AR911" s="61"/>
      <c r="AY911" s="146"/>
    </row>
    <row r="912" ht="41.25" customHeight="1">
      <c r="D912" s="130"/>
      <c r="AR912" s="61"/>
      <c r="AY912" s="146"/>
    </row>
    <row r="913" ht="41.25" customHeight="1">
      <c r="D913" s="130"/>
      <c r="AR913" s="61"/>
      <c r="AY913" s="146"/>
    </row>
    <row r="914" ht="41.25" customHeight="1">
      <c r="D914" s="130"/>
      <c r="AR914" s="61"/>
      <c r="AY914" s="146"/>
    </row>
    <row r="915" ht="41.25" customHeight="1">
      <c r="D915" s="130"/>
      <c r="AR915" s="61"/>
      <c r="AY915" s="146"/>
    </row>
    <row r="916" ht="41.25" customHeight="1">
      <c r="D916" s="130"/>
      <c r="AR916" s="61"/>
      <c r="AY916" s="146"/>
    </row>
    <row r="917" ht="41.25" customHeight="1">
      <c r="D917" s="130"/>
      <c r="AR917" s="61"/>
      <c r="AY917" s="146"/>
    </row>
    <row r="918" ht="41.25" customHeight="1">
      <c r="D918" s="130"/>
      <c r="AR918" s="61"/>
      <c r="AY918" s="146"/>
    </row>
    <row r="919" ht="41.25" customHeight="1">
      <c r="D919" s="130"/>
      <c r="AR919" s="61"/>
      <c r="AY919" s="146"/>
    </row>
    <row r="920" ht="41.25" customHeight="1">
      <c r="D920" s="130"/>
      <c r="AR920" s="61"/>
      <c r="AY920" s="146"/>
    </row>
    <row r="921" ht="41.25" customHeight="1">
      <c r="D921" s="130"/>
      <c r="AR921" s="61"/>
      <c r="AY921" s="146"/>
    </row>
    <row r="922" ht="41.25" customHeight="1">
      <c r="D922" s="130"/>
      <c r="AR922" s="61"/>
      <c r="AY922" s="146"/>
    </row>
    <row r="923" ht="41.25" customHeight="1">
      <c r="D923" s="130"/>
      <c r="AR923" s="61"/>
      <c r="AY923" s="146"/>
    </row>
    <row r="924" ht="41.25" customHeight="1">
      <c r="D924" s="130"/>
      <c r="AR924" s="61"/>
      <c r="AY924" s="146"/>
    </row>
    <row r="925" ht="41.25" customHeight="1">
      <c r="D925" s="130"/>
      <c r="AR925" s="61"/>
      <c r="AY925" s="146"/>
    </row>
    <row r="926" ht="41.25" customHeight="1">
      <c r="D926" s="130"/>
      <c r="AR926" s="61"/>
      <c r="AY926" s="146"/>
    </row>
    <row r="927" ht="41.25" customHeight="1">
      <c r="D927" s="130"/>
      <c r="AR927" s="61"/>
      <c r="AY927" s="146"/>
    </row>
    <row r="928" ht="41.25" customHeight="1">
      <c r="D928" s="130"/>
      <c r="AR928" s="61"/>
      <c r="AY928" s="146"/>
    </row>
    <row r="929" ht="41.25" customHeight="1">
      <c r="D929" s="130"/>
      <c r="AR929" s="61"/>
      <c r="AY929" s="146"/>
    </row>
    <row r="930" ht="41.25" customHeight="1">
      <c r="D930" s="130"/>
      <c r="AR930" s="61"/>
      <c r="AY930" s="146"/>
    </row>
    <row r="931" ht="41.25" customHeight="1">
      <c r="D931" s="130"/>
      <c r="AR931" s="61"/>
      <c r="AY931" s="146"/>
    </row>
    <row r="932" ht="41.25" customHeight="1">
      <c r="D932" s="130"/>
      <c r="AR932" s="61"/>
      <c r="AY932" s="146"/>
    </row>
    <row r="933" ht="41.25" customHeight="1">
      <c r="D933" s="130"/>
      <c r="AR933" s="61"/>
      <c r="AY933" s="146"/>
    </row>
    <row r="934" ht="41.25" customHeight="1">
      <c r="D934" s="130"/>
      <c r="AR934" s="61"/>
      <c r="AY934" s="146"/>
    </row>
    <row r="935" ht="41.25" customHeight="1">
      <c r="D935" s="130"/>
      <c r="AR935" s="61"/>
      <c r="AY935" s="146"/>
    </row>
    <row r="936" ht="41.25" customHeight="1">
      <c r="D936" s="130"/>
      <c r="AR936" s="61"/>
      <c r="AY936" s="146"/>
    </row>
    <row r="937" ht="41.25" customHeight="1">
      <c r="D937" s="130"/>
      <c r="AR937" s="61"/>
      <c r="AY937" s="146"/>
    </row>
    <row r="938" ht="41.25" customHeight="1">
      <c r="D938" s="130"/>
      <c r="AR938" s="61"/>
      <c r="AY938" s="146"/>
    </row>
    <row r="939" ht="41.25" customHeight="1">
      <c r="D939" s="130"/>
      <c r="AR939" s="61"/>
      <c r="AY939" s="146"/>
    </row>
    <row r="940" ht="41.25" customHeight="1">
      <c r="D940" s="130"/>
      <c r="AR940" s="61"/>
      <c r="AY940" s="146"/>
    </row>
    <row r="941" ht="41.25" customHeight="1">
      <c r="D941" s="130"/>
      <c r="AR941" s="61"/>
      <c r="AY941" s="146"/>
    </row>
    <row r="942" ht="41.25" customHeight="1">
      <c r="D942" s="130"/>
      <c r="AR942" s="61"/>
      <c r="AY942" s="146"/>
    </row>
    <row r="943" ht="41.25" customHeight="1">
      <c r="D943" s="130"/>
      <c r="AR943" s="61"/>
      <c r="AY943" s="146"/>
    </row>
    <row r="944" ht="41.25" customHeight="1">
      <c r="D944" s="130"/>
      <c r="AR944" s="61"/>
      <c r="AY944" s="146"/>
    </row>
    <row r="945" ht="41.25" customHeight="1">
      <c r="D945" s="130"/>
      <c r="AR945" s="61"/>
      <c r="AY945" s="146"/>
    </row>
    <row r="946" ht="41.25" customHeight="1">
      <c r="D946" s="130"/>
      <c r="AR946" s="61"/>
      <c r="AY946" s="146"/>
    </row>
    <row r="947" ht="41.25" customHeight="1">
      <c r="D947" s="130"/>
      <c r="AR947" s="61"/>
      <c r="AY947" s="146"/>
    </row>
    <row r="948" ht="41.25" customHeight="1">
      <c r="D948" s="130"/>
      <c r="AR948" s="61"/>
      <c r="AY948" s="146"/>
    </row>
    <row r="949" ht="41.25" customHeight="1">
      <c r="D949" s="130"/>
      <c r="AR949" s="61"/>
      <c r="AY949" s="146"/>
    </row>
    <row r="950" ht="41.25" customHeight="1">
      <c r="D950" s="130"/>
      <c r="AR950" s="61"/>
      <c r="AY950" s="146"/>
    </row>
    <row r="951" ht="41.25" customHeight="1">
      <c r="D951" s="130"/>
      <c r="AR951" s="61"/>
      <c r="AY951" s="146"/>
    </row>
    <row r="952" ht="41.25" customHeight="1">
      <c r="D952" s="130"/>
      <c r="AR952" s="61"/>
      <c r="AY952" s="146"/>
    </row>
    <row r="953" ht="41.25" customHeight="1">
      <c r="D953" s="130"/>
      <c r="AR953" s="61"/>
      <c r="AY953" s="146"/>
    </row>
    <row r="954" ht="41.25" customHeight="1">
      <c r="D954" s="130"/>
      <c r="AR954" s="61"/>
      <c r="AY954" s="146"/>
    </row>
    <row r="955" ht="41.25" customHeight="1">
      <c r="D955" s="130"/>
      <c r="AR955" s="61"/>
      <c r="AY955" s="146"/>
    </row>
    <row r="956" ht="41.25" customHeight="1">
      <c r="D956" s="130"/>
      <c r="AR956" s="61"/>
      <c r="AY956" s="146"/>
    </row>
    <row r="957" ht="41.25" customHeight="1">
      <c r="D957" s="130"/>
      <c r="AR957" s="61"/>
      <c r="AY957" s="146"/>
    </row>
    <row r="958" ht="41.25" customHeight="1">
      <c r="D958" s="130"/>
      <c r="AR958" s="61"/>
      <c r="AY958" s="146"/>
    </row>
    <row r="959" ht="41.25" customHeight="1">
      <c r="D959" s="130"/>
      <c r="AR959" s="61"/>
      <c r="AY959" s="146"/>
    </row>
    <row r="960" ht="41.25" customHeight="1">
      <c r="D960" s="130"/>
      <c r="AR960" s="61"/>
      <c r="AY960" s="146"/>
    </row>
    <row r="961" ht="41.25" customHeight="1">
      <c r="D961" s="130"/>
      <c r="AR961" s="61"/>
      <c r="AY961" s="146"/>
    </row>
    <row r="962" ht="41.25" customHeight="1">
      <c r="D962" s="130"/>
      <c r="AR962" s="61"/>
      <c r="AY962" s="146"/>
    </row>
    <row r="963" ht="41.25" customHeight="1">
      <c r="D963" s="130"/>
      <c r="AR963" s="61"/>
      <c r="AY963" s="146"/>
    </row>
    <row r="964" ht="41.25" customHeight="1">
      <c r="D964" s="130"/>
      <c r="AR964" s="61"/>
      <c r="AY964" s="146"/>
    </row>
    <row r="965" ht="41.25" customHeight="1">
      <c r="D965" s="130"/>
      <c r="AR965" s="61"/>
      <c r="AY965" s="146"/>
    </row>
    <row r="966" ht="41.25" customHeight="1">
      <c r="D966" s="130"/>
      <c r="AR966" s="61"/>
      <c r="AY966" s="146"/>
    </row>
    <row r="967" ht="41.25" customHeight="1">
      <c r="D967" s="130"/>
      <c r="AR967" s="61"/>
      <c r="AY967" s="146"/>
    </row>
    <row r="968" ht="41.25" customHeight="1">
      <c r="D968" s="130"/>
      <c r="AR968" s="61"/>
      <c r="AY968" s="146"/>
    </row>
    <row r="969" ht="41.25" customHeight="1">
      <c r="D969" s="130"/>
      <c r="AR969" s="61"/>
      <c r="AY969" s="146"/>
    </row>
    <row r="970" ht="41.25" customHeight="1">
      <c r="D970" s="130"/>
      <c r="AR970" s="61"/>
      <c r="AY970" s="146"/>
    </row>
    <row r="971" ht="41.25" customHeight="1">
      <c r="D971" s="130"/>
      <c r="AR971" s="61"/>
      <c r="AY971" s="146"/>
    </row>
    <row r="972" ht="41.25" customHeight="1">
      <c r="D972" s="130"/>
      <c r="AR972" s="61"/>
      <c r="AY972" s="146"/>
    </row>
    <row r="973" ht="41.25" customHeight="1">
      <c r="D973" s="130"/>
      <c r="AR973" s="61"/>
      <c r="AY973" s="146"/>
    </row>
    <row r="974" ht="41.25" customHeight="1">
      <c r="D974" s="130"/>
      <c r="AR974" s="61"/>
      <c r="AY974" s="146"/>
    </row>
    <row r="975" ht="41.25" customHeight="1">
      <c r="D975" s="130"/>
      <c r="AR975" s="61"/>
      <c r="AY975" s="146"/>
    </row>
    <row r="976" ht="41.25" customHeight="1">
      <c r="D976" s="130"/>
      <c r="AR976" s="61"/>
      <c r="AY976" s="146"/>
    </row>
    <row r="977" ht="41.25" customHeight="1">
      <c r="D977" s="130"/>
      <c r="AR977" s="61"/>
      <c r="AY977" s="146"/>
    </row>
    <row r="978" ht="41.25" customHeight="1">
      <c r="D978" s="130"/>
      <c r="AR978" s="61"/>
      <c r="AY978" s="146"/>
    </row>
    <row r="979" ht="41.25" customHeight="1">
      <c r="D979" s="130"/>
      <c r="AR979" s="61"/>
      <c r="AY979" s="146"/>
    </row>
    <row r="980" ht="41.25" customHeight="1">
      <c r="D980" s="130"/>
      <c r="AR980" s="61"/>
      <c r="AY980" s="146"/>
    </row>
    <row r="981" ht="41.25" customHeight="1">
      <c r="D981" s="130"/>
      <c r="AR981" s="61"/>
      <c r="AY981" s="146"/>
    </row>
    <row r="982" ht="41.25" customHeight="1">
      <c r="D982" s="130"/>
      <c r="AR982" s="61"/>
      <c r="AY982" s="146"/>
    </row>
    <row r="983" ht="41.25" customHeight="1">
      <c r="D983" s="130"/>
      <c r="AR983" s="61"/>
      <c r="AY983" s="146"/>
    </row>
    <row r="984" ht="41.25" customHeight="1">
      <c r="D984" s="130"/>
      <c r="AR984" s="61"/>
      <c r="AY984" s="146"/>
    </row>
    <row r="985" ht="41.25" customHeight="1">
      <c r="D985" s="130"/>
      <c r="AR985" s="61"/>
      <c r="AY985" s="146"/>
    </row>
    <row r="986" ht="41.25" customHeight="1">
      <c r="D986" s="130"/>
      <c r="AR986" s="61"/>
      <c r="AY986" s="146"/>
    </row>
    <row r="987" ht="41.25" customHeight="1">
      <c r="D987" s="130"/>
      <c r="AR987" s="61"/>
      <c r="AY987" s="146"/>
    </row>
    <row r="988" ht="41.25" customHeight="1">
      <c r="D988" s="130"/>
      <c r="AR988" s="61"/>
      <c r="AY988" s="146"/>
    </row>
    <row r="989" ht="41.25" customHeight="1">
      <c r="D989" s="130"/>
      <c r="AR989" s="61"/>
      <c r="AY989" s="146"/>
    </row>
    <row r="990" ht="41.25" customHeight="1">
      <c r="D990" s="130"/>
      <c r="AR990" s="61"/>
      <c r="AY990" s="146"/>
    </row>
    <row r="991" ht="41.25" customHeight="1">
      <c r="D991" s="130"/>
      <c r="AR991" s="61"/>
      <c r="AY991" s="146"/>
    </row>
    <row r="992" ht="41.25" customHeight="1">
      <c r="D992" s="130"/>
      <c r="AR992" s="61"/>
      <c r="AY992" s="146"/>
    </row>
    <row r="993" ht="41.25" customHeight="1">
      <c r="D993" s="130"/>
      <c r="AR993" s="61"/>
      <c r="AY993" s="146"/>
    </row>
    <row r="994" ht="41.25" customHeight="1">
      <c r="D994" s="130"/>
      <c r="AR994" s="61"/>
      <c r="AY994" s="146"/>
    </row>
    <row r="995" ht="41.25" customHeight="1">
      <c r="D995" s="130"/>
      <c r="AR995" s="61"/>
      <c r="AY995" s="146"/>
    </row>
    <row r="996" ht="41.25" customHeight="1">
      <c r="D996" s="130"/>
      <c r="AR996" s="61"/>
      <c r="AY996" s="146"/>
    </row>
    <row r="997" ht="41.25" customHeight="1">
      <c r="D997" s="130"/>
      <c r="AR997" s="61"/>
      <c r="AY997" s="146"/>
    </row>
    <row r="998" ht="41.25" customHeight="1">
      <c r="D998" s="130"/>
      <c r="AR998" s="61"/>
      <c r="AY998" s="146"/>
    </row>
    <row r="999" ht="41.25" customHeight="1">
      <c r="D999" s="130"/>
      <c r="AR999" s="61"/>
      <c r="AY999" s="146"/>
    </row>
    <row r="1000" ht="41.25" customHeight="1">
      <c r="D1000" s="130"/>
      <c r="AR1000" s="61"/>
      <c r="AY1000" s="146"/>
    </row>
    <row r="1001" ht="41.25" customHeight="1">
      <c r="D1001" s="130"/>
      <c r="AR1001" s="61"/>
      <c r="AY1001" s="146"/>
    </row>
    <row r="1002" ht="41.25" customHeight="1">
      <c r="D1002" s="130"/>
      <c r="AR1002" s="61"/>
      <c r="AY1002" s="146"/>
    </row>
    <row r="1003" ht="41.25" customHeight="1">
      <c r="D1003" s="130"/>
      <c r="AR1003" s="61"/>
      <c r="AY1003" s="146"/>
    </row>
    <row r="1004" ht="41.25" customHeight="1">
      <c r="D1004" s="130"/>
      <c r="AR1004" s="61"/>
      <c r="AY1004" s="146"/>
    </row>
    <row r="1005" ht="41.25" customHeight="1">
      <c r="D1005" s="130"/>
      <c r="AR1005" s="61"/>
      <c r="AY1005" s="146"/>
    </row>
    <row r="1006" ht="41.25" customHeight="1">
      <c r="D1006" s="130"/>
      <c r="AR1006" s="61"/>
      <c r="AY1006" s="146"/>
    </row>
    <row r="1007" ht="41.25" customHeight="1">
      <c r="D1007" s="130"/>
      <c r="AR1007" s="61"/>
      <c r="AY1007" s="146"/>
    </row>
    <row r="1008" ht="41.25" customHeight="1">
      <c r="D1008" s="130"/>
      <c r="AR1008" s="61"/>
      <c r="AY1008" s="146"/>
    </row>
    <row r="1009" ht="41.25" customHeight="1">
      <c r="D1009" s="130"/>
      <c r="AR1009" s="61"/>
      <c r="AY1009" s="146"/>
    </row>
    <row r="1010" ht="41.25" customHeight="1">
      <c r="D1010" s="130"/>
      <c r="AR1010" s="61"/>
      <c r="AY1010" s="146"/>
    </row>
    <row r="1011" ht="41.25" customHeight="1">
      <c r="D1011" s="130"/>
      <c r="AR1011" s="61"/>
      <c r="AY1011" s="146"/>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5:AX29">
      <formula1>"A+,A,B,C,D,E"</formula1>
    </dataValidation>
  </dataValidations>
  <hyperlinks>
    <hyperlink display="HOME" location="HOME!A1" ref="A1"/>
  </hyperlink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6.0"/>
    <col customWidth="1" min="2" max="2" width="13.88"/>
    <col customWidth="1" min="3" max="51" width="6.0"/>
  </cols>
  <sheetData>
    <row r="1" ht="31.5" customHeight="1">
      <c r="A1" s="40" t="s">
        <v>209</v>
      </c>
      <c r="B1" s="37"/>
      <c r="C1" s="38"/>
      <c r="D1" s="38"/>
      <c r="E1" s="38"/>
      <c r="F1" s="38"/>
      <c r="G1" s="39"/>
      <c r="H1" s="39"/>
      <c r="I1" s="39"/>
      <c r="J1" s="39"/>
      <c r="K1" s="39"/>
      <c r="L1" s="39"/>
      <c r="M1" s="3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132"/>
    </row>
    <row r="2" ht="31.5" customHeight="1">
      <c r="A2" s="40"/>
      <c r="B2" s="37"/>
      <c r="C2" s="38"/>
      <c r="D2" s="38"/>
      <c r="E2" s="38"/>
      <c r="F2" s="38"/>
      <c r="G2" s="39"/>
      <c r="H2" s="39"/>
      <c r="I2" s="39"/>
      <c r="J2" s="39"/>
      <c r="K2" s="39"/>
      <c r="L2" s="39"/>
      <c r="M2" s="3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132"/>
    </row>
    <row r="3" ht="31.5" customHeight="1">
      <c r="A3" s="42" t="s">
        <v>60</v>
      </c>
      <c r="B3" s="43" t="s">
        <v>61</v>
      </c>
      <c r="C3" s="44" t="s">
        <v>62</v>
      </c>
      <c r="D3" s="45"/>
      <c r="E3" s="45"/>
      <c r="F3" s="46"/>
      <c r="G3" s="47" t="s">
        <v>63</v>
      </c>
      <c r="H3" s="45"/>
      <c r="I3" s="45"/>
      <c r="J3" s="46"/>
      <c r="K3" s="48" t="s">
        <v>64</v>
      </c>
      <c r="L3" s="45"/>
      <c r="M3" s="45"/>
      <c r="N3" s="46"/>
      <c r="O3" s="49" t="s">
        <v>154</v>
      </c>
      <c r="P3" s="45"/>
      <c r="Q3" s="45"/>
      <c r="R3" s="46"/>
      <c r="S3" s="50" t="s">
        <v>66</v>
      </c>
      <c r="T3" s="45"/>
      <c r="U3" s="45"/>
      <c r="V3" s="46"/>
      <c r="W3" s="51" t="s">
        <v>67</v>
      </c>
      <c r="X3" s="45"/>
      <c r="Y3" s="45"/>
      <c r="Z3" s="46"/>
      <c r="AA3" s="52" t="s">
        <v>68</v>
      </c>
      <c r="AB3" s="45"/>
      <c r="AC3" s="45"/>
      <c r="AD3" s="46"/>
      <c r="AE3" s="53" t="s">
        <v>69</v>
      </c>
      <c r="AF3" s="45"/>
      <c r="AG3" s="45"/>
      <c r="AH3" s="46"/>
      <c r="AI3" s="149" t="s">
        <v>70</v>
      </c>
      <c r="AJ3" s="45"/>
      <c r="AK3" s="45"/>
      <c r="AL3" s="46"/>
      <c r="AM3" s="55" t="s">
        <v>71</v>
      </c>
      <c r="AN3" s="45"/>
      <c r="AO3" s="45"/>
      <c r="AP3" s="46"/>
      <c r="AQ3" s="56"/>
      <c r="AR3" s="57" t="s">
        <v>72</v>
      </c>
      <c r="AS3" s="43" t="s">
        <v>73</v>
      </c>
      <c r="AT3" s="43" t="s">
        <v>74</v>
      </c>
      <c r="AU3" s="42" t="s">
        <v>75</v>
      </c>
      <c r="AV3" s="42" t="s">
        <v>76</v>
      </c>
      <c r="AW3" s="42" t="s">
        <v>77</v>
      </c>
      <c r="AX3" s="42" t="s">
        <v>210</v>
      </c>
      <c r="AY3" s="96" t="s">
        <v>79</v>
      </c>
    </row>
    <row r="4" ht="31.5" customHeight="1">
      <c r="A4" s="42"/>
      <c r="B4" s="43"/>
      <c r="C4" s="56" t="s">
        <v>80</v>
      </c>
      <c r="D4" s="56" t="s">
        <v>81</v>
      </c>
      <c r="E4" s="56" t="s">
        <v>82</v>
      </c>
      <c r="F4" s="56" t="s">
        <v>83</v>
      </c>
      <c r="G4" s="56" t="s">
        <v>80</v>
      </c>
      <c r="H4" s="56" t="s">
        <v>81</v>
      </c>
      <c r="I4" s="56" t="s">
        <v>82</v>
      </c>
      <c r="J4" s="56" t="s">
        <v>83</v>
      </c>
      <c r="K4" s="56" t="s">
        <v>80</v>
      </c>
      <c r="L4" s="56" t="s">
        <v>81</v>
      </c>
      <c r="M4" s="56" t="s">
        <v>82</v>
      </c>
      <c r="N4" s="56" t="s">
        <v>83</v>
      </c>
      <c r="O4" s="56" t="s">
        <v>80</v>
      </c>
      <c r="P4" s="56" t="s">
        <v>81</v>
      </c>
      <c r="Q4" s="56" t="s">
        <v>82</v>
      </c>
      <c r="R4" s="56" t="s">
        <v>83</v>
      </c>
      <c r="S4" s="56" t="s">
        <v>80</v>
      </c>
      <c r="T4" s="56" t="s">
        <v>81</v>
      </c>
      <c r="U4" s="56" t="s">
        <v>82</v>
      </c>
      <c r="V4" s="56" t="s">
        <v>83</v>
      </c>
      <c r="W4" s="56" t="s">
        <v>80</v>
      </c>
      <c r="X4" s="56" t="s">
        <v>81</v>
      </c>
      <c r="Y4" s="56" t="s">
        <v>82</v>
      </c>
      <c r="Z4" s="56" t="s">
        <v>83</v>
      </c>
      <c r="AA4" s="58" t="s">
        <v>80</v>
      </c>
      <c r="AB4" s="59" t="s">
        <v>81</v>
      </c>
      <c r="AC4" s="59" t="s">
        <v>82</v>
      </c>
      <c r="AD4" s="59" t="s">
        <v>83</v>
      </c>
      <c r="AE4" s="58" t="s">
        <v>80</v>
      </c>
      <c r="AF4" s="59" t="s">
        <v>81</v>
      </c>
      <c r="AG4" s="59" t="s">
        <v>82</v>
      </c>
      <c r="AH4" s="59" t="s">
        <v>83</v>
      </c>
      <c r="AI4" s="150" t="s">
        <v>80</v>
      </c>
      <c r="AJ4" s="59" t="s">
        <v>81</v>
      </c>
      <c r="AK4" s="59" t="s">
        <v>82</v>
      </c>
      <c r="AL4" s="59" t="s">
        <v>83</v>
      </c>
      <c r="AM4" s="58" t="s">
        <v>80</v>
      </c>
      <c r="AN4" s="59" t="s">
        <v>81</v>
      </c>
      <c r="AO4" s="59" t="s">
        <v>82</v>
      </c>
      <c r="AP4" s="59" t="s">
        <v>83</v>
      </c>
      <c r="AQ4" s="60"/>
      <c r="AR4" s="61"/>
      <c r="AS4" s="43"/>
      <c r="AT4" s="43"/>
      <c r="AU4" s="42"/>
      <c r="AV4" s="42"/>
      <c r="AW4" s="42"/>
      <c r="AX4" s="42"/>
      <c r="AY4" s="96"/>
    </row>
    <row r="5" ht="31.5" customHeight="1">
      <c r="A5" s="96">
        <v>1.0</v>
      </c>
      <c r="B5" s="151" t="s">
        <v>260</v>
      </c>
      <c r="C5" s="152">
        <v>24.0</v>
      </c>
      <c r="D5" s="152">
        <v>31.0</v>
      </c>
      <c r="E5" s="153">
        <f t="shared" ref="E5:E22" si="1">C5+D5</f>
        <v>55</v>
      </c>
      <c r="F5" s="153" t="str">
        <f t="shared" ref="F5:F22" si="2">VLOOKUP(E5,$B$38:$C$46,2)</f>
        <v>D</v>
      </c>
      <c r="G5" s="154">
        <v>22.0</v>
      </c>
      <c r="H5" s="154">
        <v>40.0</v>
      </c>
      <c r="I5" s="153">
        <f t="shared" ref="I5:I12" si="3">G5+H5</f>
        <v>62</v>
      </c>
      <c r="J5" s="153" t="str">
        <f t="shared" ref="J5:J22" si="4">VLOOKUP(I5,$B$38:$C$46,2)</f>
        <v>C</v>
      </c>
      <c r="K5" s="152">
        <v>33.0</v>
      </c>
      <c r="L5" s="152">
        <v>41.0</v>
      </c>
      <c r="M5" s="153">
        <f t="shared" ref="M5:M22" si="5">K5+L5</f>
        <v>74</v>
      </c>
      <c r="N5" s="153" t="str">
        <f t="shared" ref="N5:N22" si="6">VLOOKUP(M5,$B$38:$C$46,2)</f>
        <v>B</v>
      </c>
      <c r="O5" s="152">
        <v>29.0</v>
      </c>
      <c r="P5" s="152">
        <v>52.0</v>
      </c>
      <c r="Q5" s="153">
        <f t="shared" ref="Q5:Q22" si="7">O5+P5</f>
        <v>81</v>
      </c>
      <c r="R5" s="153" t="str">
        <f t="shared" ref="R5:R22" si="8">VLOOKUP(Q5,$B$38:$C$46,2)</f>
        <v>A</v>
      </c>
      <c r="S5" s="152">
        <v>36.0</v>
      </c>
      <c r="T5" s="152">
        <v>56.0</v>
      </c>
      <c r="U5" s="153">
        <f t="shared" ref="U5:U22" si="9">S5+T5</f>
        <v>92</v>
      </c>
      <c r="V5" s="153" t="str">
        <f t="shared" ref="V5:V22" si="10">VLOOKUP(U5,$B$38:$C$46,2)</f>
        <v>A*</v>
      </c>
      <c r="W5" s="152">
        <v>39.0</v>
      </c>
      <c r="X5" s="152">
        <v>47.0</v>
      </c>
      <c r="Y5" s="153">
        <f t="shared" ref="Y5:Y22" si="11">W5+X5</f>
        <v>86</v>
      </c>
      <c r="Z5" s="153" t="str">
        <f t="shared" ref="Z5:Z22" si="12">VLOOKUP(Y5,$B$38:$C$46,2)</f>
        <v>A</v>
      </c>
      <c r="AA5" s="155">
        <v>34.0</v>
      </c>
      <c r="AB5" s="156">
        <v>33.0</v>
      </c>
      <c r="AC5" s="157">
        <f t="shared" ref="AC5:AC22" si="13">AA5+AB5</f>
        <v>67</v>
      </c>
      <c r="AD5" s="153" t="str">
        <f t="shared" ref="AD5:AD22" si="14">VLOOKUP(AC5,$B$38:$C$46,2)</f>
        <v>C</v>
      </c>
      <c r="AE5" s="158">
        <v>27.0</v>
      </c>
      <c r="AF5" s="159">
        <v>46.0</v>
      </c>
      <c r="AG5" s="157">
        <f t="shared" ref="AG5:AG22" si="15">AE5+AF5</f>
        <v>73</v>
      </c>
      <c r="AH5" s="153" t="str">
        <f t="shared" ref="AH5:AH22" si="16">VLOOKUP(AG5,$B$38:$C$46,2)</f>
        <v>B</v>
      </c>
      <c r="AI5" s="160">
        <v>34.0</v>
      </c>
      <c r="AJ5" s="156">
        <v>46.0</v>
      </c>
      <c r="AK5" s="157">
        <f t="shared" ref="AK5:AK22" si="17">AI5+AJ5</f>
        <v>80</v>
      </c>
      <c r="AL5" s="153" t="str">
        <f t="shared" ref="AL5:AL22" si="18">VLOOKUP(AK5,$B$38:$C$46,2)</f>
        <v>A</v>
      </c>
      <c r="AM5" s="155">
        <v>26.7</v>
      </c>
      <c r="AN5" s="156">
        <v>48.0</v>
      </c>
      <c r="AO5" s="157">
        <f t="shared" ref="AO5:AO22" si="19">AM5+AN5</f>
        <v>74.7</v>
      </c>
      <c r="AP5" s="153" t="str">
        <f t="shared" ref="AP5:AP22" si="20">VLOOKUP(AO5,$B$38:$C$46,2)</f>
        <v>B</v>
      </c>
      <c r="AQ5" s="157"/>
      <c r="AR5" s="161">
        <f t="shared" ref="AR5:AR22" si="21">AVERAGE(E5,I5,M5,Q5,U5,Y5,AC5,AG5,AK5,AO5)</f>
        <v>74.47</v>
      </c>
      <c r="AS5" s="162">
        <f t="shared" ref="AS5:AS22" si="22">RANK(AR5,$AR$5:$AR$27)</f>
        <v>7</v>
      </c>
      <c r="AT5" s="134" t="s">
        <v>87</v>
      </c>
      <c r="AU5" s="134" t="s">
        <v>85</v>
      </c>
      <c r="AV5" s="134" t="s">
        <v>90</v>
      </c>
      <c r="AW5" s="134" t="s">
        <v>87</v>
      </c>
      <c r="AX5" s="134" t="s">
        <v>87</v>
      </c>
      <c r="AY5" s="143" t="s">
        <v>261</v>
      </c>
    </row>
    <row r="6" ht="31.5" customHeight="1">
      <c r="A6" s="42">
        <v>2.0</v>
      </c>
      <c r="B6" s="94" t="s">
        <v>262</v>
      </c>
      <c r="C6" s="66">
        <v>32.0</v>
      </c>
      <c r="D6" s="66">
        <v>35.0</v>
      </c>
      <c r="E6" s="56">
        <f t="shared" si="1"/>
        <v>67</v>
      </c>
      <c r="F6" s="153" t="str">
        <f t="shared" si="2"/>
        <v>C</v>
      </c>
      <c r="G6" s="133">
        <v>30.0</v>
      </c>
      <c r="H6" s="133">
        <v>41.0</v>
      </c>
      <c r="I6" s="56">
        <f t="shared" si="3"/>
        <v>71</v>
      </c>
      <c r="J6" s="153" t="str">
        <f t="shared" si="4"/>
        <v>B</v>
      </c>
      <c r="K6" s="66">
        <v>32.0</v>
      </c>
      <c r="L6" s="66">
        <v>48.0</v>
      </c>
      <c r="M6" s="56">
        <f t="shared" si="5"/>
        <v>80</v>
      </c>
      <c r="N6" s="153" t="str">
        <f t="shared" si="6"/>
        <v>A</v>
      </c>
      <c r="O6" s="66">
        <v>33.0</v>
      </c>
      <c r="P6" s="66">
        <v>41.0</v>
      </c>
      <c r="Q6" s="56">
        <f t="shared" si="7"/>
        <v>74</v>
      </c>
      <c r="R6" s="153" t="str">
        <f t="shared" si="8"/>
        <v>B</v>
      </c>
      <c r="S6" s="66">
        <v>39.0</v>
      </c>
      <c r="T6" s="66">
        <v>56.0</v>
      </c>
      <c r="U6" s="56">
        <f t="shared" si="9"/>
        <v>95</v>
      </c>
      <c r="V6" s="153" t="str">
        <f t="shared" si="10"/>
        <v>A*</v>
      </c>
      <c r="W6" s="66">
        <v>33.0</v>
      </c>
      <c r="X6" s="66">
        <v>44.0</v>
      </c>
      <c r="Y6" s="56">
        <f t="shared" si="11"/>
        <v>77</v>
      </c>
      <c r="Z6" s="153" t="str">
        <f t="shared" si="12"/>
        <v>B</v>
      </c>
      <c r="AA6" s="67">
        <v>36.0</v>
      </c>
      <c r="AB6" s="68">
        <v>52.0</v>
      </c>
      <c r="AC6" s="59">
        <f t="shared" si="13"/>
        <v>88</v>
      </c>
      <c r="AD6" s="153" t="str">
        <f t="shared" si="14"/>
        <v>A</v>
      </c>
      <c r="AE6" s="75">
        <v>34.0</v>
      </c>
      <c r="AF6" s="76">
        <v>55.0</v>
      </c>
      <c r="AG6" s="59">
        <f t="shared" si="15"/>
        <v>89</v>
      </c>
      <c r="AH6" s="153" t="str">
        <f t="shared" si="16"/>
        <v>A</v>
      </c>
      <c r="AI6" s="163">
        <v>31.0</v>
      </c>
      <c r="AJ6" s="68">
        <v>48.0</v>
      </c>
      <c r="AK6" s="59">
        <f t="shared" si="17"/>
        <v>79</v>
      </c>
      <c r="AL6" s="153" t="str">
        <f t="shared" si="18"/>
        <v>B</v>
      </c>
      <c r="AM6" s="67">
        <v>27.6</v>
      </c>
      <c r="AN6" s="68">
        <v>48.0</v>
      </c>
      <c r="AO6" s="59">
        <f t="shared" si="19"/>
        <v>75.6</v>
      </c>
      <c r="AP6" s="153" t="str">
        <f t="shared" si="20"/>
        <v>B</v>
      </c>
      <c r="AQ6" s="59"/>
      <c r="AR6" s="57">
        <f t="shared" si="21"/>
        <v>79.56</v>
      </c>
      <c r="AS6" s="72">
        <f t="shared" si="22"/>
        <v>4</v>
      </c>
      <c r="AT6" s="134" t="s">
        <v>85</v>
      </c>
      <c r="AU6" s="134" t="s">
        <v>85</v>
      </c>
      <c r="AV6" s="134" t="s">
        <v>87</v>
      </c>
      <c r="AW6" s="134" t="s">
        <v>87</v>
      </c>
      <c r="AX6" s="134" t="s">
        <v>87</v>
      </c>
      <c r="AY6" s="143" t="s">
        <v>263</v>
      </c>
    </row>
    <row r="7" ht="31.5" customHeight="1">
      <c r="A7" s="42">
        <v>3.0</v>
      </c>
      <c r="B7" s="94" t="s">
        <v>264</v>
      </c>
      <c r="C7" s="66">
        <v>30.0</v>
      </c>
      <c r="D7" s="66">
        <v>33.0</v>
      </c>
      <c r="E7" s="56">
        <f t="shared" si="1"/>
        <v>63</v>
      </c>
      <c r="F7" s="153" t="str">
        <f t="shared" si="2"/>
        <v>C</v>
      </c>
      <c r="G7" s="133">
        <v>20.0</v>
      </c>
      <c r="H7" s="133">
        <v>35.0</v>
      </c>
      <c r="I7" s="56">
        <f t="shared" si="3"/>
        <v>55</v>
      </c>
      <c r="J7" s="153" t="str">
        <f t="shared" si="4"/>
        <v>D</v>
      </c>
      <c r="K7" s="66">
        <v>37.0</v>
      </c>
      <c r="L7" s="66">
        <v>42.0</v>
      </c>
      <c r="M7" s="56">
        <f t="shared" si="5"/>
        <v>79</v>
      </c>
      <c r="N7" s="153" t="str">
        <f t="shared" si="6"/>
        <v>B</v>
      </c>
      <c r="O7" s="66">
        <v>30.0</v>
      </c>
      <c r="P7" s="66">
        <v>37.0</v>
      </c>
      <c r="Q7" s="56">
        <f t="shared" si="7"/>
        <v>67</v>
      </c>
      <c r="R7" s="153" t="str">
        <f t="shared" si="8"/>
        <v>C</v>
      </c>
      <c r="S7" s="66">
        <v>35.0</v>
      </c>
      <c r="T7" s="66">
        <v>54.0</v>
      </c>
      <c r="U7" s="56">
        <f t="shared" si="9"/>
        <v>89</v>
      </c>
      <c r="V7" s="153" t="str">
        <f t="shared" si="10"/>
        <v>A</v>
      </c>
      <c r="W7" s="66">
        <v>30.0</v>
      </c>
      <c r="X7" s="66">
        <v>40.0</v>
      </c>
      <c r="Y7" s="56">
        <f t="shared" si="11"/>
        <v>70</v>
      </c>
      <c r="Z7" s="153" t="str">
        <f t="shared" si="12"/>
        <v>B</v>
      </c>
      <c r="AA7" s="67">
        <v>24.0</v>
      </c>
      <c r="AB7" s="68">
        <v>46.0</v>
      </c>
      <c r="AC7" s="59">
        <f t="shared" si="13"/>
        <v>70</v>
      </c>
      <c r="AD7" s="153" t="str">
        <f t="shared" si="14"/>
        <v>B</v>
      </c>
      <c r="AE7" s="75">
        <v>32.0</v>
      </c>
      <c r="AF7" s="76">
        <v>48.0</v>
      </c>
      <c r="AG7" s="59">
        <f t="shared" si="15"/>
        <v>80</v>
      </c>
      <c r="AH7" s="153" t="str">
        <f t="shared" si="16"/>
        <v>A</v>
      </c>
      <c r="AI7" s="163">
        <v>30.0</v>
      </c>
      <c r="AJ7" s="68">
        <v>45.0</v>
      </c>
      <c r="AK7" s="59">
        <f t="shared" si="17"/>
        <v>75</v>
      </c>
      <c r="AL7" s="153" t="str">
        <f t="shared" si="18"/>
        <v>B</v>
      </c>
      <c r="AM7" s="67">
        <v>24.0</v>
      </c>
      <c r="AN7" s="68">
        <v>56.0</v>
      </c>
      <c r="AO7" s="59">
        <f t="shared" si="19"/>
        <v>80</v>
      </c>
      <c r="AP7" s="153" t="str">
        <f t="shared" si="20"/>
        <v>A</v>
      </c>
      <c r="AQ7" s="59"/>
      <c r="AR7" s="57">
        <f t="shared" si="21"/>
        <v>72.8</v>
      </c>
      <c r="AS7" s="72">
        <f t="shared" si="22"/>
        <v>8</v>
      </c>
      <c r="AT7" s="134" t="s">
        <v>85</v>
      </c>
      <c r="AU7" s="134" t="s">
        <v>85</v>
      </c>
      <c r="AV7" s="134" t="s">
        <v>87</v>
      </c>
      <c r="AW7" s="134" t="s">
        <v>87</v>
      </c>
      <c r="AX7" s="134" t="s">
        <v>87</v>
      </c>
      <c r="AY7" s="143" t="s">
        <v>265</v>
      </c>
    </row>
    <row r="8" ht="31.5" customHeight="1">
      <c r="A8" s="121">
        <v>4.0</v>
      </c>
      <c r="B8" s="94" t="s">
        <v>266</v>
      </c>
      <c r="C8" s="66">
        <v>23.0</v>
      </c>
      <c r="D8" s="66">
        <v>24.0</v>
      </c>
      <c r="E8" s="56">
        <f t="shared" si="1"/>
        <v>47</v>
      </c>
      <c r="F8" s="164" t="str">
        <f t="shared" si="2"/>
        <v>E</v>
      </c>
      <c r="G8" s="142">
        <v>31.0</v>
      </c>
      <c r="H8" s="142">
        <v>33.0</v>
      </c>
      <c r="I8" s="56">
        <f t="shared" si="3"/>
        <v>64</v>
      </c>
      <c r="J8" s="153" t="str">
        <f t="shared" si="4"/>
        <v>C</v>
      </c>
      <c r="K8" s="66">
        <v>20.0</v>
      </c>
      <c r="L8" s="66">
        <v>29.0</v>
      </c>
      <c r="M8" s="56">
        <f t="shared" si="5"/>
        <v>49</v>
      </c>
      <c r="N8" s="164" t="str">
        <f t="shared" si="6"/>
        <v>E</v>
      </c>
      <c r="O8" s="66">
        <v>32.0</v>
      </c>
      <c r="P8" s="66">
        <v>40.0</v>
      </c>
      <c r="Q8" s="56">
        <f t="shared" si="7"/>
        <v>72</v>
      </c>
      <c r="R8" s="153" t="str">
        <f t="shared" si="8"/>
        <v>B</v>
      </c>
      <c r="S8" s="66">
        <v>34.0</v>
      </c>
      <c r="T8" s="66">
        <v>56.0</v>
      </c>
      <c r="U8" s="56">
        <f t="shared" si="9"/>
        <v>90</v>
      </c>
      <c r="V8" s="153" t="str">
        <f t="shared" si="10"/>
        <v>A*</v>
      </c>
      <c r="W8" s="66">
        <v>35.0</v>
      </c>
      <c r="X8" s="66">
        <v>48.0</v>
      </c>
      <c r="Y8" s="56">
        <f t="shared" si="11"/>
        <v>83</v>
      </c>
      <c r="Z8" s="153" t="str">
        <f t="shared" si="12"/>
        <v>A</v>
      </c>
      <c r="AA8" s="67">
        <v>28.0</v>
      </c>
      <c r="AB8" s="68">
        <v>54.0</v>
      </c>
      <c r="AC8" s="59">
        <f t="shared" si="13"/>
        <v>82</v>
      </c>
      <c r="AD8" s="153" t="str">
        <f t="shared" si="14"/>
        <v>A</v>
      </c>
      <c r="AE8" s="75">
        <v>31.0</v>
      </c>
      <c r="AF8" s="76">
        <v>49.0</v>
      </c>
      <c r="AG8" s="59">
        <f t="shared" si="15"/>
        <v>80</v>
      </c>
      <c r="AH8" s="153" t="str">
        <f t="shared" si="16"/>
        <v>A</v>
      </c>
      <c r="AI8" s="163">
        <v>35.0</v>
      </c>
      <c r="AJ8" s="68">
        <v>49.0</v>
      </c>
      <c r="AK8" s="59">
        <f t="shared" si="17"/>
        <v>84</v>
      </c>
      <c r="AL8" s="153" t="str">
        <f t="shared" si="18"/>
        <v>A</v>
      </c>
      <c r="AM8" s="67">
        <v>23.0</v>
      </c>
      <c r="AN8" s="68">
        <v>39.0</v>
      </c>
      <c r="AO8" s="59">
        <f t="shared" si="19"/>
        <v>62</v>
      </c>
      <c r="AP8" s="153" t="str">
        <f t="shared" si="20"/>
        <v>C</v>
      </c>
      <c r="AQ8" s="59"/>
      <c r="AR8" s="57">
        <f t="shared" si="21"/>
        <v>71.3</v>
      </c>
      <c r="AS8" s="72">
        <f t="shared" si="22"/>
        <v>11</v>
      </c>
      <c r="AT8" s="134" t="s">
        <v>90</v>
      </c>
      <c r="AU8" s="134" t="s">
        <v>85</v>
      </c>
      <c r="AV8" s="134" t="s">
        <v>90</v>
      </c>
      <c r="AW8" s="134" t="s">
        <v>87</v>
      </c>
      <c r="AX8" s="134" t="s">
        <v>87</v>
      </c>
      <c r="AY8" s="143" t="s">
        <v>267</v>
      </c>
    </row>
    <row r="9" ht="31.5" customHeight="1">
      <c r="A9" s="42">
        <v>5.0</v>
      </c>
      <c r="B9" s="94" t="s">
        <v>268</v>
      </c>
      <c r="C9" s="66">
        <v>30.0</v>
      </c>
      <c r="D9" s="66">
        <v>34.0</v>
      </c>
      <c r="E9" s="56">
        <f t="shared" si="1"/>
        <v>64</v>
      </c>
      <c r="F9" s="153" t="str">
        <f t="shared" si="2"/>
        <v>C</v>
      </c>
      <c r="G9" s="133">
        <v>33.0</v>
      </c>
      <c r="H9" s="133">
        <v>48.0</v>
      </c>
      <c r="I9" s="56">
        <f t="shared" si="3"/>
        <v>81</v>
      </c>
      <c r="J9" s="153" t="str">
        <f t="shared" si="4"/>
        <v>A</v>
      </c>
      <c r="K9" s="66">
        <v>38.0</v>
      </c>
      <c r="L9" s="66">
        <v>45.0</v>
      </c>
      <c r="M9" s="56">
        <f t="shared" si="5"/>
        <v>83</v>
      </c>
      <c r="N9" s="153" t="str">
        <f t="shared" si="6"/>
        <v>A</v>
      </c>
      <c r="O9" s="66">
        <v>33.0</v>
      </c>
      <c r="P9" s="66">
        <v>51.0</v>
      </c>
      <c r="Q9" s="56">
        <f t="shared" si="7"/>
        <v>84</v>
      </c>
      <c r="R9" s="153" t="str">
        <f t="shared" si="8"/>
        <v>A</v>
      </c>
      <c r="S9" s="66">
        <v>39.0</v>
      </c>
      <c r="T9" s="66">
        <v>56.0</v>
      </c>
      <c r="U9" s="56">
        <f t="shared" si="9"/>
        <v>95</v>
      </c>
      <c r="V9" s="153" t="str">
        <f t="shared" si="10"/>
        <v>A*</v>
      </c>
      <c r="W9" s="66">
        <v>38.0</v>
      </c>
      <c r="X9" s="66">
        <v>58.0</v>
      </c>
      <c r="Y9" s="56">
        <f t="shared" si="11"/>
        <v>96</v>
      </c>
      <c r="Z9" s="153" t="str">
        <f t="shared" si="12"/>
        <v>A*</v>
      </c>
      <c r="AA9" s="67">
        <v>33.0</v>
      </c>
      <c r="AB9" s="68">
        <v>58.0</v>
      </c>
      <c r="AC9" s="59">
        <f t="shared" si="13"/>
        <v>91</v>
      </c>
      <c r="AD9" s="153" t="str">
        <f t="shared" si="14"/>
        <v>A*</v>
      </c>
      <c r="AE9" s="75">
        <v>30.0</v>
      </c>
      <c r="AF9" s="76">
        <v>50.0</v>
      </c>
      <c r="AG9" s="59">
        <f t="shared" si="15"/>
        <v>80</v>
      </c>
      <c r="AH9" s="153" t="str">
        <f t="shared" si="16"/>
        <v>A</v>
      </c>
      <c r="AI9" s="163">
        <v>31.0</v>
      </c>
      <c r="AJ9" s="68">
        <v>50.0</v>
      </c>
      <c r="AK9" s="59">
        <f t="shared" si="17"/>
        <v>81</v>
      </c>
      <c r="AL9" s="153" t="str">
        <f t="shared" si="18"/>
        <v>A</v>
      </c>
      <c r="AM9" s="67">
        <v>23.5</v>
      </c>
      <c r="AN9" s="68">
        <v>54.0</v>
      </c>
      <c r="AO9" s="59">
        <f t="shared" si="19"/>
        <v>77.5</v>
      </c>
      <c r="AP9" s="153" t="str">
        <f t="shared" si="20"/>
        <v>B</v>
      </c>
      <c r="AQ9" s="59"/>
      <c r="AR9" s="57">
        <f t="shared" si="21"/>
        <v>83.25</v>
      </c>
      <c r="AS9" s="72">
        <f t="shared" si="22"/>
        <v>2</v>
      </c>
      <c r="AT9" s="134" t="s">
        <v>87</v>
      </c>
      <c r="AU9" s="134" t="s">
        <v>85</v>
      </c>
      <c r="AV9" s="134" t="s">
        <v>87</v>
      </c>
      <c r="AW9" s="134" t="s">
        <v>87</v>
      </c>
      <c r="AX9" s="134" t="s">
        <v>87</v>
      </c>
      <c r="AY9" s="165" t="s">
        <v>269</v>
      </c>
    </row>
    <row r="10" ht="31.5" customHeight="1">
      <c r="A10" s="42">
        <v>6.0</v>
      </c>
      <c r="B10" s="94" t="s">
        <v>270</v>
      </c>
      <c r="C10" s="66">
        <v>29.0</v>
      </c>
      <c r="D10" s="66">
        <v>30.0</v>
      </c>
      <c r="E10" s="56">
        <f t="shared" si="1"/>
        <v>59</v>
      </c>
      <c r="F10" s="153" t="str">
        <f t="shared" si="2"/>
        <v>D</v>
      </c>
      <c r="G10" s="133">
        <v>13.0</v>
      </c>
      <c r="H10" s="133">
        <v>23.0</v>
      </c>
      <c r="I10" s="56">
        <f t="shared" si="3"/>
        <v>36</v>
      </c>
      <c r="J10" s="153" t="str">
        <f t="shared" si="4"/>
        <v>F</v>
      </c>
      <c r="K10" s="66">
        <v>27.0</v>
      </c>
      <c r="L10" s="66">
        <v>37.0</v>
      </c>
      <c r="M10" s="56">
        <f t="shared" si="5"/>
        <v>64</v>
      </c>
      <c r="N10" s="153" t="str">
        <f t="shared" si="6"/>
        <v>C</v>
      </c>
      <c r="O10" s="66">
        <v>28.0</v>
      </c>
      <c r="P10" s="66">
        <v>40.0</v>
      </c>
      <c r="Q10" s="56">
        <f t="shared" si="7"/>
        <v>68</v>
      </c>
      <c r="R10" s="153" t="str">
        <f t="shared" si="8"/>
        <v>C</v>
      </c>
      <c r="S10" s="66">
        <v>33.0</v>
      </c>
      <c r="T10" s="66">
        <v>52.0</v>
      </c>
      <c r="U10" s="56">
        <f t="shared" si="9"/>
        <v>85</v>
      </c>
      <c r="V10" s="153" t="str">
        <f t="shared" si="10"/>
        <v>A</v>
      </c>
      <c r="W10" s="66">
        <v>35.0</v>
      </c>
      <c r="X10" s="66">
        <v>46.0</v>
      </c>
      <c r="Y10" s="56">
        <f t="shared" si="11"/>
        <v>81</v>
      </c>
      <c r="Z10" s="153" t="str">
        <f t="shared" si="12"/>
        <v>A</v>
      </c>
      <c r="AA10" s="67">
        <v>31.0</v>
      </c>
      <c r="AB10" s="68">
        <v>30.0</v>
      </c>
      <c r="AC10" s="59">
        <f t="shared" si="13"/>
        <v>61</v>
      </c>
      <c r="AD10" s="153" t="str">
        <f t="shared" si="14"/>
        <v>C</v>
      </c>
      <c r="AE10" s="75">
        <v>31.0</v>
      </c>
      <c r="AF10" s="76">
        <v>47.0</v>
      </c>
      <c r="AG10" s="59">
        <f t="shared" si="15"/>
        <v>78</v>
      </c>
      <c r="AH10" s="153" t="str">
        <f t="shared" si="16"/>
        <v>B</v>
      </c>
      <c r="AI10" s="163">
        <v>30.0</v>
      </c>
      <c r="AJ10" s="68">
        <v>46.0</v>
      </c>
      <c r="AK10" s="59">
        <f t="shared" si="17"/>
        <v>76</v>
      </c>
      <c r="AL10" s="153" t="str">
        <f t="shared" si="18"/>
        <v>B</v>
      </c>
      <c r="AM10" s="67">
        <v>24.8</v>
      </c>
      <c r="AN10" s="68">
        <v>51.0</v>
      </c>
      <c r="AO10" s="59">
        <f t="shared" si="19"/>
        <v>75.8</v>
      </c>
      <c r="AP10" s="153" t="str">
        <f t="shared" si="20"/>
        <v>B</v>
      </c>
      <c r="AQ10" s="59"/>
      <c r="AR10" s="57">
        <f t="shared" si="21"/>
        <v>68.38</v>
      </c>
      <c r="AS10" s="72">
        <f t="shared" si="22"/>
        <v>14</v>
      </c>
      <c r="AT10" s="134" t="s">
        <v>87</v>
      </c>
      <c r="AU10" s="134" t="s">
        <v>85</v>
      </c>
      <c r="AV10" s="134" t="s">
        <v>87</v>
      </c>
      <c r="AW10" s="134" t="s">
        <v>87</v>
      </c>
      <c r="AX10" s="134" t="s">
        <v>87</v>
      </c>
      <c r="AY10" s="143" t="s">
        <v>271</v>
      </c>
    </row>
    <row r="11" ht="31.5" customHeight="1">
      <c r="A11" s="42">
        <v>7.0</v>
      </c>
      <c r="B11" s="94" t="s">
        <v>272</v>
      </c>
      <c r="C11" s="66">
        <v>27.0</v>
      </c>
      <c r="D11" s="66">
        <v>31.0</v>
      </c>
      <c r="E11" s="56">
        <f t="shared" si="1"/>
        <v>58</v>
      </c>
      <c r="F11" s="153" t="str">
        <f t="shared" si="2"/>
        <v>D</v>
      </c>
      <c r="G11" s="133">
        <v>35.0</v>
      </c>
      <c r="H11" s="133">
        <v>46.0</v>
      </c>
      <c r="I11" s="56">
        <f t="shared" si="3"/>
        <v>81</v>
      </c>
      <c r="J11" s="153" t="str">
        <f t="shared" si="4"/>
        <v>A</v>
      </c>
      <c r="K11" s="66">
        <v>34.0</v>
      </c>
      <c r="L11" s="66">
        <v>31.0</v>
      </c>
      <c r="M11" s="56">
        <f t="shared" si="5"/>
        <v>65</v>
      </c>
      <c r="N11" s="153" t="str">
        <f t="shared" si="6"/>
        <v>C</v>
      </c>
      <c r="O11" s="66">
        <v>32.0</v>
      </c>
      <c r="P11" s="66">
        <v>38.0</v>
      </c>
      <c r="Q11" s="56">
        <f t="shared" si="7"/>
        <v>70</v>
      </c>
      <c r="R11" s="153" t="str">
        <f t="shared" si="8"/>
        <v>B</v>
      </c>
      <c r="S11" s="66">
        <v>35.0</v>
      </c>
      <c r="T11" s="66">
        <v>47.0</v>
      </c>
      <c r="U11" s="56">
        <f t="shared" si="9"/>
        <v>82</v>
      </c>
      <c r="V11" s="153" t="str">
        <f t="shared" si="10"/>
        <v>A</v>
      </c>
      <c r="W11" s="66">
        <v>36.0</v>
      </c>
      <c r="X11" s="66">
        <v>53.0</v>
      </c>
      <c r="Y11" s="56">
        <f t="shared" si="11"/>
        <v>89</v>
      </c>
      <c r="Z11" s="153" t="str">
        <f t="shared" si="12"/>
        <v>A</v>
      </c>
      <c r="AA11" s="67">
        <v>28.0</v>
      </c>
      <c r="AB11" s="68">
        <v>35.0</v>
      </c>
      <c r="AC11" s="59">
        <f t="shared" si="13"/>
        <v>63</v>
      </c>
      <c r="AD11" s="153" t="str">
        <f t="shared" si="14"/>
        <v>C</v>
      </c>
      <c r="AE11" s="75">
        <v>29.0</v>
      </c>
      <c r="AF11" s="76">
        <v>46.0</v>
      </c>
      <c r="AG11" s="59">
        <f t="shared" si="15"/>
        <v>75</v>
      </c>
      <c r="AH11" s="153" t="str">
        <f t="shared" si="16"/>
        <v>B</v>
      </c>
      <c r="AI11" s="163">
        <v>24.0</v>
      </c>
      <c r="AJ11" s="68">
        <v>38.0</v>
      </c>
      <c r="AK11" s="59">
        <f t="shared" si="17"/>
        <v>62</v>
      </c>
      <c r="AL11" s="153" t="str">
        <f t="shared" si="18"/>
        <v>C</v>
      </c>
      <c r="AM11" s="67">
        <v>24.0</v>
      </c>
      <c r="AN11" s="68">
        <v>49.0</v>
      </c>
      <c r="AO11" s="59">
        <f t="shared" si="19"/>
        <v>73</v>
      </c>
      <c r="AP11" s="153" t="str">
        <f t="shared" si="20"/>
        <v>B</v>
      </c>
      <c r="AQ11" s="59"/>
      <c r="AR11" s="57">
        <f t="shared" si="21"/>
        <v>71.8</v>
      </c>
      <c r="AS11" s="72">
        <f t="shared" si="22"/>
        <v>9</v>
      </c>
      <c r="AT11" s="134" t="s">
        <v>87</v>
      </c>
      <c r="AU11" s="134" t="s">
        <v>85</v>
      </c>
      <c r="AV11" s="134" t="s">
        <v>87</v>
      </c>
      <c r="AW11" s="134" t="s">
        <v>87</v>
      </c>
      <c r="AX11" s="134" t="s">
        <v>87</v>
      </c>
      <c r="AY11" s="165" t="s">
        <v>273</v>
      </c>
    </row>
    <row r="12" ht="31.5" customHeight="1">
      <c r="A12" s="42">
        <v>8.0</v>
      </c>
      <c r="B12" s="94" t="s">
        <v>274</v>
      </c>
      <c r="C12" s="66">
        <v>24.0</v>
      </c>
      <c r="D12" s="66">
        <v>34.0</v>
      </c>
      <c r="E12" s="56">
        <f t="shared" si="1"/>
        <v>58</v>
      </c>
      <c r="F12" s="153" t="str">
        <f t="shared" si="2"/>
        <v>D</v>
      </c>
      <c r="G12" s="133">
        <v>39.0</v>
      </c>
      <c r="H12" s="133">
        <v>56.0</v>
      </c>
      <c r="I12" s="56">
        <f t="shared" si="3"/>
        <v>95</v>
      </c>
      <c r="J12" s="153" t="str">
        <f t="shared" si="4"/>
        <v>A*</v>
      </c>
      <c r="K12" s="66">
        <v>38.0</v>
      </c>
      <c r="L12" s="66">
        <v>49.0</v>
      </c>
      <c r="M12" s="56">
        <f t="shared" si="5"/>
        <v>87</v>
      </c>
      <c r="N12" s="153" t="str">
        <f t="shared" si="6"/>
        <v>A</v>
      </c>
      <c r="O12" s="66">
        <v>38.0</v>
      </c>
      <c r="P12" s="66">
        <v>51.0</v>
      </c>
      <c r="Q12" s="56">
        <f t="shared" si="7"/>
        <v>89</v>
      </c>
      <c r="R12" s="153" t="str">
        <f t="shared" si="8"/>
        <v>A</v>
      </c>
      <c r="S12" s="66">
        <v>40.0</v>
      </c>
      <c r="T12" s="66">
        <v>60.0</v>
      </c>
      <c r="U12" s="56">
        <f t="shared" si="9"/>
        <v>100</v>
      </c>
      <c r="V12" s="153" t="str">
        <f t="shared" si="10"/>
        <v>A*</v>
      </c>
      <c r="W12" s="66">
        <v>35.0</v>
      </c>
      <c r="X12" s="66">
        <v>52.0</v>
      </c>
      <c r="Y12" s="56">
        <f t="shared" si="11"/>
        <v>87</v>
      </c>
      <c r="Z12" s="153" t="str">
        <f t="shared" si="12"/>
        <v>A</v>
      </c>
      <c r="AA12" s="67">
        <v>39.0</v>
      </c>
      <c r="AB12" s="68">
        <v>60.0</v>
      </c>
      <c r="AC12" s="59">
        <f t="shared" si="13"/>
        <v>99</v>
      </c>
      <c r="AD12" s="153" t="str">
        <f t="shared" si="14"/>
        <v>A*</v>
      </c>
      <c r="AE12" s="75">
        <v>31.0</v>
      </c>
      <c r="AF12" s="76">
        <v>43.0</v>
      </c>
      <c r="AG12" s="59">
        <f t="shared" si="15"/>
        <v>74</v>
      </c>
      <c r="AH12" s="153" t="str">
        <f t="shared" si="16"/>
        <v>B</v>
      </c>
      <c r="AI12" s="163">
        <v>28.0</v>
      </c>
      <c r="AJ12" s="68">
        <v>38.0</v>
      </c>
      <c r="AK12" s="59">
        <f t="shared" si="17"/>
        <v>66</v>
      </c>
      <c r="AL12" s="153" t="str">
        <f t="shared" si="18"/>
        <v>C</v>
      </c>
      <c r="AM12" s="67">
        <v>23.0</v>
      </c>
      <c r="AN12" s="68">
        <v>39.0</v>
      </c>
      <c r="AO12" s="59">
        <f t="shared" si="19"/>
        <v>62</v>
      </c>
      <c r="AP12" s="153" t="str">
        <f t="shared" si="20"/>
        <v>C</v>
      </c>
      <c r="AQ12" s="59"/>
      <c r="AR12" s="57">
        <f t="shared" si="21"/>
        <v>81.7</v>
      </c>
      <c r="AS12" s="72">
        <f t="shared" si="22"/>
        <v>3</v>
      </c>
      <c r="AT12" s="134" t="s">
        <v>90</v>
      </c>
      <c r="AU12" s="134" t="s">
        <v>85</v>
      </c>
      <c r="AV12" s="134" t="s">
        <v>87</v>
      </c>
      <c r="AW12" s="134" t="s">
        <v>87</v>
      </c>
      <c r="AX12" s="134" t="s">
        <v>87</v>
      </c>
      <c r="AY12" s="143" t="s">
        <v>275</v>
      </c>
    </row>
    <row r="13" ht="31.5" customHeight="1">
      <c r="A13" s="42">
        <v>9.0</v>
      </c>
      <c r="B13" s="94" t="s">
        <v>276</v>
      </c>
      <c r="C13" s="66">
        <v>25.0</v>
      </c>
      <c r="D13" s="66">
        <v>34.0</v>
      </c>
      <c r="E13" s="56">
        <f t="shared" si="1"/>
        <v>59</v>
      </c>
      <c r="F13" s="153" t="str">
        <f t="shared" si="2"/>
        <v>D</v>
      </c>
      <c r="G13" s="133">
        <v>36.0</v>
      </c>
      <c r="H13" s="133">
        <v>47.0</v>
      </c>
      <c r="I13" s="66">
        <v>83.0</v>
      </c>
      <c r="J13" s="153" t="str">
        <f t="shared" si="4"/>
        <v>A</v>
      </c>
      <c r="K13" s="66">
        <v>32.0</v>
      </c>
      <c r="L13" s="66">
        <v>40.0</v>
      </c>
      <c r="M13" s="56">
        <f t="shared" si="5"/>
        <v>72</v>
      </c>
      <c r="N13" s="153" t="str">
        <f t="shared" si="6"/>
        <v>B</v>
      </c>
      <c r="O13" s="66">
        <v>28.0</v>
      </c>
      <c r="P13" s="66">
        <v>48.0</v>
      </c>
      <c r="Q13" s="56">
        <f t="shared" si="7"/>
        <v>76</v>
      </c>
      <c r="R13" s="153" t="str">
        <f t="shared" si="8"/>
        <v>B</v>
      </c>
      <c r="S13" s="66">
        <v>28.0</v>
      </c>
      <c r="T13" s="66">
        <v>47.0</v>
      </c>
      <c r="U13" s="56">
        <f t="shared" si="9"/>
        <v>75</v>
      </c>
      <c r="V13" s="153" t="str">
        <f t="shared" si="10"/>
        <v>B</v>
      </c>
      <c r="W13" s="66">
        <v>27.0</v>
      </c>
      <c r="X13" s="66">
        <v>35.0</v>
      </c>
      <c r="Y13" s="56">
        <f t="shared" si="11"/>
        <v>62</v>
      </c>
      <c r="Z13" s="153" t="str">
        <f t="shared" si="12"/>
        <v>C</v>
      </c>
      <c r="AA13" s="67">
        <v>23.0</v>
      </c>
      <c r="AB13" s="68">
        <v>29.0</v>
      </c>
      <c r="AC13" s="59">
        <f t="shared" si="13"/>
        <v>52</v>
      </c>
      <c r="AD13" s="153" t="str">
        <f t="shared" si="14"/>
        <v>D</v>
      </c>
      <c r="AE13" s="75">
        <v>28.0</v>
      </c>
      <c r="AF13" s="76">
        <v>52.0</v>
      </c>
      <c r="AG13" s="59">
        <f t="shared" si="15"/>
        <v>80</v>
      </c>
      <c r="AH13" s="153" t="str">
        <f t="shared" si="16"/>
        <v>A</v>
      </c>
      <c r="AI13" s="163">
        <v>21.0</v>
      </c>
      <c r="AJ13" s="68">
        <v>35.0</v>
      </c>
      <c r="AK13" s="59">
        <f t="shared" si="17"/>
        <v>56</v>
      </c>
      <c r="AL13" s="153" t="str">
        <f t="shared" si="18"/>
        <v>D</v>
      </c>
      <c r="AM13" s="67">
        <v>16.0</v>
      </c>
      <c r="AN13" s="68">
        <v>35.0</v>
      </c>
      <c r="AO13" s="59">
        <f t="shared" si="19"/>
        <v>51</v>
      </c>
      <c r="AP13" s="153" t="str">
        <f t="shared" si="20"/>
        <v>D</v>
      </c>
      <c r="AQ13" s="59"/>
      <c r="AR13" s="57">
        <f t="shared" si="21"/>
        <v>66.6</v>
      </c>
      <c r="AS13" s="72">
        <f t="shared" si="22"/>
        <v>16</v>
      </c>
      <c r="AT13" s="134" t="s">
        <v>87</v>
      </c>
      <c r="AU13" s="134" t="s">
        <v>85</v>
      </c>
      <c r="AV13" s="134" t="s">
        <v>90</v>
      </c>
      <c r="AW13" s="134" t="s">
        <v>87</v>
      </c>
      <c r="AX13" s="134" t="s">
        <v>87</v>
      </c>
      <c r="AY13" s="135" t="s">
        <v>277</v>
      </c>
    </row>
    <row r="14" ht="31.5" customHeight="1">
      <c r="A14" s="42">
        <v>10.0</v>
      </c>
      <c r="B14" s="94" t="s">
        <v>278</v>
      </c>
      <c r="C14" s="66">
        <v>20.0</v>
      </c>
      <c r="D14" s="66">
        <v>32.0</v>
      </c>
      <c r="E14" s="56">
        <f t="shared" si="1"/>
        <v>52</v>
      </c>
      <c r="F14" s="164" t="str">
        <f t="shared" si="2"/>
        <v>D</v>
      </c>
      <c r="G14" s="142">
        <v>20.0</v>
      </c>
      <c r="H14" s="133">
        <v>45.0</v>
      </c>
      <c r="I14" s="56">
        <f t="shared" ref="I14:I22" si="23">G14+H14</f>
        <v>65</v>
      </c>
      <c r="J14" s="153" t="str">
        <f t="shared" si="4"/>
        <v>C</v>
      </c>
      <c r="K14" s="66">
        <v>29.0</v>
      </c>
      <c r="L14" s="66">
        <v>32.0</v>
      </c>
      <c r="M14" s="56">
        <f t="shared" si="5"/>
        <v>61</v>
      </c>
      <c r="N14" s="153" t="str">
        <f t="shared" si="6"/>
        <v>C</v>
      </c>
      <c r="O14" s="66">
        <v>31.0</v>
      </c>
      <c r="P14" s="66">
        <v>46.0</v>
      </c>
      <c r="Q14" s="56">
        <f t="shared" si="7"/>
        <v>77</v>
      </c>
      <c r="R14" s="153" t="str">
        <f t="shared" si="8"/>
        <v>B</v>
      </c>
      <c r="S14" s="66">
        <v>37.0</v>
      </c>
      <c r="T14" s="66">
        <v>52.0</v>
      </c>
      <c r="U14" s="56">
        <f t="shared" si="9"/>
        <v>89</v>
      </c>
      <c r="V14" s="153" t="str">
        <f t="shared" si="10"/>
        <v>A</v>
      </c>
      <c r="W14" s="66">
        <v>32.0</v>
      </c>
      <c r="X14" s="66">
        <v>53.0</v>
      </c>
      <c r="Y14" s="56">
        <f t="shared" si="11"/>
        <v>85</v>
      </c>
      <c r="Z14" s="153" t="str">
        <f t="shared" si="12"/>
        <v>A</v>
      </c>
      <c r="AA14" s="67">
        <v>24.0</v>
      </c>
      <c r="AB14" s="68">
        <v>37.0</v>
      </c>
      <c r="AC14" s="59">
        <f t="shared" si="13"/>
        <v>61</v>
      </c>
      <c r="AD14" s="153" t="str">
        <f t="shared" si="14"/>
        <v>C</v>
      </c>
      <c r="AE14" s="75">
        <v>28.0</v>
      </c>
      <c r="AF14" s="76">
        <v>42.0</v>
      </c>
      <c r="AG14" s="59">
        <f t="shared" si="15"/>
        <v>70</v>
      </c>
      <c r="AH14" s="153" t="str">
        <f t="shared" si="16"/>
        <v>B</v>
      </c>
      <c r="AI14" s="163">
        <v>20.0</v>
      </c>
      <c r="AJ14" s="68">
        <v>43.0</v>
      </c>
      <c r="AK14" s="59">
        <f t="shared" si="17"/>
        <v>63</v>
      </c>
      <c r="AL14" s="153" t="str">
        <f t="shared" si="18"/>
        <v>C</v>
      </c>
      <c r="AM14" s="67">
        <v>24.5</v>
      </c>
      <c r="AN14" s="68">
        <v>40.0</v>
      </c>
      <c r="AO14" s="59">
        <f t="shared" si="19"/>
        <v>64.5</v>
      </c>
      <c r="AP14" s="153" t="str">
        <f t="shared" si="20"/>
        <v>C</v>
      </c>
      <c r="AQ14" s="59"/>
      <c r="AR14" s="57">
        <f t="shared" si="21"/>
        <v>68.75</v>
      </c>
      <c r="AS14" s="72">
        <f t="shared" si="22"/>
        <v>13</v>
      </c>
      <c r="AT14" s="134" t="s">
        <v>90</v>
      </c>
      <c r="AU14" s="134" t="s">
        <v>85</v>
      </c>
      <c r="AV14" s="134" t="s">
        <v>87</v>
      </c>
      <c r="AW14" s="134" t="s">
        <v>90</v>
      </c>
      <c r="AX14" s="134" t="s">
        <v>87</v>
      </c>
      <c r="AY14" s="143" t="s">
        <v>279</v>
      </c>
    </row>
    <row r="15" ht="31.5" customHeight="1">
      <c r="A15" s="42">
        <v>11.0</v>
      </c>
      <c r="B15" s="94" t="s">
        <v>280</v>
      </c>
      <c r="C15" s="66">
        <v>22.0</v>
      </c>
      <c r="D15" s="66">
        <v>28.0</v>
      </c>
      <c r="E15" s="56">
        <f t="shared" si="1"/>
        <v>50</v>
      </c>
      <c r="F15" s="164" t="str">
        <f t="shared" si="2"/>
        <v>D</v>
      </c>
      <c r="G15" s="166">
        <v>14.0</v>
      </c>
      <c r="H15" s="166">
        <v>28.0</v>
      </c>
      <c r="I15" s="56">
        <f t="shared" si="23"/>
        <v>42</v>
      </c>
      <c r="J15" s="153" t="str">
        <f t="shared" si="4"/>
        <v>E</v>
      </c>
      <c r="K15" s="66">
        <v>26.0</v>
      </c>
      <c r="L15" s="66">
        <v>29.0</v>
      </c>
      <c r="M15" s="56">
        <f t="shared" si="5"/>
        <v>55</v>
      </c>
      <c r="N15" s="153" t="str">
        <f t="shared" si="6"/>
        <v>D</v>
      </c>
      <c r="O15" s="66">
        <v>18.0</v>
      </c>
      <c r="P15" s="66">
        <v>34.0</v>
      </c>
      <c r="Q15" s="56">
        <f t="shared" si="7"/>
        <v>52</v>
      </c>
      <c r="R15" s="153" t="str">
        <f t="shared" si="8"/>
        <v>D</v>
      </c>
      <c r="S15" s="66">
        <v>22.0</v>
      </c>
      <c r="T15" s="66">
        <v>46.0</v>
      </c>
      <c r="U15" s="56">
        <f t="shared" si="9"/>
        <v>68</v>
      </c>
      <c r="V15" s="153" t="str">
        <f t="shared" si="10"/>
        <v>C</v>
      </c>
      <c r="W15" s="66">
        <v>28.0</v>
      </c>
      <c r="X15" s="66">
        <v>37.0</v>
      </c>
      <c r="Y15" s="56">
        <f t="shared" si="11"/>
        <v>65</v>
      </c>
      <c r="Z15" s="153" t="str">
        <f t="shared" si="12"/>
        <v>C</v>
      </c>
      <c r="AA15" s="67">
        <v>15.0</v>
      </c>
      <c r="AB15" s="68">
        <v>29.0</v>
      </c>
      <c r="AC15" s="59">
        <f t="shared" si="13"/>
        <v>44</v>
      </c>
      <c r="AD15" s="153" t="str">
        <f t="shared" si="14"/>
        <v>E</v>
      </c>
      <c r="AE15" s="75">
        <v>25.0</v>
      </c>
      <c r="AF15" s="76">
        <v>44.0</v>
      </c>
      <c r="AG15" s="59">
        <f t="shared" si="15"/>
        <v>69</v>
      </c>
      <c r="AH15" s="153" t="str">
        <f t="shared" si="16"/>
        <v>C</v>
      </c>
      <c r="AI15" s="163">
        <v>24.0</v>
      </c>
      <c r="AJ15" s="68">
        <v>33.0</v>
      </c>
      <c r="AK15" s="59">
        <f t="shared" si="17"/>
        <v>57</v>
      </c>
      <c r="AL15" s="153" t="str">
        <f t="shared" si="18"/>
        <v>D</v>
      </c>
      <c r="AM15" s="67">
        <v>24.5</v>
      </c>
      <c r="AN15" s="68">
        <v>49.0</v>
      </c>
      <c r="AO15" s="59">
        <f t="shared" si="19"/>
        <v>73.5</v>
      </c>
      <c r="AP15" s="153" t="str">
        <f t="shared" si="20"/>
        <v>B</v>
      </c>
      <c r="AQ15" s="59"/>
      <c r="AR15" s="57">
        <f t="shared" si="21"/>
        <v>57.55</v>
      </c>
      <c r="AS15" s="72">
        <f t="shared" si="22"/>
        <v>17</v>
      </c>
      <c r="AT15" s="134" t="s">
        <v>90</v>
      </c>
      <c r="AU15" s="134" t="s">
        <v>90</v>
      </c>
      <c r="AV15" s="134" t="s">
        <v>93</v>
      </c>
      <c r="AW15" s="134" t="s">
        <v>87</v>
      </c>
      <c r="AX15" s="134" t="s">
        <v>90</v>
      </c>
      <c r="AY15" s="143" t="s">
        <v>281</v>
      </c>
    </row>
    <row r="16" ht="31.5" customHeight="1">
      <c r="A16" s="96">
        <v>12.0</v>
      </c>
      <c r="B16" s="167" t="s">
        <v>282</v>
      </c>
      <c r="C16" s="152">
        <v>28.0</v>
      </c>
      <c r="D16" s="152">
        <v>39.0</v>
      </c>
      <c r="E16" s="153">
        <f t="shared" si="1"/>
        <v>67</v>
      </c>
      <c r="F16" s="153" t="str">
        <f t="shared" si="2"/>
        <v>C</v>
      </c>
      <c r="G16" s="154">
        <v>25.0</v>
      </c>
      <c r="H16" s="168">
        <v>40.0</v>
      </c>
      <c r="I16" s="153">
        <f t="shared" si="23"/>
        <v>65</v>
      </c>
      <c r="J16" s="153" t="str">
        <f t="shared" si="4"/>
        <v>C</v>
      </c>
      <c r="K16" s="152">
        <v>29.0</v>
      </c>
      <c r="L16" s="152">
        <v>39.0</v>
      </c>
      <c r="M16" s="153">
        <f t="shared" si="5"/>
        <v>68</v>
      </c>
      <c r="N16" s="153" t="str">
        <f t="shared" si="6"/>
        <v>C</v>
      </c>
      <c r="O16" s="152">
        <v>30.0</v>
      </c>
      <c r="P16" s="152">
        <v>35.0</v>
      </c>
      <c r="Q16" s="153">
        <f t="shared" si="7"/>
        <v>65</v>
      </c>
      <c r="R16" s="153" t="str">
        <f t="shared" si="8"/>
        <v>C</v>
      </c>
      <c r="S16" s="152">
        <v>35.0</v>
      </c>
      <c r="T16" s="152">
        <v>53.0</v>
      </c>
      <c r="U16" s="153">
        <f t="shared" si="9"/>
        <v>88</v>
      </c>
      <c r="V16" s="153" t="str">
        <f t="shared" si="10"/>
        <v>A</v>
      </c>
      <c r="W16" s="152">
        <v>33.0</v>
      </c>
      <c r="X16" s="152">
        <v>52.0</v>
      </c>
      <c r="Y16" s="153">
        <f t="shared" si="11"/>
        <v>85</v>
      </c>
      <c r="Z16" s="153" t="str">
        <f t="shared" si="12"/>
        <v>A</v>
      </c>
      <c r="AA16" s="155">
        <v>29.0</v>
      </c>
      <c r="AB16" s="156">
        <v>38.0</v>
      </c>
      <c r="AC16" s="157">
        <f t="shared" si="13"/>
        <v>67</v>
      </c>
      <c r="AD16" s="153" t="str">
        <f t="shared" si="14"/>
        <v>C</v>
      </c>
      <c r="AE16" s="169">
        <v>23.0</v>
      </c>
      <c r="AF16" s="170">
        <v>40.0</v>
      </c>
      <c r="AG16" s="157">
        <f t="shared" si="15"/>
        <v>63</v>
      </c>
      <c r="AH16" s="153" t="str">
        <f t="shared" si="16"/>
        <v>C</v>
      </c>
      <c r="AI16" s="171">
        <v>24.0</v>
      </c>
      <c r="AJ16" s="156">
        <v>45.0</v>
      </c>
      <c r="AK16" s="157">
        <f t="shared" si="17"/>
        <v>69</v>
      </c>
      <c r="AL16" s="153" t="str">
        <f t="shared" si="18"/>
        <v>C</v>
      </c>
      <c r="AM16" s="155">
        <v>31.0</v>
      </c>
      <c r="AN16" s="156">
        <v>50.0</v>
      </c>
      <c r="AO16" s="157">
        <f t="shared" si="19"/>
        <v>81</v>
      </c>
      <c r="AP16" s="153" t="str">
        <f t="shared" si="20"/>
        <v>A</v>
      </c>
      <c r="AQ16" s="157"/>
      <c r="AR16" s="161">
        <f t="shared" si="21"/>
        <v>71.8</v>
      </c>
      <c r="AS16" s="162">
        <f t="shared" si="22"/>
        <v>9</v>
      </c>
      <c r="AT16" s="134" t="s">
        <v>87</v>
      </c>
      <c r="AU16" s="134" t="s">
        <v>85</v>
      </c>
      <c r="AV16" s="134" t="s">
        <v>87</v>
      </c>
      <c r="AW16" s="134" t="s">
        <v>87</v>
      </c>
      <c r="AX16" s="134" t="s">
        <v>87</v>
      </c>
      <c r="AY16" s="143" t="s">
        <v>283</v>
      </c>
    </row>
    <row r="17" ht="31.5" customHeight="1">
      <c r="A17" s="42">
        <v>13.0</v>
      </c>
      <c r="B17" s="94" t="s">
        <v>284</v>
      </c>
      <c r="C17" s="66">
        <v>24.0</v>
      </c>
      <c r="D17" s="66">
        <v>26.0</v>
      </c>
      <c r="E17" s="56">
        <f t="shared" si="1"/>
        <v>50</v>
      </c>
      <c r="F17" s="164" t="str">
        <f t="shared" si="2"/>
        <v>D</v>
      </c>
      <c r="G17" s="133">
        <v>19.0</v>
      </c>
      <c r="H17" s="133">
        <v>31.0</v>
      </c>
      <c r="I17" s="56">
        <f t="shared" si="23"/>
        <v>50</v>
      </c>
      <c r="J17" s="153" t="str">
        <f t="shared" si="4"/>
        <v>D</v>
      </c>
      <c r="K17" s="66">
        <v>28.0</v>
      </c>
      <c r="L17" s="66">
        <v>39.0</v>
      </c>
      <c r="M17" s="56">
        <f t="shared" si="5"/>
        <v>67</v>
      </c>
      <c r="N17" s="153" t="str">
        <f t="shared" si="6"/>
        <v>C</v>
      </c>
      <c r="O17" s="66">
        <v>36.0</v>
      </c>
      <c r="P17" s="66">
        <v>45.0</v>
      </c>
      <c r="Q17" s="56">
        <f t="shared" si="7"/>
        <v>81</v>
      </c>
      <c r="R17" s="153" t="str">
        <f t="shared" si="8"/>
        <v>A</v>
      </c>
      <c r="S17" s="66">
        <v>35.0</v>
      </c>
      <c r="T17" s="66">
        <v>49.0</v>
      </c>
      <c r="U17" s="56">
        <f t="shared" si="9"/>
        <v>84</v>
      </c>
      <c r="V17" s="153" t="str">
        <f t="shared" si="10"/>
        <v>A</v>
      </c>
      <c r="W17" s="66">
        <v>28.0</v>
      </c>
      <c r="X17" s="66">
        <v>49.0</v>
      </c>
      <c r="Y17" s="56">
        <f t="shared" si="11"/>
        <v>77</v>
      </c>
      <c r="Z17" s="153" t="str">
        <f t="shared" si="12"/>
        <v>B</v>
      </c>
      <c r="AA17" s="67">
        <v>22.0</v>
      </c>
      <c r="AB17" s="68">
        <v>30.0</v>
      </c>
      <c r="AC17" s="59">
        <f t="shared" si="13"/>
        <v>52</v>
      </c>
      <c r="AD17" s="153" t="str">
        <f t="shared" si="14"/>
        <v>D</v>
      </c>
      <c r="AE17" s="75">
        <v>24.0</v>
      </c>
      <c r="AF17" s="76">
        <v>53.0</v>
      </c>
      <c r="AG17" s="59">
        <f t="shared" si="15"/>
        <v>77</v>
      </c>
      <c r="AH17" s="153" t="str">
        <f t="shared" si="16"/>
        <v>B</v>
      </c>
      <c r="AI17" s="163">
        <v>32.0</v>
      </c>
      <c r="AJ17" s="68">
        <v>41.0</v>
      </c>
      <c r="AK17" s="59">
        <f t="shared" si="17"/>
        <v>73</v>
      </c>
      <c r="AL17" s="153" t="str">
        <f t="shared" si="18"/>
        <v>B</v>
      </c>
      <c r="AM17" s="67">
        <v>29.5</v>
      </c>
      <c r="AN17" s="68">
        <v>50.0</v>
      </c>
      <c r="AO17" s="59">
        <f t="shared" si="19"/>
        <v>79.5</v>
      </c>
      <c r="AP17" s="153" t="str">
        <f t="shared" si="20"/>
        <v>B</v>
      </c>
      <c r="AQ17" s="59"/>
      <c r="AR17" s="57">
        <f t="shared" si="21"/>
        <v>69.05</v>
      </c>
      <c r="AS17" s="72">
        <f t="shared" si="22"/>
        <v>12</v>
      </c>
      <c r="AT17" s="134" t="s">
        <v>90</v>
      </c>
      <c r="AU17" s="134" t="s">
        <v>87</v>
      </c>
      <c r="AV17" s="134" t="s">
        <v>87</v>
      </c>
      <c r="AW17" s="134" t="s">
        <v>90</v>
      </c>
      <c r="AX17" s="134" t="s">
        <v>87</v>
      </c>
      <c r="AY17" s="143" t="s">
        <v>285</v>
      </c>
    </row>
    <row r="18" ht="31.5" customHeight="1">
      <c r="A18" s="121">
        <v>14.0</v>
      </c>
      <c r="B18" s="94" t="s">
        <v>286</v>
      </c>
      <c r="C18" s="66">
        <v>28.0</v>
      </c>
      <c r="D18" s="66">
        <v>38.0</v>
      </c>
      <c r="E18" s="56">
        <f t="shared" si="1"/>
        <v>66</v>
      </c>
      <c r="F18" s="153" t="str">
        <f t="shared" si="2"/>
        <v>C</v>
      </c>
      <c r="G18" s="166">
        <v>22.0</v>
      </c>
      <c r="H18" s="166">
        <v>37.0</v>
      </c>
      <c r="I18" s="56">
        <f t="shared" si="23"/>
        <v>59</v>
      </c>
      <c r="J18" s="153" t="str">
        <f t="shared" si="4"/>
        <v>D</v>
      </c>
      <c r="K18" s="66">
        <v>36.0</v>
      </c>
      <c r="L18" s="66">
        <v>48.0</v>
      </c>
      <c r="M18" s="56">
        <f t="shared" si="5"/>
        <v>84</v>
      </c>
      <c r="N18" s="153" t="str">
        <f t="shared" si="6"/>
        <v>A</v>
      </c>
      <c r="O18" s="66">
        <v>27.0</v>
      </c>
      <c r="P18" s="66">
        <v>48.0</v>
      </c>
      <c r="Q18" s="56">
        <f t="shared" si="7"/>
        <v>75</v>
      </c>
      <c r="R18" s="153" t="str">
        <f t="shared" si="8"/>
        <v>B</v>
      </c>
      <c r="S18" s="66">
        <v>36.0</v>
      </c>
      <c r="T18" s="66">
        <v>55.0</v>
      </c>
      <c r="U18" s="56">
        <f t="shared" si="9"/>
        <v>91</v>
      </c>
      <c r="V18" s="153" t="str">
        <f t="shared" si="10"/>
        <v>A*</v>
      </c>
      <c r="W18" s="66">
        <v>39.0</v>
      </c>
      <c r="X18" s="66">
        <v>54.0</v>
      </c>
      <c r="Y18" s="56">
        <f t="shared" si="11"/>
        <v>93</v>
      </c>
      <c r="Z18" s="153" t="str">
        <f t="shared" si="12"/>
        <v>A*</v>
      </c>
      <c r="AA18" s="67">
        <v>37.0</v>
      </c>
      <c r="AB18" s="68">
        <v>55.0</v>
      </c>
      <c r="AC18" s="59">
        <f t="shared" si="13"/>
        <v>92</v>
      </c>
      <c r="AD18" s="153" t="str">
        <f t="shared" si="14"/>
        <v>A*</v>
      </c>
      <c r="AE18" s="75">
        <v>26.0</v>
      </c>
      <c r="AF18" s="76">
        <v>48.0</v>
      </c>
      <c r="AG18" s="59">
        <f t="shared" si="15"/>
        <v>74</v>
      </c>
      <c r="AH18" s="153" t="str">
        <f t="shared" si="16"/>
        <v>B</v>
      </c>
      <c r="AI18" s="163">
        <v>35.0</v>
      </c>
      <c r="AJ18" s="68">
        <v>44.0</v>
      </c>
      <c r="AK18" s="59">
        <f t="shared" si="17"/>
        <v>79</v>
      </c>
      <c r="AL18" s="153" t="str">
        <f t="shared" si="18"/>
        <v>B</v>
      </c>
      <c r="AM18" s="67">
        <v>22.0</v>
      </c>
      <c r="AN18" s="68">
        <v>44.0</v>
      </c>
      <c r="AO18" s="59">
        <f t="shared" si="19"/>
        <v>66</v>
      </c>
      <c r="AP18" s="153" t="str">
        <f t="shared" si="20"/>
        <v>C</v>
      </c>
      <c r="AQ18" s="59"/>
      <c r="AR18" s="57">
        <f t="shared" si="21"/>
        <v>77.9</v>
      </c>
      <c r="AS18" s="72">
        <f t="shared" si="22"/>
        <v>5</v>
      </c>
      <c r="AT18" s="134" t="s">
        <v>87</v>
      </c>
      <c r="AU18" s="134" t="s">
        <v>85</v>
      </c>
      <c r="AV18" s="134" t="s">
        <v>87</v>
      </c>
      <c r="AW18" s="134" t="s">
        <v>87</v>
      </c>
      <c r="AX18" s="134" t="s">
        <v>87</v>
      </c>
      <c r="AY18" s="143" t="s">
        <v>287</v>
      </c>
    </row>
    <row r="19" ht="31.5" customHeight="1">
      <c r="A19" s="42">
        <v>15.0</v>
      </c>
      <c r="B19" s="94" t="s">
        <v>288</v>
      </c>
      <c r="C19" s="66">
        <v>26.0</v>
      </c>
      <c r="D19" s="66">
        <v>30.0</v>
      </c>
      <c r="E19" s="56">
        <f t="shared" si="1"/>
        <v>56</v>
      </c>
      <c r="F19" s="153" t="str">
        <f t="shared" si="2"/>
        <v>D</v>
      </c>
      <c r="G19" s="133">
        <v>22.0</v>
      </c>
      <c r="H19" s="133">
        <v>29.0</v>
      </c>
      <c r="I19" s="56">
        <f t="shared" si="23"/>
        <v>51</v>
      </c>
      <c r="J19" s="153" t="str">
        <f t="shared" si="4"/>
        <v>D</v>
      </c>
      <c r="K19" s="66">
        <v>30.0</v>
      </c>
      <c r="L19" s="66">
        <v>40.0</v>
      </c>
      <c r="M19" s="56">
        <f t="shared" si="5"/>
        <v>70</v>
      </c>
      <c r="N19" s="153" t="str">
        <f t="shared" si="6"/>
        <v>B</v>
      </c>
      <c r="O19" s="66">
        <v>31.0</v>
      </c>
      <c r="P19" s="66">
        <v>37.0</v>
      </c>
      <c r="Q19" s="56">
        <f t="shared" si="7"/>
        <v>68</v>
      </c>
      <c r="R19" s="153" t="str">
        <f t="shared" si="8"/>
        <v>C</v>
      </c>
      <c r="S19" s="66">
        <v>40.0</v>
      </c>
      <c r="T19" s="66">
        <v>52.0</v>
      </c>
      <c r="U19" s="56">
        <f t="shared" si="9"/>
        <v>92</v>
      </c>
      <c r="V19" s="153" t="str">
        <f t="shared" si="10"/>
        <v>A*</v>
      </c>
      <c r="W19" s="66">
        <v>25.0</v>
      </c>
      <c r="X19" s="66">
        <v>48.0</v>
      </c>
      <c r="Y19" s="56">
        <f t="shared" si="11"/>
        <v>73</v>
      </c>
      <c r="Z19" s="153" t="str">
        <f t="shared" si="12"/>
        <v>B</v>
      </c>
      <c r="AA19" s="67">
        <v>21.0</v>
      </c>
      <c r="AB19" s="68">
        <v>44.0</v>
      </c>
      <c r="AC19" s="59">
        <f t="shared" si="13"/>
        <v>65</v>
      </c>
      <c r="AD19" s="153" t="str">
        <f t="shared" si="14"/>
        <v>C</v>
      </c>
      <c r="AE19" s="75">
        <v>22.0</v>
      </c>
      <c r="AF19" s="76">
        <v>47.0</v>
      </c>
      <c r="AG19" s="59">
        <f t="shared" si="15"/>
        <v>69</v>
      </c>
      <c r="AH19" s="153" t="str">
        <f t="shared" si="16"/>
        <v>C</v>
      </c>
      <c r="AI19" s="163">
        <v>25.0</v>
      </c>
      <c r="AJ19" s="68">
        <v>46.0</v>
      </c>
      <c r="AK19" s="59">
        <f t="shared" si="17"/>
        <v>71</v>
      </c>
      <c r="AL19" s="153" t="str">
        <f t="shared" si="18"/>
        <v>B</v>
      </c>
      <c r="AM19" s="67">
        <v>24.9</v>
      </c>
      <c r="AN19" s="68">
        <v>42.0</v>
      </c>
      <c r="AO19" s="59">
        <f t="shared" si="19"/>
        <v>66.9</v>
      </c>
      <c r="AP19" s="153" t="str">
        <f t="shared" si="20"/>
        <v>C</v>
      </c>
      <c r="AQ19" s="59"/>
      <c r="AR19" s="57">
        <f t="shared" si="21"/>
        <v>68.19</v>
      </c>
      <c r="AS19" s="72">
        <f t="shared" si="22"/>
        <v>15</v>
      </c>
      <c r="AT19" s="134" t="s">
        <v>90</v>
      </c>
      <c r="AU19" s="134" t="s">
        <v>87</v>
      </c>
      <c r="AV19" s="134" t="s">
        <v>87</v>
      </c>
      <c r="AW19" s="134" t="s">
        <v>90</v>
      </c>
      <c r="AX19" s="134" t="s">
        <v>87</v>
      </c>
      <c r="AY19" s="165" t="s">
        <v>289</v>
      </c>
    </row>
    <row r="20" ht="31.5" customHeight="1">
      <c r="A20" s="96">
        <v>16.0</v>
      </c>
      <c r="B20" s="167" t="s">
        <v>290</v>
      </c>
      <c r="C20" s="152">
        <v>14.0</v>
      </c>
      <c r="D20" s="152">
        <v>22.0</v>
      </c>
      <c r="E20" s="153">
        <f t="shared" si="1"/>
        <v>36</v>
      </c>
      <c r="F20" s="164" t="str">
        <f t="shared" si="2"/>
        <v>F</v>
      </c>
      <c r="G20" s="168">
        <v>23.0</v>
      </c>
      <c r="H20" s="154">
        <v>28.0</v>
      </c>
      <c r="I20" s="153">
        <f t="shared" si="23"/>
        <v>51</v>
      </c>
      <c r="J20" s="153" t="str">
        <f t="shared" si="4"/>
        <v>D</v>
      </c>
      <c r="K20" s="152">
        <v>9.0</v>
      </c>
      <c r="L20" s="152">
        <v>16.0</v>
      </c>
      <c r="M20" s="153">
        <f t="shared" si="5"/>
        <v>25</v>
      </c>
      <c r="N20" s="153" t="str">
        <f t="shared" si="6"/>
        <v>G</v>
      </c>
      <c r="O20" s="152">
        <v>15.0</v>
      </c>
      <c r="P20" s="152">
        <v>19.0</v>
      </c>
      <c r="Q20" s="153">
        <f t="shared" si="7"/>
        <v>34</v>
      </c>
      <c r="R20" s="153" t="str">
        <f t="shared" si="8"/>
        <v>F</v>
      </c>
      <c r="S20" s="152">
        <v>18.0</v>
      </c>
      <c r="T20" s="152">
        <v>26.0</v>
      </c>
      <c r="U20" s="153">
        <f t="shared" si="9"/>
        <v>44</v>
      </c>
      <c r="V20" s="153" t="str">
        <f t="shared" si="10"/>
        <v>E</v>
      </c>
      <c r="W20" s="152">
        <v>15.0</v>
      </c>
      <c r="X20" s="152">
        <v>18.0</v>
      </c>
      <c r="Y20" s="153">
        <f t="shared" si="11"/>
        <v>33</v>
      </c>
      <c r="Z20" s="153" t="str">
        <f t="shared" si="12"/>
        <v>F</v>
      </c>
      <c r="AA20" s="155">
        <v>33.0</v>
      </c>
      <c r="AB20" s="156">
        <v>36.0</v>
      </c>
      <c r="AC20" s="59">
        <f t="shared" si="13"/>
        <v>69</v>
      </c>
      <c r="AD20" s="153" t="str">
        <f t="shared" si="14"/>
        <v>C</v>
      </c>
      <c r="AE20" s="169">
        <v>24.0</v>
      </c>
      <c r="AF20" s="170">
        <v>43.0</v>
      </c>
      <c r="AG20" s="157">
        <f t="shared" si="15"/>
        <v>67</v>
      </c>
      <c r="AH20" s="153" t="str">
        <f t="shared" si="16"/>
        <v>C</v>
      </c>
      <c r="AI20" s="171">
        <v>23.0</v>
      </c>
      <c r="AJ20" s="156">
        <v>33.0</v>
      </c>
      <c r="AK20" s="157">
        <f t="shared" si="17"/>
        <v>56</v>
      </c>
      <c r="AL20" s="153" t="str">
        <f t="shared" si="18"/>
        <v>D</v>
      </c>
      <c r="AM20" s="155">
        <v>30.0</v>
      </c>
      <c r="AN20" s="156">
        <v>54.0</v>
      </c>
      <c r="AO20" s="157">
        <f t="shared" si="19"/>
        <v>84</v>
      </c>
      <c r="AP20" s="153" t="str">
        <f t="shared" si="20"/>
        <v>A</v>
      </c>
      <c r="AQ20" s="157"/>
      <c r="AR20" s="161">
        <f t="shared" si="21"/>
        <v>49.9</v>
      </c>
      <c r="AS20" s="162">
        <f t="shared" si="22"/>
        <v>18</v>
      </c>
      <c r="AT20" s="134" t="s">
        <v>93</v>
      </c>
      <c r="AU20" s="134" t="s">
        <v>85</v>
      </c>
      <c r="AV20" s="134" t="s">
        <v>87</v>
      </c>
      <c r="AW20" s="134" t="s">
        <v>87</v>
      </c>
      <c r="AX20" s="134" t="s">
        <v>87</v>
      </c>
      <c r="AY20" s="165" t="s">
        <v>291</v>
      </c>
    </row>
    <row r="21" ht="31.5" customHeight="1">
      <c r="A21" s="42">
        <v>17.0</v>
      </c>
      <c r="B21" s="94" t="s">
        <v>292</v>
      </c>
      <c r="C21" s="66">
        <v>23.0</v>
      </c>
      <c r="D21" s="66">
        <v>39.0</v>
      </c>
      <c r="E21" s="56">
        <f t="shared" si="1"/>
        <v>62</v>
      </c>
      <c r="F21" s="153" t="str">
        <f t="shared" si="2"/>
        <v>C</v>
      </c>
      <c r="G21" s="133">
        <v>29.0</v>
      </c>
      <c r="H21" s="133">
        <v>41.0</v>
      </c>
      <c r="I21" s="56">
        <f t="shared" si="23"/>
        <v>70</v>
      </c>
      <c r="J21" s="153" t="str">
        <f t="shared" si="4"/>
        <v>B</v>
      </c>
      <c r="K21" s="66">
        <v>35.0</v>
      </c>
      <c r="L21" s="66">
        <v>47.0</v>
      </c>
      <c r="M21" s="56">
        <f t="shared" si="5"/>
        <v>82</v>
      </c>
      <c r="N21" s="153" t="str">
        <f t="shared" si="6"/>
        <v>A</v>
      </c>
      <c r="O21" s="66">
        <v>34.0</v>
      </c>
      <c r="P21" s="66">
        <v>45.0</v>
      </c>
      <c r="Q21" s="56">
        <f t="shared" si="7"/>
        <v>79</v>
      </c>
      <c r="R21" s="153" t="str">
        <f t="shared" si="8"/>
        <v>B</v>
      </c>
      <c r="S21" s="66">
        <v>40.0</v>
      </c>
      <c r="T21" s="66">
        <v>53.0</v>
      </c>
      <c r="U21" s="56">
        <f t="shared" si="9"/>
        <v>93</v>
      </c>
      <c r="V21" s="153" t="str">
        <f t="shared" si="10"/>
        <v>A*</v>
      </c>
      <c r="W21" s="66">
        <v>35.0</v>
      </c>
      <c r="X21" s="66">
        <v>52.0</v>
      </c>
      <c r="Y21" s="56">
        <f t="shared" si="11"/>
        <v>87</v>
      </c>
      <c r="Z21" s="153" t="str">
        <f t="shared" si="12"/>
        <v>A</v>
      </c>
      <c r="AA21" s="67">
        <v>34.0</v>
      </c>
      <c r="AB21" s="68">
        <v>60.0</v>
      </c>
      <c r="AC21" s="59">
        <f t="shared" si="13"/>
        <v>94</v>
      </c>
      <c r="AD21" s="153" t="str">
        <f t="shared" si="14"/>
        <v>A*</v>
      </c>
      <c r="AE21" s="75">
        <v>28.0</v>
      </c>
      <c r="AF21" s="76">
        <v>44.0</v>
      </c>
      <c r="AG21" s="59">
        <f t="shared" si="15"/>
        <v>72</v>
      </c>
      <c r="AH21" s="153" t="str">
        <f t="shared" si="16"/>
        <v>B</v>
      </c>
      <c r="AI21" s="163">
        <v>31.0</v>
      </c>
      <c r="AJ21" s="68">
        <v>39.0</v>
      </c>
      <c r="AK21" s="59">
        <f t="shared" si="17"/>
        <v>70</v>
      </c>
      <c r="AL21" s="153" t="str">
        <f t="shared" si="18"/>
        <v>B</v>
      </c>
      <c r="AM21" s="67">
        <v>23.7</v>
      </c>
      <c r="AN21" s="68">
        <v>38.0</v>
      </c>
      <c r="AO21" s="59">
        <f t="shared" si="19"/>
        <v>61.7</v>
      </c>
      <c r="AP21" s="153" t="str">
        <f t="shared" si="20"/>
        <v>C</v>
      </c>
      <c r="AQ21" s="59"/>
      <c r="AR21" s="57">
        <f t="shared" si="21"/>
        <v>77.07</v>
      </c>
      <c r="AS21" s="72">
        <f t="shared" si="22"/>
        <v>6</v>
      </c>
      <c r="AT21" s="134" t="s">
        <v>87</v>
      </c>
      <c r="AU21" s="134" t="s">
        <v>85</v>
      </c>
      <c r="AV21" s="134" t="s">
        <v>87</v>
      </c>
      <c r="AW21" s="134" t="s">
        <v>85</v>
      </c>
      <c r="AX21" s="134" t="s">
        <v>87</v>
      </c>
      <c r="AY21" s="143" t="s">
        <v>293</v>
      </c>
    </row>
    <row r="22" ht="31.5" customHeight="1">
      <c r="A22" s="42">
        <v>18.0</v>
      </c>
      <c r="B22" s="94" t="s">
        <v>294</v>
      </c>
      <c r="C22" s="66">
        <v>25.0</v>
      </c>
      <c r="D22" s="66">
        <v>41.0</v>
      </c>
      <c r="E22" s="56">
        <f t="shared" si="1"/>
        <v>66</v>
      </c>
      <c r="F22" s="153" t="str">
        <f t="shared" si="2"/>
        <v>C</v>
      </c>
      <c r="G22" s="133">
        <v>34.0</v>
      </c>
      <c r="H22" s="133">
        <v>52.0</v>
      </c>
      <c r="I22" s="56">
        <f t="shared" si="23"/>
        <v>86</v>
      </c>
      <c r="J22" s="153" t="str">
        <f t="shared" si="4"/>
        <v>A</v>
      </c>
      <c r="K22" s="66">
        <v>35.0</v>
      </c>
      <c r="L22" s="66">
        <v>52.0</v>
      </c>
      <c r="M22" s="56">
        <f t="shared" si="5"/>
        <v>87</v>
      </c>
      <c r="N22" s="153" t="str">
        <f t="shared" si="6"/>
        <v>A</v>
      </c>
      <c r="O22" s="66">
        <v>31.0</v>
      </c>
      <c r="P22" s="66">
        <v>52.0</v>
      </c>
      <c r="Q22" s="56">
        <f t="shared" si="7"/>
        <v>83</v>
      </c>
      <c r="R22" s="153" t="str">
        <f t="shared" si="8"/>
        <v>A</v>
      </c>
      <c r="S22" s="66">
        <v>37.0</v>
      </c>
      <c r="T22" s="66">
        <v>59.0</v>
      </c>
      <c r="U22" s="56">
        <f t="shared" si="9"/>
        <v>96</v>
      </c>
      <c r="V22" s="153" t="str">
        <f t="shared" si="10"/>
        <v>A*</v>
      </c>
      <c r="W22" s="66">
        <v>38.0</v>
      </c>
      <c r="X22" s="66">
        <v>50.0</v>
      </c>
      <c r="Y22" s="56">
        <f t="shared" si="11"/>
        <v>88</v>
      </c>
      <c r="Z22" s="153" t="str">
        <f t="shared" si="12"/>
        <v>A</v>
      </c>
      <c r="AA22" s="67">
        <v>39.0</v>
      </c>
      <c r="AB22" s="68">
        <v>59.0</v>
      </c>
      <c r="AC22" s="59">
        <f t="shared" si="13"/>
        <v>98</v>
      </c>
      <c r="AD22" s="153" t="str">
        <f t="shared" si="14"/>
        <v>A*</v>
      </c>
      <c r="AE22" s="75">
        <v>29.0</v>
      </c>
      <c r="AF22" s="76">
        <v>45.0</v>
      </c>
      <c r="AG22" s="59">
        <f t="shared" si="15"/>
        <v>74</v>
      </c>
      <c r="AH22" s="153" t="str">
        <f t="shared" si="16"/>
        <v>B</v>
      </c>
      <c r="AI22" s="163">
        <v>40.0</v>
      </c>
      <c r="AJ22" s="68">
        <v>53.0</v>
      </c>
      <c r="AK22" s="59">
        <f t="shared" si="17"/>
        <v>93</v>
      </c>
      <c r="AL22" s="153" t="str">
        <f t="shared" si="18"/>
        <v>A*</v>
      </c>
      <c r="AM22" s="67">
        <v>26.8</v>
      </c>
      <c r="AN22" s="68">
        <v>52.0</v>
      </c>
      <c r="AO22" s="59">
        <f t="shared" si="19"/>
        <v>78.8</v>
      </c>
      <c r="AP22" s="153" t="str">
        <f t="shared" si="20"/>
        <v>B</v>
      </c>
      <c r="AQ22" s="59"/>
      <c r="AR22" s="57">
        <f t="shared" si="21"/>
        <v>84.98</v>
      </c>
      <c r="AS22" s="72">
        <f t="shared" si="22"/>
        <v>1</v>
      </c>
      <c r="AT22" s="134" t="s">
        <v>87</v>
      </c>
      <c r="AU22" s="134" t="s">
        <v>85</v>
      </c>
      <c r="AV22" s="134" t="s">
        <v>87</v>
      </c>
      <c r="AW22" s="134" t="s">
        <v>85</v>
      </c>
      <c r="AX22" s="134" t="s">
        <v>87</v>
      </c>
      <c r="AY22" s="143" t="s">
        <v>295</v>
      </c>
    </row>
    <row r="23" ht="31.5" customHeight="1">
      <c r="A23" s="42"/>
      <c r="B23" s="94"/>
      <c r="C23" s="56"/>
      <c r="D23" s="56"/>
      <c r="E23" s="56"/>
      <c r="F23" s="153"/>
      <c r="G23" s="172"/>
      <c r="H23" s="172"/>
      <c r="I23" s="56"/>
      <c r="J23" s="153"/>
      <c r="K23" s="56"/>
      <c r="L23" s="56"/>
      <c r="M23" s="56"/>
      <c r="N23" s="153"/>
      <c r="O23" s="66"/>
      <c r="P23" s="56"/>
      <c r="Q23" s="56"/>
      <c r="R23" s="153"/>
      <c r="S23" s="56"/>
      <c r="T23" s="56"/>
      <c r="U23" s="56"/>
      <c r="V23" s="153"/>
      <c r="W23" s="66"/>
      <c r="X23" s="66"/>
      <c r="Y23" s="56"/>
      <c r="Z23" s="153"/>
      <c r="AA23" s="67"/>
      <c r="AB23" s="68"/>
      <c r="AC23" s="59"/>
      <c r="AD23" s="153"/>
      <c r="AE23" s="75"/>
      <c r="AF23" s="76"/>
      <c r="AG23" s="59"/>
      <c r="AH23" s="153"/>
      <c r="AI23" s="173"/>
      <c r="AJ23" s="59"/>
      <c r="AK23" s="59"/>
      <c r="AL23" s="153"/>
      <c r="AM23" s="67"/>
      <c r="AN23" s="68"/>
      <c r="AO23" s="59"/>
      <c r="AP23" s="153"/>
      <c r="AQ23" s="59"/>
      <c r="AR23" s="57"/>
      <c r="AS23" s="72"/>
      <c r="AT23" s="134"/>
      <c r="AU23" s="134"/>
      <c r="AV23" s="134"/>
      <c r="AW23" s="134"/>
      <c r="AX23" s="134"/>
      <c r="AY23" s="174"/>
    </row>
    <row r="24" ht="31.5" customHeight="1">
      <c r="AY24" s="146"/>
    </row>
    <row r="25" ht="31.5" customHeight="1">
      <c r="AY25" s="146"/>
    </row>
    <row r="26" ht="31.5" customHeight="1">
      <c r="A26" s="42">
        <v>22.0</v>
      </c>
      <c r="B26" s="94"/>
      <c r="C26" s="56"/>
      <c r="D26" s="56"/>
      <c r="E26" s="56"/>
      <c r="F26" s="153"/>
      <c r="G26" s="175"/>
      <c r="H26" s="175"/>
      <c r="I26" s="56"/>
      <c r="J26" s="153"/>
      <c r="K26" s="56"/>
      <c r="L26" s="56"/>
      <c r="M26" s="56"/>
      <c r="N26" s="153"/>
      <c r="O26" s="56"/>
      <c r="P26" s="56"/>
      <c r="Q26" s="56"/>
      <c r="R26" s="153"/>
      <c r="S26" s="56"/>
      <c r="T26" s="56"/>
      <c r="U26" s="56"/>
      <c r="V26" s="153"/>
      <c r="W26" s="56"/>
      <c r="X26" s="56"/>
      <c r="Y26" s="56"/>
      <c r="Z26" s="153"/>
      <c r="AA26" s="58"/>
      <c r="AB26" s="59"/>
      <c r="AC26" s="59"/>
      <c r="AD26" s="153"/>
      <c r="AE26" s="89"/>
      <c r="AF26" s="90"/>
      <c r="AG26" s="59"/>
      <c r="AH26" s="153"/>
      <c r="AI26" s="173"/>
      <c r="AJ26" s="68">
        <v>35.0</v>
      </c>
      <c r="AK26" s="59"/>
      <c r="AL26" s="153"/>
      <c r="AM26" s="58"/>
      <c r="AN26" s="59"/>
      <c r="AO26" s="59"/>
      <c r="AP26" s="153"/>
      <c r="AQ26" s="59"/>
      <c r="AR26" s="57"/>
      <c r="AS26" s="72"/>
      <c r="AT26" s="176"/>
      <c r="AU26" s="176"/>
      <c r="AV26" s="176"/>
      <c r="AW26" s="176"/>
      <c r="AX26" s="176"/>
      <c r="AY26" s="174"/>
    </row>
    <row r="27" ht="31.5" customHeight="1">
      <c r="A27" s="42">
        <v>23.0</v>
      </c>
      <c r="B27" s="95"/>
      <c r="C27" s="56"/>
      <c r="D27" s="56"/>
      <c r="E27" s="56"/>
      <c r="F27" s="153"/>
      <c r="G27" s="175"/>
      <c r="H27" s="175"/>
      <c r="I27" s="56"/>
      <c r="J27" s="153"/>
      <c r="K27" s="56"/>
      <c r="L27" s="56"/>
      <c r="M27" s="56"/>
      <c r="N27" s="153"/>
      <c r="O27" s="56"/>
      <c r="P27" s="56"/>
      <c r="Q27" s="56"/>
      <c r="R27" s="153"/>
      <c r="S27" s="56"/>
      <c r="T27" s="56"/>
      <c r="U27" s="56"/>
      <c r="V27" s="153"/>
      <c r="W27" s="56"/>
      <c r="X27" s="56"/>
      <c r="Y27" s="56"/>
      <c r="Z27" s="153"/>
      <c r="AA27" s="58"/>
      <c r="AB27" s="59"/>
      <c r="AC27" s="59"/>
      <c r="AD27" s="153"/>
      <c r="AE27" s="89"/>
      <c r="AF27" s="90"/>
      <c r="AG27" s="59"/>
      <c r="AH27" s="153"/>
      <c r="AI27" s="173"/>
      <c r="AJ27" s="59"/>
      <c r="AK27" s="59"/>
      <c r="AL27" s="153"/>
      <c r="AM27" s="58"/>
      <c r="AN27" s="59"/>
      <c r="AO27" s="59"/>
      <c r="AP27" s="153"/>
      <c r="AQ27" s="59"/>
      <c r="AR27" s="57"/>
      <c r="AS27" s="72"/>
      <c r="AT27" s="176"/>
      <c r="AU27" s="176"/>
      <c r="AV27" s="176"/>
      <c r="AW27" s="176"/>
      <c r="AX27" s="176"/>
      <c r="AY27" s="174"/>
    </row>
    <row r="28" ht="31.5" customHeight="1">
      <c r="A28" s="40"/>
      <c r="B28" s="97"/>
      <c r="C28" s="98"/>
      <c r="D28" s="38"/>
      <c r="E28" s="38"/>
      <c r="F28" s="98"/>
      <c r="G28" s="39"/>
      <c r="H28" s="39"/>
      <c r="I28" s="39"/>
      <c r="J28" s="39"/>
      <c r="K28" s="39"/>
      <c r="L28" s="39"/>
      <c r="M28" s="39"/>
      <c r="N28" s="39"/>
      <c r="O28" s="39"/>
      <c r="P28" s="39"/>
      <c r="Q28" s="39"/>
      <c r="R28" s="39"/>
      <c r="S28" s="39"/>
      <c r="T28" s="39"/>
      <c r="U28" s="37"/>
      <c r="V28" s="37"/>
      <c r="W28" s="40"/>
      <c r="X28" s="40"/>
      <c r="Y28" s="40"/>
      <c r="Z28" s="56"/>
      <c r="AI28" s="37"/>
      <c r="AQ28" s="100"/>
      <c r="AR28" s="99"/>
      <c r="AS28" s="39"/>
      <c r="AT28" s="176"/>
      <c r="AU28" s="176"/>
      <c r="AV28" s="176"/>
      <c r="AW28" s="176"/>
      <c r="AX28" s="176"/>
      <c r="AY28" s="132"/>
    </row>
    <row r="29" ht="31.5" customHeight="1">
      <c r="C29" s="98"/>
      <c r="D29" s="38"/>
      <c r="E29" s="38"/>
      <c r="F29" s="98"/>
      <c r="G29" s="39"/>
      <c r="H29" s="39"/>
      <c r="I29" s="39"/>
      <c r="J29" s="39"/>
      <c r="K29" s="39"/>
      <c r="L29" s="39"/>
      <c r="M29" s="39"/>
      <c r="N29" s="39"/>
      <c r="O29" s="39"/>
      <c r="P29" s="39"/>
      <c r="Q29" s="39"/>
      <c r="R29" s="39"/>
      <c r="S29" s="39"/>
      <c r="T29" s="39"/>
      <c r="AI29" s="37"/>
      <c r="AR29" s="61"/>
      <c r="AY29" s="146"/>
    </row>
    <row r="30" ht="31.5" customHeight="1">
      <c r="B30" s="101" t="s">
        <v>33</v>
      </c>
      <c r="C30" s="102"/>
      <c r="D30" s="103"/>
      <c r="E30" s="33">
        <f>AVERAGE(E5:E22)</f>
        <v>57.5</v>
      </c>
      <c r="F30" s="104"/>
      <c r="G30" s="33"/>
      <c r="H30" s="105"/>
      <c r="I30" s="33">
        <f>AVERAGE(I5:I22)</f>
        <v>64.83333333</v>
      </c>
      <c r="J30" s="105"/>
      <c r="K30" s="33"/>
      <c r="L30" s="33"/>
      <c r="M30" s="33">
        <f>AVERAGE(M5:M22)</f>
        <v>69.55555556</v>
      </c>
      <c r="N30" s="105"/>
      <c r="O30" s="33"/>
      <c r="P30" s="105"/>
      <c r="Q30" s="33">
        <f>AVERAGE(Q5:Q22)</f>
        <v>71.94444444</v>
      </c>
      <c r="R30" s="105"/>
      <c r="S30" s="33"/>
      <c r="T30" s="105"/>
      <c r="U30" s="33">
        <f>AVERAGE(U5:U22)</f>
        <v>86</v>
      </c>
      <c r="V30" s="101"/>
      <c r="W30" s="33"/>
      <c r="X30" s="101"/>
      <c r="Y30" s="33">
        <f>AVERAGE(Y5:Y22)</f>
        <v>78.72222222</v>
      </c>
      <c r="Z30" s="101"/>
      <c r="AA30" s="101"/>
      <c r="AB30" s="101"/>
      <c r="AC30" s="33">
        <f>AVERAGE(AC5:AC22)</f>
        <v>73.05555556</v>
      </c>
      <c r="AD30" s="101"/>
      <c r="AE30" s="101"/>
      <c r="AF30" s="101"/>
      <c r="AG30" s="33">
        <f>AVERAGE(AG5:AG22)</f>
        <v>74.66666667</v>
      </c>
      <c r="AH30" s="101"/>
      <c r="AI30" s="101"/>
      <c r="AJ30" s="101"/>
      <c r="AK30" s="33">
        <f>AVERAGE(AK5:AK22)</f>
        <v>71.66666667</v>
      </c>
      <c r="AL30" s="101"/>
      <c r="AM30" s="101"/>
      <c r="AN30" s="101"/>
      <c r="AO30" s="33">
        <f>AVERAGE(AO5:AO22)</f>
        <v>71.52777778</v>
      </c>
      <c r="AP30" s="101"/>
      <c r="AQ30" s="101"/>
      <c r="AR30" s="106"/>
      <c r="AS30" s="101"/>
      <c r="AT30" s="101"/>
      <c r="AU30" s="101"/>
      <c r="AY30" s="146"/>
    </row>
    <row r="31" ht="31.5" customHeight="1">
      <c r="B31" s="101" t="s">
        <v>34</v>
      </c>
      <c r="C31" s="104"/>
      <c r="D31" s="103"/>
      <c r="E31" s="105">
        <f>COUNT(E5:E22)</f>
        <v>18</v>
      </c>
      <c r="F31" s="104"/>
      <c r="G31" s="105"/>
      <c r="H31" s="105"/>
      <c r="I31" s="105">
        <f>COUNT(I5:I22)</f>
        <v>18</v>
      </c>
      <c r="J31" s="105"/>
      <c r="K31" s="105"/>
      <c r="L31" s="105"/>
      <c r="M31" s="105">
        <f>COUNT(M5:M22)</f>
        <v>18</v>
      </c>
      <c r="N31" s="105"/>
      <c r="O31" s="105"/>
      <c r="P31" s="105"/>
      <c r="Q31" s="105">
        <f>COUNT(Q5:Q22)</f>
        <v>18</v>
      </c>
      <c r="R31" s="105"/>
      <c r="S31" s="105"/>
      <c r="T31" s="105"/>
      <c r="U31" s="105">
        <f>COUNT(U5:U22)</f>
        <v>18</v>
      </c>
      <c r="V31" s="101"/>
      <c r="W31" s="105"/>
      <c r="X31" s="101"/>
      <c r="Y31" s="105">
        <f>COUNT(Y5:Y22)</f>
        <v>18</v>
      </c>
      <c r="Z31" s="101"/>
      <c r="AA31" s="101"/>
      <c r="AB31" s="101"/>
      <c r="AC31" s="105">
        <f>COUNT(AC5:AC22)</f>
        <v>18</v>
      </c>
      <c r="AD31" s="101"/>
      <c r="AE31" s="101"/>
      <c r="AF31" s="101"/>
      <c r="AG31" s="105">
        <f>COUNT(AG5:AG22)</f>
        <v>18</v>
      </c>
      <c r="AH31" s="101"/>
      <c r="AI31" s="101"/>
      <c r="AJ31" s="101"/>
      <c r="AK31" s="105">
        <f>COUNT(AK5:AK22)</f>
        <v>18</v>
      </c>
      <c r="AL31" s="101"/>
      <c r="AM31" s="101"/>
      <c r="AN31" s="101"/>
      <c r="AO31" s="105">
        <f>COUNT(AO5:AO22)</f>
        <v>18</v>
      </c>
      <c r="AP31" s="101"/>
      <c r="AQ31" s="101"/>
      <c r="AR31" s="106"/>
      <c r="AS31" s="101"/>
      <c r="AT31" s="101"/>
      <c r="AU31" s="101"/>
      <c r="AY31" s="146"/>
    </row>
    <row r="32" ht="31.5" customHeight="1">
      <c r="B32" s="101" t="s">
        <v>35</v>
      </c>
      <c r="C32" s="104"/>
      <c r="D32" s="103"/>
      <c r="E32" s="105">
        <f>COUNTIF(E5:E22,"&gt;49")</f>
        <v>16</v>
      </c>
      <c r="F32" s="104"/>
      <c r="G32" s="105"/>
      <c r="H32" s="105"/>
      <c r="I32" s="105">
        <f>COUNTIF(I5:I22,"&gt;49")</f>
        <v>16</v>
      </c>
      <c r="J32" s="105"/>
      <c r="K32" s="105"/>
      <c r="L32" s="105"/>
      <c r="M32" s="105">
        <f>COUNTIF(M5:M22,"&gt;49")</f>
        <v>16</v>
      </c>
      <c r="N32" s="105"/>
      <c r="O32" s="105"/>
      <c r="P32" s="105"/>
      <c r="Q32" s="105">
        <f>COUNTIF(Q5:Q22,"&gt;49")</f>
        <v>17</v>
      </c>
      <c r="R32" s="105"/>
      <c r="S32" s="105"/>
      <c r="T32" s="105"/>
      <c r="U32" s="105">
        <f>COUNTIF(U5:U22,"&gt;49")</f>
        <v>17</v>
      </c>
      <c r="V32" s="101"/>
      <c r="W32" s="105"/>
      <c r="X32" s="101"/>
      <c r="Y32" s="105">
        <f>COUNTIF(Y5:Y22,"&gt;49")</f>
        <v>17</v>
      </c>
      <c r="Z32" s="101"/>
      <c r="AA32" s="101"/>
      <c r="AB32" s="101"/>
      <c r="AC32" s="105">
        <f>COUNTIF(AC5:AC22,"&gt;49")</f>
        <v>17</v>
      </c>
      <c r="AD32" s="101"/>
      <c r="AE32" s="101"/>
      <c r="AF32" s="101"/>
      <c r="AG32" s="105">
        <f>COUNTIF(AG5:AG22,"&gt;49")</f>
        <v>18</v>
      </c>
      <c r="AH32" s="101"/>
      <c r="AI32" s="101"/>
      <c r="AJ32" s="101"/>
      <c r="AK32" s="105">
        <f>COUNTIF(AK5:AK22,"&gt;49")</f>
        <v>18</v>
      </c>
      <c r="AL32" s="101"/>
      <c r="AM32" s="101"/>
      <c r="AN32" s="101"/>
      <c r="AO32" s="105">
        <f>COUNTIF(AO5:AO22,"&gt;49")</f>
        <v>18</v>
      </c>
      <c r="AP32" s="101"/>
      <c r="AQ32" s="101"/>
      <c r="AR32" s="106"/>
      <c r="AS32" s="101"/>
      <c r="AT32" s="101"/>
      <c r="AU32" s="101"/>
      <c r="AY32" s="146"/>
    </row>
    <row r="33" ht="31.5" customHeight="1">
      <c r="B33" s="101" t="s">
        <v>36</v>
      </c>
      <c r="C33" s="104"/>
      <c r="D33" s="103"/>
      <c r="E33" s="105">
        <f>COUNTIF(E5:E22,"&lt;50")</f>
        <v>2</v>
      </c>
      <c r="F33" s="104"/>
      <c r="G33" s="105"/>
      <c r="H33" s="105"/>
      <c r="I33" s="105">
        <f>COUNTIF(I5:I22,"&lt;50")</f>
        <v>2</v>
      </c>
      <c r="J33" s="105"/>
      <c r="K33" s="105"/>
      <c r="L33" s="105"/>
      <c r="M33" s="105">
        <f>COUNTIF(M5:M22,"&lt;50")</f>
        <v>2</v>
      </c>
      <c r="N33" s="105"/>
      <c r="O33" s="105"/>
      <c r="P33" s="105"/>
      <c r="Q33" s="105">
        <f>COUNTIF(Q5:Q22,"&lt;50")</f>
        <v>1</v>
      </c>
      <c r="R33" s="105"/>
      <c r="S33" s="105"/>
      <c r="T33" s="105"/>
      <c r="U33" s="105">
        <f>COUNTIF(U5:U22,"&lt;50")</f>
        <v>1</v>
      </c>
      <c r="V33" s="101"/>
      <c r="W33" s="105"/>
      <c r="X33" s="101"/>
      <c r="Y33" s="105">
        <f>COUNTIF(Y5:Y22,"&lt;50")</f>
        <v>1</v>
      </c>
      <c r="Z33" s="101"/>
      <c r="AA33" s="101"/>
      <c r="AB33" s="101"/>
      <c r="AC33" s="105">
        <f>COUNTIF(AC5:AC22,"&lt;50")</f>
        <v>1</v>
      </c>
      <c r="AD33" s="101"/>
      <c r="AE33" s="101"/>
      <c r="AF33" s="101"/>
      <c r="AG33" s="105">
        <f>COUNTIF(AG5:AG22,"&lt;50")</f>
        <v>0</v>
      </c>
      <c r="AH33" s="101"/>
      <c r="AI33" s="101"/>
      <c r="AJ33" s="101"/>
      <c r="AK33" s="105">
        <f>COUNTIF(AK5:AK22,"&lt;50")</f>
        <v>0</v>
      </c>
      <c r="AL33" s="101"/>
      <c r="AM33" s="101"/>
      <c r="AN33" s="101"/>
      <c r="AO33" s="105">
        <f>COUNTIF(AO5:AO22,"&lt;50")</f>
        <v>0</v>
      </c>
      <c r="AP33" s="101"/>
      <c r="AQ33" s="101"/>
      <c r="AR33" s="106"/>
      <c r="AS33" s="101"/>
      <c r="AT33" s="101"/>
      <c r="AU33" s="101"/>
      <c r="AY33" s="146"/>
    </row>
    <row r="34" ht="31.5" customHeight="1">
      <c r="B34" s="31" t="s">
        <v>37</v>
      </c>
      <c r="C34" s="107"/>
      <c r="D34" s="108"/>
      <c r="E34" s="32">
        <f>E32*100/E31</f>
        <v>88.88888889</v>
      </c>
      <c r="F34" s="109"/>
      <c r="G34" s="32"/>
      <c r="H34" s="110"/>
      <c r="I34" s="32">
        <f>I32*100/I31</f>
        <v>88.88888889</v>
      </c>
      <c r="J34" s="110"/>
      <c r="K34" s="32"/>
      <c r="L34" s="32"/>
      <c r="M34" s="32">
        <f>M32*100/M31</f>
        <v>88.88888889</v>
      </c>
      <c r="N34" s="110"/>
      <c r="O34" s="32"/>
      <c r="P34" s="110"/>
      <c r="Q34" s="32">
        <f>Q32*100/Q31</f>
        <v>94.44444444</v>
      </c>
      <c r="R34" s="110"/>
      <c r="S34" s="32"/>
      <c r="T34" s="110"/>
      <c r="U34" s="32">
        <f>U32*100/U31</f>
        <v>94.44444444</v>
      </c>
      <c r="V34" s="31"/>
      <c r="W34" s="32"/>
      <c r="X34" s="31"/>
      <c r="Y34" s="32">
        <f>Y32*100/Y31</f>
        <v>94.44444444</v>
      </c>
      <c r="Z34" s="31"/>
      <c r="AA34" s="31"/>
      <c r="AB34" s="31"/>
      <c r="AC34" s="32">
        <f>AC32*100/AC31</f>
        <v>94.44444444</v>
      </c>
      <c r="AD34" s="31"/>
      <c r="AE34" s="31"/>
      <c r="AF34" s="31"/>
      <c r="AG34" s="32">
        <f>AG32*100/AG31</f>
        <v>100</v>
      </c>
      <c r="AH34" s="31"/>
      <c r="AI34" s="31"/>
      <c r="AJ34" s="31"/>
      <c r="AK34" s="32">
        <f>AK32*100/AK31</f>
        <v>100</v>
      </c>
      <c r="AL34" s="31"/>
      <c r="AM34" s="31"/>
      <c r="AN34" s="31"/>
      <c r="AO34" s="32">
        <f>AO32*100/AO31</f>
        <v>100</v>
      </c>
      <c r="AP34" s="31"/>
      <c r="AQ34" s="31"/>
      <c r="AR34" s="111"/>
      <c r="AS34" s="31"/>
      <c r="AT34" s="31"/>
      <c r="AU34" s="31"/>
      <c r="AY34" s="146"/>
    </row>
    <row r="35" ht="31.5" customHeight="1">
      <c r="C35" s="98"/>
      <c r="D35" s="38"/>
      <c r="E35" s="38"/>
      <c r="F35" s="98"/>
      <c r="G35" s="39"/>
      <c r="H35" s="39"/>
      <c r="I35" s="39"/>
      <c r="J35" s="39"/>
      <c r="K35" s="39"/>
      <c r="L35" s="39"/>
      <c r="M35" s="39"/>
      <c r="N35" s="39"/>
      <c r="O35" s="39"/>
      <c r="P35" s="39"/>
      <c r="Q35" s="39"/>
      <c r="R35" s="39"/>
      <c r="S35" s="39"/>
      <c r="T35" s="39"/>
      <c r="AI35" s="37"/>
      <c r="AR35" s="61"/>
      <c r="AY35" s="146"/>
    </row>
    <row r="36" ht="31.5" customHeight="1">
      <c r="C36" s="98"/>
      <c r="D36" s="38"/>
      <c r="E36" s="38"/>
      <c r="F36" s="98"/>
      <c r="G36" s="39"/>
      <c r="H36" s="39"/>
      <c r="I36" s="39"/>
      <c r="J36" s="39"/>
      <c r="K36" s="39"/>
      <c r="L36" s="39"/>
      <c r="M36" s="39"/>
      <c r="N36" s="39"/>
      <c r="O36" s="39"/>
      <c r="P36" s="39"/>
      <c r="Q36" s="39"/>
      <c r="R36" s="39"/>
      <c r="S36" s="39"/>
      <c r="T36" s="39"/>
      <c r="AI36" s="37"/>
      <c r="AR36" s="61"/>
      <c r="AY36" s="146"/>
    </row>
    <row r="37" ht="31.5" customHeight="1">
      <c r="C37" s="98"/>
      <c r="D37" s="38"/>
      <c r="E37" s="38"/>
      <c r="F37" s="98"/>
      <c r="G37" s="39"/>
      <c r="H37" s="39"/>
      <c r="I37" s="39"/>
      <c r="J37" s="39"/>
      <c r="K37" s="39"/>
      <c r="L37" s="39"/>
      <c r="M37" s="39"/>
      <c r="N37" s="39"/>
      <c r="O37" s="39"/>
      <c r="P37" s="39"/>
      <c r="Q37" s="39"/>
      <c r="R37" s="39"/>
      <c r="S37" s="39"/>
      <c r="T37" s="39"/>
      <c r="AI37" s="37"/>
      <c r="AR37" s="61"/>
      <c r="AY37" s="146"/>
    </row>
    <row r="38" ht="31.5" customHeight="1">
      <c r="A38" s="26" t="s">
        <v>139</v>
      </c>
      <c r="B38" s="26">
        <v>0.0</v>
      </c>
      <c r="C38" s="113" t="s">
        <v>140</v>
      </c>
      <c r="D38" s="38"/>
      <c r="E38" s="38"/>
      <c r="F38" s="98"/>
      <c r="G38" s="39"/>
      <c r="H38" s="39"/>
      <c r="I38" s="39"/>
      <c r="J38" s="39"/>
      <c r="K38" s="39"/>
      <c r="L38" s="39"/>
      <c r="M38" s="39"/>
      <c r="N38" s="39"/>
      <c r="O38" s="39"/>
      <c r="P38" s="39"/>
      <c r="Q38" s="39"/>
      <c r="R38" s="39"/>
      <c r="S38" s="39"/>
      <c r="T38" s="39"/>
      <c r="AI38" s="37"/>
      <c r="AR38" s="61"/>
      <c r="AY38" s="146"/>
    </row>
    <row r="39" ht="31.5" customHeight="1">
      <c r="A39" s="26" t="s">
        <v>141</v>
      </c>
      <c r="B39" s="26">
        <v>20.0</v>
      </c>
      <c r="C39" s="113" t="s">
        <v>142</v>
      </c>
      <c r="D39" s="38"/>
      <c r="E39" s="38"/>
      <c r="F39" s="98"/>
      <c r="G39" s="39"/>
      <c r="H39" s="39"/>
      <c r="I39" s="39"/>
      <c r="J39" s="39"/>
      <c r="K39" s="39"/>
      <c r="L39" s="39"/>
      <c r="M39" s="39"/>
      <c r="N39" s="39"/>
      <c r="O39" s="39"/>
      <c r="P39" s="39"/>
      <c r="Q39" s="39"/>
      <c r="R39" s="39"/>
      <c r="S39" s="39"/>
      <c r="T39" s="39"/>
      <c r="AI39" s="37"/>
      <c r="AR39" s="61"/>
      <c r="AY39" s="146"/>
    </row>
    <row r="40" ht="31.5" customHeight="1">
      <c r="A40" s="114" t="s">
        <v>143</v>
      </c>
      <c r="B40" s="115">
        <v>30.0</v>
      </c>
      <c r="C40" s="114" t="s">
        <v>144</v>
      </c>
      <c r="D40" s="38"/>
      <c r="E40" s="38"/>
      <c r="F40" s="98"/>
      <c r="G40" s="39"/>
      <c r="H40" s="39"/>
      <c r="I40" s="39"/>
      <c r="J40" s="39"/>
      <c r="K40" s="39"/>
      <c r="L40" s="39"/>
      <c r="M40" s="39"/>
      <c r="N40" s="39"/>
      <c r="O40" s="39"/>
      <c r="P40" s="39"/>
      <c r="Q40" s="39"/>
      <c r="R40" s="39"/>
      <c r="S40" s="39"/>
      <c r="T40" s="39"/>
      <c r="AI40" s="37"/>
      <c r="AR40" s="61"/>
      <c r="AY40" s="146"/>
    </row>
    <row r="41" ht="31.5" customHeight="1">
      <c r="A41" s="114" t="s">
        <v>145</v>
      </c>
      <c r="B41" s="115">
        <v>40.0</v>
      </c>
      <c r="C41" s="114" t="s">
        <v>146</v>
      </c>
      <c r="D41" s="38"/>
      <c r="E41" s="38"/>
      <c r="F41" s="98"/>
      <c r="G41" s="39"/>
      <c r="H41" s="39"/>
      <c r="I41" s="39"/>
      <c r="J41" s="39"/>
      <c r="K41" s="39"/>
      <c r="L41" s="39"/>
      <c r="M41" s="39"/>
      <c r="N41" s="39"/>
      <c r="O41" s="39"/>
      <c r="P41" s="39"/>
      <c r="Q41" s="39"/>
      <c r="R41" s="39"/>
      <c r="S41" s="39"/>
      <c r="T41" s="39"/>
      <c r="AI41" s="37"/>
      <c r="AR41" s="61"/>
      <c r="AY41" s="146"/>
    </row>
    <row r="42" ht="31.5" customHeight="1">
      <c r="A42" s="114" t="s">
        <v>147</v>
      </c>
      <c r="B42" s="115">
        <v>50.0</v>
      </c>
      <c r="C42" s="114" t="s">
        <v>93</v>
      </c>
      <c r="D42" s="38"/>
      <c r="E42" s="38"/>
      <c r="F42" s="98"/>
      <c r="G42" s="39"/>
      <c r="H42" s="39"/>
      <c r="I42" s="39"/>
      <c r="J42" s="39"/>
      <c r="K42" s="39"/>
      <c r="L42" s="39"/>
      <c r="M42" s="39"/>
      <c r="N42" s="39"/>
      <c r="O42" s="39"/>
      <c r="P42" s="39"/>
      <c r="Q42" s="39"/>
      <c r="R42" s="39"/>
      <c r="S42" s="39"/>
      <c r="T42" s="39"/>
      <c r="AI42" s="37"/>
      <c r="AR42" s="61"/>
      <c r="AY42" s="146"/>
    </row>
    <row r="43" ht="31.5" customHeight="1">
      <c r="A43" s="114" t="s">
        <v>148</v>
      </c>
      <c r="B43" s="115">
        <v>60.0</v>
      </c>
      <c r="C43" s="114" t="s">
        <v>90</v>
      </c>
      <c r="D43" s="38"/>
      <c r="E43" s="38"/>
      <c r="F43" s="98"/>
      <c r="G43" s="39"/>
      <c r="H43" s="39"/>
      <c r="I43" s="39"/>
      <c r="J43" s="39"/>
      <c r="K43" s="39"/>
      <c r="L43" s="39"/>
      <c r="M43" s="39"/>
      <c r="N43" s="39"/>
      <c r="O43" s="39"/>
      <c r="P43" s="39"/>
      <c r="Q43" s="39"/>
      <c r="R43" s="39"/>
      <c r="S43" s="39"/>
      <c r="T43" s="39"/>
      <c r="AI43" s="37"/>
      <c r="AR43" s="61"/>
      <c r="AY43" s="146"/>
    </row>
    <row r="44" ht="31.5" customHeight="1">
      <c r="A44" s="114" t="s">
        <v>149</v>
      </c>
      <c r="B44" s="115">
        <v>70.0</v>
      </c>
      <c r="C44" s="114" t="s">
        <v>87</v>
      </c>
      <c r="D44" s="38"/>
      <c r="E44" s="38"/>
      <c r="F44" s="98"/>
      <c r="G44" s="39"/>
      <c r="H44" s="39"/>
      <c r="I44" s="39"/>
      <c r="J44" s="39"/>
      <c r="K44" s="39"/>
      <c r="L44" s="39"/>
      <c r="M44" s="39"/>
      <c r="N44" s="39"/>
      <c r="O44" s="39"/>
      <c r="P44" s="39"/>
      <c r="Q44" s="39"/>
      <c r="R44" s="39"/>
      <c r="S44" s="39"/>
      <c r="T44" s="39"/>
      <c r="AI44" s="37"/>
      <c r="AR44" s="61"/>
      <c r="AY44" s="146"/>
    </row>
    <row r="45" ht="31.5" customHeight="1">
      <c r="A45" s="116" t="s">
        <v>150</v>
      </c>
      <c r="B45" s="117">
        <v>80.0</v>
      </c>
      <c r="C45" s="116" t="s">
        <v>85</v>
      </c>
      <c r="D45" s="38"/>
      <c r="E45" s="38"/>
      <c r="F45" s="98"/>
      <c r="G45" s="39"/>
      <c r="H45" s="39"/>
      <c r="I45" s="39"/>
      <c r="J45" s="39"/>
      <c r="K45" s="39"/>
      <c r="L45" s="39"/>
      <c r="M45" s="39"/>
      <c r="N45" s="39"/>
      <c r="O45" s="39"/>
      <c r="P45" s="39"/>
      <c r="Q45" s="39"/>
      <c r="R45" s="39"/>
      <c r="S45" s="39"/>
      <c r="T45" s="39"/>
      <c r="AI45" s="37"/>
      <c r="AR45" s="61"/>
      <c r="AY45" s="146"/>
    </row>
    <row r="46" ht="31.5" customHeight="1">
      <c r="A46" s="116" t="s">
        <v>151</v>
      </c>
      <c r="B46" s="117">
        <v>90.0</v>
      </c>
      <c r="C46" s="116" t="s">
        <v>152</v>
      </c>
      <c r="D46" s="38"/>
      <c r="E46" s="38"/>
      <c r="F46" s="98"/>
      <c r="G46" s="39"/>
      <c r="H46" s="39"/>
      <c r="I46" s="39"/>
      <c r="J46" s="39"/>
      <c r="K46" s="39"/>
      <c r="L46" s="39"/>
      <c r="M46" s="39"/>
      <c r="N46" s="39"/>
      <c r="O46" s="39"/>
      <c r="P46" s="39"/>
      <c r="Q46" s="39"/>
      <c r="R46" s="39"/>
      <c r="S46" s="39"/>
      <c r="T46" s="39"/>
      <c r="AI46" s="37"/>
      <c r="AR46" s="61"/>
      <c r="AY46" s="146"/>
    </row>
    <row r="47" ht="31.5" customHeight="1">
      <c r="C47" s="98"/>
      <c r="D47" s="38"/>
      <c r="E47" s="38"/>
      <c r="F47" s="98"/>
      <c r="G47" s="39"/>
      <c r="H47" s="39"/>
      <c r="I47" s="39"/>
      <c r="J47" s="39"/>
      <c r="K47" s="39"/>
      <c r="L47" s="39"/>
      <c r="M47" s="39"/>
      <c r="N47" s="39"/>
      <c r="O47" s="39"/>
      <c r="P47" s="39"/>
      <c r="Q47" s="39"/>
      <c r="R47" s="39"/>
      <c r="S47" s="39"/>
      <c r="T47" s="39"/>
      <c r="AI47" s="37"/>
      <c r="AR47" s="61"/>
      <c r="AY47" s="146"/>
    </row>
    <row r="48" ht="31.5" customHeight="1">
      <c r="C48" s="98"/>
      <c r="D48" s="38"/>
      <c r="E48" s="38"/>
      <c r="F48" s="98"/>
      <c r="G48" s="39"/>
      <c r="H48" s="39"/>
      <c r="I48" s="39"/>
      <c r="J48" s="39"/>
      <c r="K48" s="39"/>
      <c r="L48" s="39"/>
      <c r="M48" s="39"/>
      <c r="N48" s="39"/>
      <c r="O48" s="39"/>
      <c r="P48" s="39"/>
      <c r="Q48" s="39"/>
      <c r="R48" s="39"/>
      <c r="S48" s="39"/>
      <c r="T48" s="39"/>
      <c r="AI48" s="37"/>
      <c r="AR48" s="61"/>
      <c r="AY48" s="146"/>
    </row>
    <row r="49" ht="31.5" customHeight="1">
      <c r="C49" s="98"/>
      <c r="D49" s="38"/>
      <c r="E49" s="38"/>
      <c r="F49" s="98"/>
      <c r="G49" s="39"/>
      <c r="H49" s="39"/>
      <c r="I49" s="39"/>
      <c r="J49" s="39"/>
      <c r="K49" s="39"/>
      <c r="L49" s="39"/>
      <c r="M49" s="39"/>
      <c r="N49" s="39"/>
      <c r="O49" s="39"/>
      <c r="P49" s="39"/>
      <c r="Q49" s="39"/>
      <c r="R49" s="39"/>
      <c r="S49" s="39"/>
      <c r="T49" s="39"/>
      <c r="AI49" s="37"/>
      <c r="AR49" s="61"/>
      <c r="AY49" s="146"/>
    </row>
    <row r="50" ht="31.5" customHeight="1">
      <c r="C50" s="98"/>
      <c r="D50" s="38"/>
      <c r="E50" s="38"/>
      <c r="F50" s="98"/>
      <c r="G50" s="39"/>
      <c r="H50" s="39"/>
      <c r="I50" s="39"/>
      <c r="J50" s="39"/>
      <c r="K50" s="39"/>
      <c r="L50" s="39"/>
      <c r="M50" s="39"/>
      <c r="N50" s="39"/>
      <c r="O50" s="39"/>
      <c r="P50" s="39"/>
      <c r="Q50" s="39"/>
      <c r="R50" s="39"/>
      <c r="S50" s="39"/>
      <c r="T50" s="39"/>
      <c r="AI50" s="37"/>
      <c r="AR50" s="61"/>
      <c r="AY50" s="146"/>
    </row>
    <row r="51" ht="31.5" customHeight="1">
      <c r="C51" s="98"/>
      <c r="D51" s="38"/>
      <c r="E51" s="38"/>
      <c r="F51" s="98"/>
      <c r="G51" s="39"/>
      <c r="H51" s="39"/>
      <c r="I51" s="39"/>
      <c r="J51" s="39"/>
      <c r="K51" s="39"/>
      <c r="L51" s="39"/>
      <c r="M51" s="39"/>
      <c r="N51" s="39"/>
      <c r="O51" s="39"/>
      <c r="P51" s="39"/>
      <c r="Q51" s="39"/>
      <c r="R51" s="39"/>
      <c r="S51" s="39"/>
      <c r="T51" s="39"/>
      <c r="AI51" s="37"/>
      <c r="AR51" s="61"/>
      <c r="AY51" s="146"/>
    </row>
    <row r="52" ht="31.5" customHeight="1">
      <c r="C52" s="98"/>
      <c r="D52" s="38"/>
      <c r="E52" s="38"/>
      <c r="F52" s="98"/>
      <c r="G52" s="39"/>
      <c r="H52" s="39"/>
      <c r="I52" s="39"/>
      <c r="J52" s="39"/>
      <c r="K52" s="39"/>
      <c r="L52" s="39"/>
      <c r="M52" s="39"/>
      <c r="N52" s="39"/>
      <c r="O52" s="39"/>
      <c r="P52" s="39"/>
      <c r="Q52" s="39"/>
      <c r="R52" s="39"/>
      <c r="S52" s="39"/>
      <c r="T52" s="39"/>
      <c r="AI52" s="37"/>
      <c r="AR52" s="61"/>
      <c r="AY52" s="146"/>
    </row>
    <row r="53" ht="31.5" customHeight="1">
      <c r="C53" s="98"/>
      <c r="D53" s="38"/>
      <c r="E53" s="38"/>
      <c r="F53" s="98"/>
      <c r="G53" s="39"/>
      <c r="H53" s="39"/>
      <c r="I53" s="39"/>
      <c r="J53" s="39"/>
      <c r="K53" s="39"/>
      <c r="L53" s="39"/>
      <c r="M53" s="39"/>
      <c r="N53" s="39"/>
      <c r="O53" s="39"/>
      <c r="P53" s="39"/>
      <c r="Q53" s="39"/>
      <c r="R53" s="39"/>
      <c r="S53" s="39"/>
      <c r="T53" s="39"/>
      <c r="AI53" s="37"/>
      <c r="AR53" s="61"/>
      <c r="AY53" s="146"/>
    </row>
    <row r="54" ht="31.5" customHeight="1">
      <c r="C54" s="98"/>
      <c r="D54" s="38"/>
      <c r="E54" s="38"/>
      <c r="F54" s="98"/>
      <c r="G54" s="39"/>
      <c r="H54" s="39"/>
      <c r="I54" s="39"/>
      <c r="J54" s="39"/>
      <c r="K54" s="39"/>
      <c r="L54" s="39"/>
      <c r="M54" s="39"/>
      <c r="N54" s="39"/>
      <c r="O54" s="39"/>
      <c r="P54" s="39"/>
      <c r="Q54" s="39"/>
      <c r="R54" s="39"/>
      <c r="S54" s="39"/>
      <c r="T54" s="39"/>
      <c r="AI54" s="37"/>
      <c r="AR54" s="61"/>
      <c r="AY54" s="146"/>
    </row>
    <row r="55" ht="31.5" customHeight="1">
      <c r="C55" s="98"/>
      <c r="D55" s="38"/>
      <c r="E55" s="38"/>
      <c r="F55" s="98"/>
      <c r="G55" s="39"/>
      <c r="H55" s="39"/>
      <c r="I55" s="39"/>
      <c r="J55" s="39"/>
      <c r="K55" s="39"/>
      <c r="L55" s="39"/>
      <c r="M55" s="39"/>
      <c r="N55" s="39"/>
      <c r="O55" s="39"/>
      <c r="P55" s="39"/>
      <c r="Q55" s="39"/>
      <c r="R55" s="39"/>
      <c r="S55" s="39"/>
      <c r="T55" s="39"/>
      <c r="AI55" s="37"/>
      <c r="AR55" s="61"/>
      <c r="AY55" s="146"/>
    </row>
    <row r="56" ht="31.5" customHeight="1">
      <c r="C56" s="98"/>
      <c r="D56" s="38"/>
      <c r="E56" s="38"/>
      <c r="F56" s="98"/>
      <c r="G56" s="39"/>
      <c r="H56" s="39"/>
      <c r="I56" s="39"/>
      <c r="J56" s="39"/>
      <c r="K56" s="39"/>
      <c r="L56" s="39"/>
      <c r="M56" s="39"/>
      <c r="N56" s="39"/>
      <c r="O56" s="39"/>
      <c r="P56" s="39"/>
      <c r="Q56" s="39"/>
      <c r="R56" s="39"/>
      <c r="S56" s="39"/>
      <c r="T56" s="39"/>
      <c r="AI56" s="37"/>
      <c r="AR56" s="61"/>
      <c r="AY56" s="146"/>
    </row>
    <row r="57" ht="31.5" customHeight="1">
      <c r="C57" s="98"/>
      <c r="D57" s="38"/>
      <c r="E57" s="38"/>
      <c r="F57" s="98"/>
      <c r="G57" s="39"/>
      <c r="H57" s="39"/>
      <c r="I57" s="39"/>
      <c r="J57" s="39"/>
      <c r="K57" s="39"/>
      <c r="L57" s="39"/>
      <c r="M57" s="39"/>
      <c r="N57" s="39"/>
      <c r="O57" s="39"/>
      <c r="P57" s="39"/>
      <c r="Q57" s="39"/>
      <c r="R57" s="39"/>
      <c r="S57" s="39"/>
      <c r="T57" s="39"/>
      <c r="AI57" s="37"/>
      <c r="AR57" s="61"/>
      <c r="AY57" s="146"/>
    </row>
    <row r="58" ht="31.5" customHeight="1">
      <c r="C58" s="98"/>
      <c r="D58" s="38"/>
      <c r="E58" s="38"/>
      <c r="F58" s="98"/>
      <c r="G58" s="39"/>
      <c r="H58" s="39"/>
      <c r="I58" s="39"/>
      <c r="J58" s="39"/>
      <c r="K58" s="39"/>
      <c r="L58" s="39"/>
      <c r="M58" s="39"/>
      <c r="N58" s="39"/>
      <c r="O58" s="39"/>
      <c r="P58" s="39"/>
      <c r="Q58" s="39"/>
      <c r="R58" s="39"/>
      <c r="S58" s="39"/>
      <c r="T58" s="39"/>
      <c r="AI58" s="37"/>
      <c r="AR58" s="61"/>
      <c r="AY58" s="146"/>
    </row>
    <row r="59" ht="31.5" customHeight="1">
      <c r="C59" s="98"/>
      <c r="D59" s="38"/>
      <c r="E59" s="38"/>
      <c r="F59" s="98"/>
      <c r="G59" s="39"/>
      <c r="H59" s="39"/>
      <c r="I59" s="39"/>
      <c r="J59" s="39"/>
      <c r="K59" s="39"/>
      <c r="L59" s="39"/>
      <c r="M59" s="39"/>
      <c r="N59" s="39"/>
      <c r="O59" s="39"/>
      <c r="P59" s="39"/>
      <c r="Q59" s="39"/>
      <c r="R59" s="39"/>
      <c r="S59" s="39"/>
      <c r="T59" s="39"/>
      <c r="AI59" s="37"/>
      <c r="AR59" s="61"/>
      <c r="AY59" s="146"/>
    </row>
    <row r="60" ht="31.5" customHeight="1">
      <c r="C60" s="98"/>
      <c r="D60" s="38"/>
      <c r="E60" s="38"/>
      <c r="F60" s="98"/>
      <c r="G60" s="39"/>
      <c r="H60" s="39"/>
      <c r="I60" s="39"/>
      <c r="J60" s="39"/>
      <c r="K60" s="39"/>
      <c r="L60" s="39"/>
      <c r="M60" s="39"/>
      <c r="N60" s="39"/>
      <c r="O60" s="39"/>
      <c r="P60" s="39"/>
      <c r="Q60" s="39"/>
      <c r="R60" s="39"/>
      <c r="S60" s="39"/>
      <c r="T60" s="39"/>
      <c r="AI60" s="37"/>
      <c r="AR60" s="61"/>
      <c r="AY60" s="146"/>
    </row>
    <row r="61" ht="31.5" customHeight="1">
      <c r="C61" s="98"/>
      <c r="D61" s="38"/>
      <c r="E61" s="38"/>
      <c r="F61" s="98"/>
      <c r="G61" s="39"/>
      <c r="H61" s="39"/>
      <c r="I61" s="39"/>
      <c r="J61" s="39"/>
      <c r="K61" s="39"/>
      <c r="L61" s="39"/>
      <c r="M61" s="39"/>
      <c r="N61" s="39"/>
      <c r="O61" s="39"/>
      <c r="P61" s="39"/>
      <c r="Q61" s="39"/>
      <c r="R61" s="39"/>
      <c r="S61" s="39"/>
      <c r="T61" s="39"/>
      <c r="AI61" s="37"/>
      <c r="AR61" s="61"/>
      <c r="AY61" s="146"/>
    </row>
    <row r="62" ht="31.5" customHeight="1">
      <c r="C62" s="98"/>
      <c r="D62" s="38"/>
      <c r="E62" s="38"/>
      <c r="F62" s="98"/>
      <c r="G62" s="39"/>
      <c r="H62" s="39"/>
      <c r="I62" s="39"/>
      <c r="J62" s="39"/>
      <c r="K62" s="39"/>
      <c r="L62" s="39"/>
      <c r="M62" s="39"/>
      <c r="N62" s="39"/>
      <c r="O62" s="39"/>
      <c r="P62" s="39"/>
      <c r="Q62" s="39"/>
      <c r="R62" s="39"/>
      <c r="S62" s="39"/>
      <c r="T62" s="39"/>
      <c r="AI62" s="37"/>
      <c r="AR62" s="61"/>
      <c r="AY62" s="146"/>
    </row>
    <row r="63" ht="31.5" customHeight="1">
      <c r="C63" s="98"/>
      <c r="D63" s="38"/>
      <c r="E63" s="38"/>
      <c r="F63" s="98"/>
      <c r="G63" s="39"/>
      <c r="H63" s="39"/>
      <c r="I63" s="39"/>
      <c r="J63" s="39"/>
      <c r="K63" s="39"/>
      <c r="L63" s="39"/>
      <c r="M63" s="39"/>
      <c r="N63" s="39"/>
      <c r="O63" s="39"/>
      <c r="P63" s="39"/>
      <c r="Q63" s="39"/>
      <c r="R63" s="39"/>
      <c r="S63" s="39"/>
      <c r="T63" s="39"/>
      <c r="AI63" s="37"/>
      <c r="AR63" s="61"/>
      <c r="AY63" s="146"/>
    </row>
    <row r="64" ht="31.5" customHeight="1">
      <c r="C64" s="98"/>
      <c r="D64" s="38"/>
      <c r="E64" s="38"/>
      <c r="F64" s="98"/>
      <c r="G64" s="39"/>
      <c r="H64" s="39"/>
      <c r="I64" s="39"/>
      <c r="J64" s="39"/>
      <c r="K64" s="39"/>
      <c r="L64" s="39"/>
      <c r="M64" s="39"/>
      <c r="N64" s="39"/>
      <c r="O64" s="39"/>
      <c r="P64" s="39"/>
      <c r="Q64" s="39"/>
      <c r="R64" s="39"/>
      <c r="S64" s="39"/>
      <c r="T64" s="39"/>
      <c r="AI64" s="37"/>
      <c r="AR64" s="61"/>
      <c r="AY64" s="146"/>
    </row>
    <row r="65" ht="31.5" customHeight="1">
      <c r="C65" s="98"/>
      <c r="D65" s="38"/>
      <c r="E65" s="38"/>
      <c r="F65" s="98"/>
      <c r="G65" s="39"/>
      <c r="H65" s="39"/>
      <c r="I65" s="39"/>
      <c r="J65" s="39"/>
      <c r="K65" s="39"/>
      <c r="L65" s="39"/>
      <c r="M65" s="39"/>
      <c r="N65" s="39"/>
      <c r="O65" s="39"/>
      <c r="P65" s="39"/>
      <c r="Q65" s="39"/>
      <c r="R65" s="39"/>
      <c r="S65" s="39"/>
      <c r="T65" s="39"/>
      <c r="AI65" s="37"/>
      <c r="AR65" s="61"/>
      <c r="AY65" s="146"/>
    </row>
    <row r="66" ht="31.5" customHeight="1">
      <c r="C66" s="98"/>
      <c r="D66" s="38"/>
      <c r="E66" s="38"/>
      <c r="F66" s="98"/>
      <c r="G66" s="39"/>
      <c r="H66" s="39"/>
      <c r="I66" s="39"/>
      <c r="J66" s="39"/>
      <c r="K66" s="39"/>
      <c r="L66" s="39"/>
      <c r="M66" s="39"/>
      <c r="N66" s="39"/>
      <c r="O66" s="39"/>
      <c r="P66" s="39"/>
      <c r="Q66" s="39"/>
      <c r="R66" s="39"/>
      <c r="S66" s="39"/>
      <c r="T66" s="39"/>
      <c r="AI66" s="37"/>
      <c r="AR66" s="61"/>
      <c r="AY66" s="146"/>
    </row>
    <row r="67" ht="31.5" customHeight="1">
      <c r="C67" s="98"/>
      <c r="D67" s="38"/>
      <c r="E67" s="38"/>
      <c r="F67" s="98"/>
      <c r="G67" s="39"/>
      <c r="H67" s="39"/>
      <c r="I67" s="39"/>
      <c r="J67" s="39"/>
      <c r="K67" s="39"/>
      <c r="L67" s="39"/>
      <c r="M67" s="39"/>
      <c r="N67" s="39"/>
      <c r="O67" s="39"/>
      <c r="P67" s="39"/>
      <c r="Q67" s="39"/>
      <c r="R67" s="39"/>
      <c r="S67" s="39"/>
      <c r="T67" s="39"/>
      <c r="AI67" s="37"/>
      <c r="AR67" s="61"/>
      <c r="AY67" s="146"/>
    </row>
    <row r="68" ht="31.5" customHeight="1">
      <c r="C68" s="98"/>
      <c r="D68" s="38"/>
      <c r="E68" s="38"/>
      <c r="F68" s="98"/>
      <c r="G68" s="39"/>
      <c r="H68" s="39"/>
      <c r="I68" s="39"/>
      <c r="J68" s="39"/>
      <c r="K68" s="39"/>
      <c r="L68" s="39"/>
      <c r="M68" s="39"/>
      <c r="N68" s="39"/>
      <c r="O68" s="39"/>
      <c r="P68" s="39"/>
      <c r="Q68" s="39"/>
      <c r="R68" s="39"/>
      <c r="S68" s="39"/>
      <c r="T68" s="39"/>
      <c r="AI68" s="37"/>
      <c r="AR68" s="61"/>
      <c r="AY68" s="146"/>
    </row>
    <row r="69" ht="31.5" customHeight="1">
      <c r="C69" s="98"/>
      <c r="D69" s="38"/>
      <c r="E69" s="38"/>
      <c r="F69" s="98"/>
      <c r="G69" s="39"/>
      <c r="H69" s="39"/>
      <c r="I69" s="39"/>
      <c r="J69" s="39"/>
      <c r="K69" s="39"/>
      <c r="L69" s="39"/>
      <c r="M69" s="39"/>
      <c r="N69" s="39"/>
      <c r="O69" s="39"/>
      <c r="P69" s="39"/>
      <c r="Q69" s="39"/>
      <c r="R69" s="39"/>
      <c r="S69" s="39"/>
      <c r="T69" s="39"/>
      <c r="AI69" s="37"/>
      <c r="AR69" s="61"/>
      <c r="AY69" s="146"/>
    </row>
    <row r="70" ht="31.5" customHeight="1">
      <c r="C70" s="98"/>
      <c r="D70" s="38"/>
      <c r="E70" s="38"/>
      <c r="F70" s="98"/>
      <c r="G70" s="39"/>
      <c r="H70" s="39"/>
      <c r="I70" s="39"/>
      <c r="J70" s="39"/>
      <c r="K70" s="39"/>
      <c r="L70" s="39"/>
      <c r="M70" s="39"/>
      <c r="N70" s="39"/>
      <c r="O70" s="39"/>
      <c r="P70" s="39"/>
      <c r="Q70" s="39"/>
      <c r="R70" s="39"/>
      <c r="S70" s="39"/>
      <c r="T70" s="39"/>
      <c r="AI70" s="37"/>
      <c r="AR70" s="61"/>
      <c r="AY70" s="146"/>
    </row>
    <row r="71" ht="31.5" customHeight="1">
      <c r="C71" s="98"/>
      <c r="D71" s="38"/>
      <c r="E71" s="38"/>
      <c r="F71" s="98"/>
      <c r="G71" s="39"/>
      <c r="H71" s="39"/>
      <c r="I71" s="39"/>
      <c r="J71" s="39"/>
      <c r="K71" s="39"/>
      <c r="L71" s="39"/>
      <c r="M71" s="39"/>
      <c r="N71" s="39"/>
      <c r="O71" s="39"/>
      <c r="P71" s="39"/>
      <c r="Q71" s="39"/>
      <c r="R71" s="39"/>
      <c r="S71" s="39"/>
      <c r="T71" s="39"/>
      <c r="AI71" s="37"/>
      <c r="AR71" s="61"/>
      <c r="AY71" s="146"/>
    </row>
    <row r="72" ht="31.5" customHeight="1">
      <c r="C72" s="98"/>
      <c r="D72" s="38"/>
      <c r="E72" s="38"/>
      <c r="F72" s="98"/>
      <c r="G72" s="39"/>
      <c r="H72" s="39"/>
      <c r="I72" s="39"/>
      <c r="J72" s="39"/>
      <c r="K72" s="39"/>
      <c r="L72" s="39"/>
      <c r="M72" s="39"/>
      <c r="N72" s="39"/>
      <c r="O72" s="39"/>
      <c r="P72" s="39"/>
      <c r="Q72" s="39"/>
      <c r="R72" s="39"/>
      <c r="S72" s="39"/>
      <c r="T72" s="39"/>
      <c r="AI72" s="37"/>
      <c r="AR72" s="61"/>
      <c r="AY72" s="146"/>
    </row>
    <row r="73" ht="31.5" customHeight="1">
      <c r="C73" s="98"/>
      <c r="D73" s="38"/>
      <c r="E73" s="38"/>
      <c r="F73" s="98"/>
      <c r="G73" s="39"/>
      <c r="H73" s="39"/>
      <c r="I73" s="39"/>
      <c r="J73" s="39"/>
      <c r="K73" s="39"/>
      <c r="L73" s="39"/>
      <c r="M73" s="39"/>
      <c r="N73" s="39"/>
      <c r="O73" s="39"/>
      <c r="P73" s="39"/>
      <c r="Q73" s="39"/>
      <c r="R73" s="39"/>
      <c r="S73" s="39"/>
      <c r="T73" s="39"/>
      <c r="AI73" s="37"/>
      <c r="AR73" s="61"/>
      <c r="AY73" s="146"/>
    </row>
    <row r="74" ht="31.5" customHeight="1">
      <c r="C74" s="98"/>
      <c r="D74" s="38"/>
      <c r="E74" s="38"/>
      <c r="F74" s="98"/>
      <c r="G74" s="39"/>
      <c r="H74" s="39"/>
      <c r="I74" s="39"/>
      <c r="J74" s="39"/>
      <c r="K74" s="39"/>
      <c r="L74" s="39"/>
      <c r="M74" s="39"/>
      <c r="N74" s="39"/>
      <c r="O74" s="39"/>
      <c r="P74" s="39"/>
      <c r="Q74" s="39"/>
      <c r="R74" s="39"/>
      <c r="S74" s="39"/>
      <c r="T74" s="39"/>
      <c r="AI74" s="37"/>
      <c r="AR74" s="61"/>
      <c r="AY74" s="146"/>
    </row>
    <row r="75" ht="31.5" customHeight="1">
      <c r="C75" s="98"/>
      <c r="D75" s="38"/>
      <c r="E75" s="38"/>
      <c r="F75" s="98"/>
      <c r="G75" s="39"/>
      <c r="H75" s="39"/>
      <c r="I75" s="39"/>
      <c r="J75" s="39"/>
      <c r="K75" s="39"/>
      <c r="L75" s="39"/>
      <c r="M75" s="39"/>
      <c r="N75" s="39"/>
      <c r="O75" s="39"/>
      <c r="P75" s="39"/>
      <c r="Q75" s="39"/>
      <c r="R75" s="39"/>
      <c r="S75" s="39"/>
      <c r="T75" s="39"/>
      <c r="AI75" s="37"/>
      <c r="AR75" s="61"/>
      <c r="AY75" s="146"/>
    </row>
    <row r="76" ht="31.5" customHeight="1">
      <c r="C76" s="98"/>
      <c r="D76" s="38"/>
      <c r="E76" s="38"/>
      <c r="F76" s="98"/>
      <c r="G76" s="39"/>
      <c r="H76" s="39"/>
      <c r="I76" s="39"/>
      <c r="J76" s="39"/>
      <c r="K76" s="39"/>
      <c r="L76" s="39"/>
      <c r="M76" s="39"/>
      <c r="N76" s="39"/>
      <c r="O76" s="39"/>
      <c r="P76" s="39"/>
      <c r="Q76" s="39"/>
      <c r="R76" s="39"/>
      <c r="S76" s="39"/>
      <c r="T76" s="39"/>
      <c r="AI76" s="37"/>
      <c r="AR76" s="61"/>
      <c r="AY76" s="146"/>
    </row>
    <row r="77" ht="31.5" customHeight="1">
      <c r="C77" s="98"/>
      <c r="D77" s="38"/>
      <c r="E77" s="38"/>
      <c r="F77" s="98"/>
      <c r="G77" s="39"/>
      <c r="H77" s="39"/>
      <c r="I77" s="39"/>
      <c r="J77" s="39"/>
      <c r="K77" s="39"/>
      <c r="L77" s="39"/>
      <c r="M77" s="39"/>
      <c r="N77" s="39"/>
      <c r="O77" s="39"/>
      <c r="P77" s="39"/>
      <c r="Q77" s="39"/>
      <c r="R77" s="39"/>
      <c r="S77" s="39"/>
      <c r="T77" s="39"/>
      <c r="AI77" s="37"/>
      <c r="AR77" s="61"/>
      <c r="AY77" s="146"/>
    </row>
    <row r="78" ht="31.5" customHeight="1">
      <c r="C78" s="98"/>
      <c r="D78" s="38"/>
      <c r="E78" s="38"/>
      <c r="F78" s="98"/>
      <c r="G78" s="39"/>
      <c r="H78" s="39"/>
      <c r="I78" s="39"/>
      <c r="J78" s="39"/>
      <c r="K78" s="39"/>
      <c r="L78" s="39"/>
      <c r="M78" s="39"/>
      <c r="N78" s="39"/>
      <c r="O78" s="39"/>
      <c r="P78" s="39"/>
      <c r="Q78" s="39"/>
      <c r="R78" s="39"/>
      <c r="S78" s="39"/>
      <c r="T78" s="39"/>
      <c r="AI78" s="37"/>
      <c r="AR78" s="61"/>
      <c r="AY78" s="146"/>
    </row>
    <row r="79" ht="31.5" customHeight="1">
      <c r="C79" s="98"/>
      <c r="D79" s="38"/>
      <c r="E79" s="38"/>
      <c r="F79" s="98"/>
      <c r="G79" s="39"/>
      <c r="H79" s="39"/>
      <c r="I79" s="39"/>
      <c r="J79" s="39"/>
      <c r="K79" s="39"/>
      <c r="L79" s="39"/>
      <c r="M79" s="39"/>
      <c r="N79" s="39"/>
      <c r="O79" s="39"/>
      <c r="P79" s="39"/>
      <c r="Q79" s="39"/>
      <c r="R79" s="39"/>
      <c r="S79" s="39"/>
      <c r="T79" s="39"/>
      <c r="AI79" s="37"/>
      <c r="AR79" s="61"/>
      <c r="AY79" s="146"/>
    </row>
    <row r="80" ht="31.5" customHeight="1">
      <c r="C80" s="98"/>
      <c r="D80" s="38"/>
      <c r="E80" s="38"/>
      <c r="F80" s="98"/>
      <c r="G80" s="39"/>
      <c r="H80" s="39"/>
      <c r="I80" s="39"/>
      <c r="J80" s="39"/>
      <c r="K80" s="39"/>
      <c r="L80" s="39"/>
      <c r="M80" s="39"/>
      <c r="N80" s="39"/>
      <c r="O80" s="39"/>
      <c r="P80" s="39"/>
      <c r="Q80" s="39"/>
      <c r="R80" s="39"/>
      <c r="S80" s="39"/>
      <c r="T80" s="39"/>
      <c r="AI80" s="37"/>
      <c r="AR80" s="61"/>
      <c r="AY80" s="146"/>
    </row>
    <row r="81" ht="31.5" customHeight="1">
      <c r="C81" s="98"/>
      <c r="D81" s="38"/>
      <c r="E81" s="38"/>
      <c r="F81" s="98"/>
      <c r="G81" s="39"/>
      <c r="H81" s="39"/>
      <c r="I81" s="39"/>
      <c r="J81" s="39"/>
      <c r="K81" s="39"/>
      <c r="L81" s="39"/>
      <c r="M81" s="39"/>
      <c r="N81" s="39"/>
      <c r="O81" s="39"/>
      <c r="P81" s="39"/>
      <c r="Q81" s="39"/>
      <c r="R81" s="39"/>
      <c r="S81" s="39"/>
      <c r="T81" s="39"/>
      <c r="AI81" s="37"/>
      <c r="AR81" s="61"/>
      <c r="AY81" s="146"/>
    </row>
    <row r="82" ht="31.5" customHeight="1">
      <c r="C82" s="98"/>
      <c r="D82" s="38"/>
      <c r="E82" s="38"/>
      <c r="F82" s="98"/>
      <c r="G82" s="39"/>
      <c r="H82" s="39"/>
      <c r="I82" s="39"/>
      <c r="J82" s="39"/>
      <c r="K82" s="39"/>
      <c r="L82" s="39"/>
      <c r="M82" s="39"/>
      <c r="N82" s="39"/>
      <c r="O82" s="39"/>
      <c r="P82" s="39"/>
      <c r="Q82" s="39"/>
      <c r="R82" s="39"/>
      <c r="S82" s="39"/>
      <c r="T82" s="39"/>
      <c r="AI82" s="37"/>
      <c r="AR82" s="61"/>
      <c r="AY82" s="146"/>
    </row>
    <row r="83" ht="31.5" customHeight="1">
      <c r="C83" s="98"/>
      <c r="D83" s="38"/>
      <c r="E83" s="38"/>
      <c r="F83" s="98"/>
      <c r="G83" s="39"/>
      <c r="H83" s="39"/>
      <c r="I83" s="39"/>
      <c r="J83" s="39"/>
      <c r="K83" s="39"/>
      <c r="L83" s="39"/>
      <c r="M83" s="39"/>
      <c r="N83" s="39"/>
      <c r="O83" s="39"/>
      <c r="P83" s="39"/>
      <c r="Q83" s="39"/>
      <c r="R83" s="39"/>
      <c r="S83" s="39"/>
      <c r="T83" s="39"/>
      <c r="AI83" s="37"/>
      <c r="AR83" s="61"/>
      <c r="AY83" s="146"/>
    </row>
    <row r="84" ht="31.5" customHeight="1">
      <c r="C84" s="98"/>
      <c r="D84" s="38"/>
      <c r="E84" s="38"/>
      <c r="F84" s="98"/>
      <c r="G84" s="39"/>
      <c r="H84" s="39"/>
      <c r="I84" s="39"/>
      <c r="J84" s="39"/>
      <c r="K84" s="39"/>
      <c r="L84" s="39"/>
      <c r="M84" s="39"/>
      <c r="N84" s="39"/>
      <c r="O84" s="39"/>
      <c r="P84" s="39"/>
      <c r="Q84" s="39"/>
      <c r="R84" s="39"/>
      <c r="S84" s="39"/>
      <c r="T84" s="39"/>
      <c r="AI84" s="37"/>
      <c r="AR84" s="61"/>
      <c r="AY84" s="146"/>
    </row>
    <row r="85" ht="31.5" customHeight="1">
      <c r="C85" s="98"/>
      <c r="D85" s="38"/>
      <c r="E85" s="38"/>
      <c r="F85" s="98"/>
      <c r="G85" s="39"/>
      <c r="H85" s="39"/>
      <c r="I85" s="39"/>
      <c r="J85" s="39"/>
      <c r="K85" s="39"/>
      <c r="L85" s="39"/>
      <c r="M85" s="39"/>
      <c r="N85" s="39"/>
      <c r="O85" s="39"/>
      <c r="P85" s="39"/>
      <c r="Q85" s="39"/>
      <c r="R85" s="39"/>
      <c r="S85" s="39"/>
      <c r="T85" s="39"/>
      <c r="AI85" s="37"/>
      <c r="AR85" s="61"/>
      <c r="AY85" s="146"/>
    </row>
    <row r="86" ht="31.5" customHeight="1">
      <c r="C86" s="98"/>
      <c r="D86" s="38"/>
      <c r="E86" s="38"/>
      <c r="F86" s="98"/>
      <c r="G86" s="39"/>
      <c r="H86" s="39"/>
      <c r="I86" s="39"/>
      <c r="J86" s="39"/>
      <c r="K86" s="39"/>
      <c r="L86" s="39"/>
      <c r="M86" s="39"/>
      <c r="N86" s="39"/>
      <c r="O86" s="39"/>
      <c r="P86" s="39"/>
      <c r="Q86" s="39"/>
      <c r="R86" s="39"/>
      <c r="S86" s="39"/>
      <c r="T86" s="39"/>
      <c r="AI86" s="37"/>
      <c r="AR86" s="61"/>
      <c r="AY86" s="146"/>
    </row>
    <row r="87" ht="31.5" customHeight="1">
      <c r="C87" s="98"/>
      <c r="D87" s="38"/>
      <c r="E87" s="38"/>
      <c r="F87" s="98"/>
      <c r="G87" s="39"/>
      <c r="H87" s="39"/>
      <c r="I87" s="39"/>
      <c r="J87" s="39"/>
      <c r="K87" s="39"/>
      <c r="L87" s="39"/>
      <c r="M87" s="39"/>
      <c r="N87" s="39"/>
      <c r="O87" s="39"/>
      <c r="P87" s="39"/>
      <c r="Q87" s="39"/>
      <c r="R87" s="39"/>
      <c r="S87" s="39"/>
      <c r="T87" s="39"/>
      <c r="AI87" s="37"/>
      <c r="AR87" s="61"/>
      <c r="AY87" s="146"/>
    </row>
    <row r="88" ht="31.5" customHeight="1">
      <c r="C88" s="98"/>
      <c r="D88" s="38"/>
      <c r="E88" s="38"/>
      <c r="F88" s="98"/>
      <c r="G88" s="39"/>
      <c r="H88" s="39"/>
      <c r="I88" s="39"/>
      <c r="J88" s="39"/>
      <c r="K88" s="39"/>
      <c r="L88" s="39"/>
      <c r="M88" s="39"/>
      <c r="N88" s="39"/>
      <c r="O88" s="39"/>
      <c r="P88" s="39"/>
      <c r="Q88" s="39"/>
      <c r="R88" s="39"/>
      <c r="S88" s="39"/>
      <c r="T88" s="39"/>
      <c r="AI88" s="37"/>
      <c r="AR88" s="61"/>
      <c r="AY88" s="146"/>
    </row>
    <row r="89" ht="31.5" customHeight="1">
      <c r="C89" s="98"/>
      <c r="D89" s="38"/>
      <c r="E89" s="38"/>
      <c r="F89" s="98"/>
      <c r="G89" s="39"/>
      <c r="H89" s="39"/>
      <c r="I89" s="39"/>
      <c r="J89" s="39"/>
      <c r="K89" s="39"/>
      <c r="L89" s="39"/>
      <c r="M89" s="39"/>
      <c r="N89" s="39"/>
      <c r="O89" s="39"/>
      <c r="P89" s="39"/>
      <c r="Q89" s="39"/>
      <c r="R89" s="39"/>
      <c r="S89" s="39"/>
      <c r="T89" s="39"/>
      <c r="AI89" s="37"/>
      <c r="AR89" s="61"/>
      <c r="AY89" s="146"/>
    </row>
    <row r="90" ht="31.5" customHeight="1">
      <c r="C90" s="98"/>
      <c r="D90" s="38"/>
      <c r="E90" s="38"/>
      <c r="F90" s="98"/>
      <c r="G90" s="39"/>
      <c r="H90" s="39"/>
      <c r="I90" s="39"/>
      <c r="J90" s="39"/>
      <c r="K90" s="39"/>
      <c r="L90" s="39"/>
      <c r="M90" s="39"/>
      <c r="N90" s="39"/>
      <c r="O90" s="39"/>
      <c r="P90" s="39"/>
      <c r="Q90" s="39"/>
      <c r="R90" s="39"/>
      <c r="S90" s="39"/>
      <c r="T90" s="39"/>
      <c r="AI90" s="37"/>
      <c r="AR90" s="61"/>
      <c r="AY90" s="146"/>
    </row>
    <row r="91" ht="31.5" customHeight="1">
      <c r="C91" s="98"/>
      <c r="D91" s="38"/>
      <c r="E91" s="38"/>
      <c r="F91" s="98"/>
      <c r="G91" s="39"/>
      <c r="H91" s="39"/>
      <c r="I91" s="39"/>
      <c r="J91" s="39"/>
      <c r="K91" s="39"/>
      <c r="L91" s="39"/>
      <c r="M91" s="39"/>
      <c r="N91" s="39"/>
      <c r="O91" s="39"/>
      <c r="P91" s="39"/>
      <c r="Q91" s="39"/>
      <c r="R91" s="39"/>
      <c r="S91" s="39"/>
      <c r="T91" s="39"/>
      <c r="AI91" s="37"/>
      <c r="AR91" s="61"/>
      <c r="AY91" s="146"/>
    </row>
    <row r="92" ht="31.5" customHeight="1">
      <c r="C92" s="98"/>
      <c r="D92" s="38"/>
      <c r="E92" s="38"/>
      <c r="F92" s="98"/>
      <c r="G92" s="39"/>
      <c r="H92" s="39"/>
      <c r="I92" s="39"/>
      <c r="J92" s="39"/>
      <c r="K92" s="39"/>
      <c r="L92" s="39"/>
      <c r="M92" s="39"/>
      <c r="N92" s="39"/>
      <c r="O92" s="39"/>
      <c r="P92" s="39"/>
      <c r="Q92" s="39"/>
      <c r="R92" s="39"/>
      <c r="S92" s="39"/>
      <c r="T92" s="39"/>
      <c r="AI92" s="37"/>
      <c r="AR92" s="61"/>
      <c r="AY92" s="146"/>
    </row>
    <row r="93" ht="31.5" customHeight="1">
      <c r="C93" s="98"/>
      <c r="D93" s="38"/>
      <c r="E93" s="38"/>
      <c r="F93" s="98"/>
      <c r="G93" s="39"/>
      <c r="H93" s="39"/>
      <c r="I93" s="39"/>
      <c r="J93" s="39"/>
      <c r="K93" s="39"/>
      <c r="L93" s="39"/>
      <c r="M93" s="39"/>
      <c r="N93" s="39"/>
      <c r="O93" s="39"/>
      <c r="P93" s="39"/>
      <c r="Q93" s="39"/>
      <c r="R93" s="39"/>
      <c r="S93" s="39"/>
      <c r="T93" s="39"/>
      <c r="AI93" s="37"/>
      <c r="AR93" s="61"/>
      <c r="AY93" s="146"/>
    </row>
    <row r="94" ht="31.5" customHeight="1">
      <c r="C94" s="98"/>
      <c r="D94" s="38"/>
      <c r="E94" s="38"/>
      <c r="F94" s="98"/>
      <c r="G94" s="39"/>
      <c r="H94" s="39"/>
      <c r="I94" s="39"/>
      <c r="J94" s="39"/>
      <c r="K94" s="39"/>
      <c r="L94" s="39"/>
      <c r="M94" s="39"/>
      <c r="N94" s="39"/>
      <c r="O94" s="39"/>
      <c r="P94" s="39"/>
      <c r="Q94" s="39"/>
      <c r="R94" s="39"/>
      <c r="S94" s="39"/>
      <c r="T94" s="39"/>
      <c r="AI94" s="37"/>
      <c r="AR94" s="61"/>
      <c r="AY94" s="146"/>
    </row>
    <row r="95" ht="31.5" customHeight="1">
      <c r="C95" s="98"/>
      <c r="D95" s="38"/>
      <c r="E95" s="38"/>
      <c r="F95" s="98"/>
      <c r="G95" s="39"/>
      <c r="H95" s="39"/>
      <c r="I95" s="39"/>
      <c r="J95" s="39"/>
      <c r="K95" s="39"/>
      <c r="L95" s="39"/>
      <c r="M95" s="39"/>
      <c r="N95" s="39"/>
      <c r="O95" s="39"/>
      <c r="P95" s="39"/>
      <c r="Q95" s="39"/>
      <c r="R95" s="39"/>
      <c r="S95" s="39"/>
      <c r="T95" s="39"/>
      <c r="AI95" s="37"/>
      <c r="AR95" s="61"/>
      <c r="AY95" s="146"/>
    </row>
    <row r="96" ht="31.5" customHeight="1">
      <c r="C96" s="98"/>
      <c r="D96" s="38"/>
      <c r="E96" s="38"/>
      <c r="F96" s="98"/>
      <c r="G96" s="39"/>
      <c r="H96" s="39"/>
      <c r="I96" s="39"/>
      <c r="J96" s="39"/>
      <c r="K96" s="39"/>
      <c r="L96" s="39"/>
      <c r="M96" s="39"/>
      <c r="N96" s="39"/>
      <c r="O96" s="39"/>
      <c r="P96" s="39"/>
      <c r="Q96" s="39"/>
      <c r="R96" s="39"/>
      <c r="S96" s="39"/>
      <c r="T96" s="39"/>
      <c r="AI96" s="37"/>
      <c r="AR96" s="61"/>
      <c r="AY96" s="146"/>
    </row>
    <row r="97" ht="31.5" customHeight="1">
      <c r="C97" s="98"/>
      <c r="D97" s="38"/>
      <c r="E97" s="38"/>
      <c r="F97" s="98"/>
      <c r="G97" s="39"/>
      <c r="H97" s="39"/>
      <c r="I97" s="39"/>
      <c r="J97" s="39"/>
      <c r="K97" s="39"/>
      <c r="L97" s="39"/>
      <c r="M97" s="39"/>
      <c r="N97" s="39"/>
      <c r="O97" s="39"/>
      <c r="P97" s="39"/>
      <c r="Q97" s="39"/>
      <c r="R97" s="39"/>
      <c r="S97" s="39"/>
      <c r="T97" s="39"/>
      <c r="AI97" s="37"/>
      <c r="AR97" s="61"/>
      <c r="AY97" s="146"/>
    </row>
    <row r="98" ht="31.5" customHeight="1">
      <c r="C98" s="98"/>
      <c r="D98" s="38"/>
      <c r="E98" s="38"/>
      <c r="F98" s="98"/>
      <c r="G98" s="39"/>
      <c r="H98" s="39"/>
      <c r="I98" s="39"/>
      <c r="J98" s="39"/>
      <c r="K98" s="39"/>
      <c r="L98" s="39"/>
      <c r="M98" s="39"/>
      <c r="N98" s="39"/>
      <c r="O98" s="39"/>
      <c r="P98" s="39"/>
      <c r="Q98" s="39"/>
      <c r="R98" s="39"/>
      <c r="S98" s="39"/>
      <c r="T98" s="39"/>
      <c r="AI98" s="37"/>
      <c r="AR98" s="61"/>
      <c r="AY98" s="146"/>
    </row>
    <row r="99" ht="31.5" customHeight="1">
      <c r="C99" s="98"/>
      <c r="D99" s="38"/>
      <c r="E99" s="38"/>
      <c r="F99" s="98"/>
      <c r="G99" s="39"/>
      <c r="H99" s="39"/>
      <c r="I99" s="39"/>
      <c r="J99" s="39"/>
      <c r="K99" s="39"/>
      <c r="L99" s="39"/>
      <c r="M99" s="39"/>
      <c r="N99" s="39"/>
      <c r="O99" s="39"/>
      <c r="P99" s="39"/>
      <c r="Q99" s="39"/>
      <c r="R99" s="39"/>
      <c r="S99" s="39"/>
      <c r="T99" s="39"/>
      <c r="AI99" s="37"/>
      <c r="AR99" s="61"/>
      <c r="AY99" s="146"/>
    </row>
    <row r="100" ht="31.5" customHeight="1">
      <c r="C100" s="98"/>
      <c r="D100" s="38"/>
      <c r="E100" s="38"/>
      <c r="F100" s="98"/>
      <c r="G100" s="39"/>
      <c r="H100" s="39"/>
      <c r="I100" s="39"/>
      <c r="J100" s="39"/>
      <c r="K100" s="39"/>
      <c r="L100" s="39"/>
      <c r="M100" s="39"/>
      <c r="N100" s="39"/>
      <c r="O100" s="39"/>
      <c r="P100" s="39"/>
      <c r="Q100" s="39"/>
      <c r="R100" s="39"/>
      <c r="S100" s="39"/>
      <c r="T100" s="39"/>
      <c r="AI100" s="37"/>
      <c r="AR100" s="61"/>
      <c r="AY100" s="146"/>
    </row>
    <row r="101" ht="31.5" customHeight="1">
      <c r="C101" s="98"/>
      <c r="D101" s="38"/>
      <c r="E101" s="38"/>
      <c r="F101" s="98"/>
      <c r="G101" s="39"/>
      <c r="H101" s="39"/>
      <c r="I101" s="39"/>
      <c r="J101" s="39"/>
      <c r="K101" s="39"/>
      <c r="L101" s="39"/>
      <c r="M101" s="39"/>
      <c r="N101" s="39"/>
      <c r="O101" s="39"/>
      <c r="P101" s="39"/>
      <c r="Q101" s="39"/>
      <c r="R101" s="39"/>
      <c r="S101" s="39"/>
      <c r="T101" s="39"/>
      <c r="AI101" s="37"/>
      <c r="AR101" s="61"/>
      <c r="AY101" s="146"/>
    </row>
    <row r="102" ht="31.5" customHeight="1">
      <c r="C102" s="98"/>
      <c r="D102" s="38"/>
      <c r="E102" s="38"/>
      <c r="F102" s="98"/>
      <c r="G102" s="39"/>
      <c r="H102" s="39"/>
      <c r="I102" s="39"/>
      <c r="J102" s="39"/>
      <c r="K102" s="39"/>
      <c r="L102" s="39"/>
      <c r="M102" s="39"/>
      <c r="N102" s="39"/>
      <c r="O102" s="39"/>
      <c r="P102" s="39"/>
      <c r="Q102" s="39"/>
      <c r="R102" s="39"/>
      <c r="S102" s="39"/>
      <c r="T102" s="39"/>
      <c r="AI102" s="37"/>
      <c r="AR102" s="61"/>
      <c r="AY102" s="146"/>
    </row>
    <row r="103" ht="31.5" customHeight="1">
      <c r="C103" s="98"/>
      <c r="D103" s="38"/>
      <c r="E103" s="38"/>
      <c r="F103" s="98"/>
      <c r="G103" s="39"/>
      <c r="H103" s="39"/>
      <c r="I103" s="39"/>
      <c r="J103" s="39"/>
      <c r="K103" s="39"/>
      <c r="L103" s="39"/>
      <c r="M103" s="39"/>
      <c r="N103" s="39"/>
      <c r="O103" s="39"/>
      <c r="P103" s="39"/>
      <c r="Q103" s="39"/>
      <c r="R103" s="39"/>
      <c r="S103" s="39"/>
      <c r="T103" s="39"/>
      <c r="AI103" s="37"/>
      <c r="AR103" s="61"/>
      <c r="AY103" s="146"/>
    </row>
    <row r="104" ht="31.5" customHeight="1">
      <c r="C104" s="98"/>
      <c r="D104" s="38"/>
      <c r="E104" s="38"/>
      <c r="F104" s="98"/>
      <c r="G104" s="39"/>
      <c r="H104" s="39"/>
      <c r="I104" s="39"/>
      <c r="J104" s="39"/>
      <c r="K104" s="39"/>
      <c r="L104" s="39"/>
      <c r="M104" s="39"/>
      <c r="N104" s="39"/>
      <c r="O104" s="39"/>
      <c r="P104" s="39"/>
      <c r="Q104" s="39"/>
      <c r="R104" s="39"/>
      <c r="S104" s="39"/>
      <c r="T104" s="39"/>
      <c r="AI104" s="37"/>
      <c r="AR104" s="61"/>
      <c r="AY104" s="146"/>
    </row>
    <row r="105" ht="31.5" customHeight="1">
      <c r="C105" s="98"/>
      <c r="D105" s="38"/>
      <c r="E105" s="38"/>
      <c r="F105" s="98"/>
      <c r="G105" s="39"/>
      <c r="H105" s="39"/>
      <c r="I105" s="39"/>
      <c r="J105" s="39"/>
      <c r="K105" s="39"/>
      <c r="L105" s="39"/>
      <c r="M105" s="39"/>
      <c r="N105" s="39"/>
      <c r="O105" s="39"/>
      <c r="P105" s="39"/>
      <c r="Q105" s="39"/>
      <c r="R105" s="39"/>
      <c r="S105" s="39"/>
      <c r="T105" s="39"/>
      <c r="AI105" s="37"/>
      <c r="AR105" s="61"/>
      <c r="AY105" s="146"/>
    </row>
    <row r="106" ht="31.5" customHeight="1">
      <c r="C106" s="98"/>
      <c r="D106" s="38"/>
      <c r="E106" s="38"/>
      <c r="F106" s="98"/>
      <c r="G106" s="39"/>
      <c r="H106" s="39"/>
      <c r="I106" s="39"/>
      <c r="J106" s="39"/>
      <c r="K106" s="39"/>
      <c r="L106" s="39"/>
      <c r="M106" s="39"/>
      <c r="N106" s="39"/>
      <c r="O106" s="39"/>
      <c r="P106" s="39"/>
      <c r="Q106" s="39"/>
      <c r="R106" s="39"/>
      <c r="S106" s="39"/>
      <c r="T106" s="39"/>
      <c r="AI106" s="37"/>
      <c r="AR106" s="61"/>
      <c r="AY106" s="146"/>
    </row>
    <row r="107" ht="31.5" customHeight="1">
      <c r="C107" s="98"/>
      <c r="D107" s="38"/>
      <c r="E107" s="38"/>
      <c r="F107" s="98"/>
      <c r="G107" s="39"/>
      <c r="H107" s="39"/>
      <c r="I107" s="39"/>
      <c r="J107" s="39"/>
      <c r="K107" s="39"/>
      <c r="L107" s="39"/>
      <c r="M107" s="39"/>
      <c r="N107" s="39"/>
      <c r="O107" s="39"/>
      <c r="P107" s="39"/>
      <c r="Q107" s="39"/>
      <c r="R107" s="39"/>
      <c r="S107" s="39"/>
      <c r="T107" s="39"/>
      <c r="AI107" s="37"/>
      <c r="AR107" s="61"/>
      <c r="AY107" s="146"/>
    </row>
    <row r="108" ht="31.5" customHeight="1">
      <c r="C108" s="98"/>
      <c r="D108" s="38"/>
      <c r="E108" s="38"/>
      <c r="F108" s="98"/>
      <c r="G108" s="39"/>
      <c r="H108" s="39"/>
      <c r="I108" s="39"/>
      <c r="J108" s="39"/>
      <c r="K108" s="39"/>
      <c r="L108" s="39"/>
      <c r="M108" s="39"/>
      <c r="N108" s="39"/>
      <c r="O108" s="39"/>
      <c r="P108" s="39"/>
      <c r="Q108" s="39"/>
      <c r="R108" s="39"/>
      <c r="S108" s="39"/>
      <c r="T108" s="39"/>
      <c r="AI108" s="37"/>
      <c r="AR108" s="61"/>
      <c r="AY108" s="146"/>
    </row>
    <row r="109" ht="31.5" customHeight="1">
      <c r="C109" s="98"/>
      <c r="D109" s="38"/>
      <c r="E109" s="38"/>
      <c r="F109" s="98"/>
      <c r="G109" s="39"/>
      <c r="H109" s="39"/>
      <c r="I109" s="39"/>
      <c r="J109" s="39"/>
      <c r="K109" s="39"/>
      <c r="L109" s="39"/>
      <c r="M109" s="39"/>
      <c r="N109" s="39"/>
      <c r="O109" s="39"/>
      <c r="P109" s="39"/>
      <c r="Q109" s="39"/>
      <c r="R109" s="39"/>
      <c r="S109" s="39"/>
      <c r="T109" s="39"/>
      <c r="AI109" s="37"/>
      <c r="AR109" s="61"/>
      <c r="AY109" s="146"/>
    </row>
    <row r="110" ht="31.5" customHeight="1">
      <c r="C110" s="98"/>
      <c r="D110" s="38"/>
      <c r="E110" s="38"/>
      <c r="F110" s="98"/>
      <c r="G110" s="39"/>
      <c r="H110" s="39"/>
      <c r="I110" s="39"/>
      <c r="J110" s="39"/>
      <c r="K110" s="39"/>
      <c r="L110" s="39"/>
      <c r="M110" s="39"/>
      <c r="N110" s="39"/>
      <c r="O110" s="39"/>
      <c r="P110" s="39"/>
      <c r="Q110" s="39"/>
      <c r="R110" s="39"/>
      <c r="S110" s="39"/>
      <c r="T110" s="39"/>
      <c r="AI110" s="37"/>
      <c r="AR110" s="61"/>
      <c r="AY110" s="146"/>
    </row>
    <row r="111" ht="31.5" customHeight="1">
      <c r="C111" s="98"/>
      <c r="D111" s="38"/>
      <c r="E111" s="38"/>
      <c r="F111" s="98"/>
      <c r="G111" s="39"/>
      <c r="H111" s="39"/>
      <c r="I111" s="39"/>
      <c r="J111" s="39"/>
      <c r="K111" s="39"/>
      <c r="L111" s="39"/>
      <c r="M111" s="39"/>
      <c r="N111" s="39"/>
      <c r="O111" s="39"/>
      <c r="P111" s="39"/>
      <c r="Q111" s="39"/>
      <c r="R111" s="39"/>
      <c r="S111" s="39"/>
      <c r="T111" s="39"/>
      <c r="AI111" s="37"/>
      <c r="AR111" s="61"/>
      <c r="AY111" s="146"/>
    </row>
    <row r="112" ht="31.5" customHeight="1">
      <c r="C112" s="98"/>
      <c r="D112" s="38"/>
      <c r="E112" s="38"/>
      <c r="F112" s="98"/>
      <c r="G112" s="39"/>
      <c r="H112" s="39"/>
      <c r="I112" s="39"/>
      <c r="J112" s="39"/>
      <c r="K112" s="39"/>
      <c r="L112" s="39"/>
      <c r="M112" s="39"/>
      <c r="N112" s="39"/>
      <c r="O112" s="39"/>
      <c r="P112" s="39"/>
      <c r="Q112" s="39"/>
      <c r="R112" s="39"/>
      <c r="S112" s="39"/>
      <c r="T112" s="39"/>
      <c r="AI112" s="37"/>
      <c r="AR112" s="61"/>
      <c r="AY112" s="146"/>
    </row>
    <row r="113" ht="31.5" customHeight="1">
      <c r="C113" s="98"/>
      <c r="D113" s="38"/>
      <c r="E113" s="38"/>
      <c r="F113" s="98"/>
      <c r="G113" s="39"/>
      <c r="H113" s="39"/>
      <c r="I113" s="39"/>
      <c r="J113" s="39"/>
      <c r="K113" s="39"/>
      <c r="L113" s="39"/>
      <c r="M113" s="39"/>
      <c r="N113" s="39"/>
      <c r="O113" s="39"/>
      <c r="P113" s="39"/>
      <c r="Q113" s="39"/>
      <c r="R113" s="39"/>
      <c r="S113" s="39"/>
      <c r="T113" s="39"/>
      <c r="AI113" s="37"/>
      <c r="AR113" s="61"/>
      <c r="AY113" s="146"/>
    </row>
    <row r="114" ht="31.5" customHeight="1">
      <c r="C114" s="98"/>
      <c r="D114" s="38"/>
      <c r="E114" s="38"/>
      <c r="F114" s="98"/>
      <c r="G114" s="39"/>
      <c r="H114" s="39"/>
      <c r="I114" s="39"/>
      <c r="J114" s="39"/>
      <c r="K114" s="39"/>
      <c r="L114" s="39"/>
      <c r="M114" s="39"/>
      <c r="N114" s="39"/>
      <c r="O114" s="39"/>
      <c r="P114" s="39"/>
      <c r="Q114" s="39"/>
      <c r="R114" s="39"/>
      <c r="S114" s="39"/>
      <c r="T114" s="39"/>
      <c r="AI114" s="37"/>
      <c r="AR114" s="61"/>
      <c r="AY114" s="146"/>
    </row>
    <row r="115" ht="31.5" customHeight="1">
      <c r="C115" s="98"/>
      <c r="D115" s="38"/>
      <c r="E115" s="38"/>
      <c r="F115" s="98"/>
      <c r="G115" s="39"/>
      <c r="H115" s="39"/>
      <c r="I115" s="39"/>
      <c r="J115" s="39"/>
      <c r="K115" s="39"/>
      <c r="L115" s="39"/>
      <c r="M115" s="39"/>
      <c r="N115" s="39"/>
      <c r="O115" s="39"/>
      <c r="P115" s="39"/>
      <c r="Q115" s="39"/>
      <c r="R115" s="39"/>
      <c r="S115" s="39"/>
      <c r="T115" s="39"/>
      <c r="AI115" s="37"/>
      <c r="AR115" s="61"/>
      <c r="AY115" s="146"/>
    </row>
    <row r="116" ht="31.5" customHeight="1">
      <c r="C116" s="98"/>
      <c r="D116" s="38"/>
      <c r="E116" s="38"/>
      <c r="F116" s="98"/>
      <c r="G116" s="39"/>
      <c r="H116" s="39"/>
      <c r="I116" s="39"/>
      <c r="J116" s="39"/>
      <c r="K116" s="39"/>
      <c r="L116" s="39"/>
      <c r="M116" s="39"/>
      <c r="N116" s="39"/>
      <c r="O116" s="39"/>
      <c r="P116" s="39"/>
      <c r="Q116" s="39"/>
      <c r="R116" s="39"/>
      <c r="S116" s="39"/>
      <c r="T116" s="39"/>
      <c r="AI116" s="37"/>
      <c r="AR116" s="61"/>
      <c r="AY116" s="146"/>
    </row>
    <row r="117" ht="31.5" customHeight="1">
      <c r="C117" s="98"/>
      <c r="D117" s="38"/>
      <c r="E117" s="38"/>
      <c r="F117" s="98"/>
      <c r="G117" s="39"/>
      <c r="H117" s="39"/>
      <c r="I117" s="39"/>
      <c r="J117" s="39"/>
      <c r="K117" s="39"/>
      <c r="L117" s="39"/>
      <c r="M117" s="39"/>
      <c r="N117" s="39"/>
      <c r="O117" s="39"/>
      <c r="P117" s="39"/>
      <c r="Q117" s="39"/>
      <c r="R117" s="39"/>
      <c r="S117" s="39"/>
      <c r="T117" s="39"/>
      <c r="AI117" s="37"/>
      <c r="AR117" s="61"/>
      <c r="AY117" s="146"/>
    </row>
    <row r="118" ht="31.5" customHeight="1">
      <c r="C118" s="98"/>
      <c r="D118" s="38"/>
      <c r="E118" s="38"/>
      <c r="F118" s="98"/>
      <c r="G118" s="39"/>
      <c r="H118" s="39"/>
      <c r="I118" s="39"/>
      <c r="J118" s="39"/>
      <c r="K118" s="39"/>
      <c r="L118" s="39"/>
      <c r="M118" s="39"/>
      <c r="N118" s="39"/>
      <c r="O118" s="39"/>
      <c r="P118" s="39"/>
      <c r="Q118" s="39"/>
      <c r="R118" s="39"/>
      <c r="S118" s="39"/>
      <c r="T118" s="39"/>
      <c r="AI118" s="37"/>
      <c r="AR118" s="61"/>
      <c r="AY118" s="146"/>
    </row>
    <row r="119" ht="31.5" customHeight="1">
      <c r="C119" s="98"/>
      <c r="D119" s="38"/>
      <c r="E119" s="38"/>
      <c r="F119" s="98"/>
      <c r="G119" s="39"/>
      <c r="H119" s="39"/>
      <c r="I119" s="39"/>
      <c r="J119" s="39"/>
      <c r="K119" s="39"/>
      <c r="L119" s="39"/>
      <c r="M119" s="39"/>
      <c r="N119" s="39"/>
      <c r="O119" s="39"/>
      <c r="P119" s="39"/>
      <c r="Q119" s="39"/>
      <c r="R119" s="39"/>
      <c r="S119" s="39"/>
      <c r="T119" s="39"/>
      <c r="AI119" s="37"/>
      <c r="AR119" s="61"/>
      <c r="AY119" s="146"/>
    </row>
    <row r="120" ht="31.5" customHeight="1">
      <c r="C120" s="98"/>
      <c r="D120" s="38"/>
      <c r="E120" s="38"/>
      <c r="F120" s="98"/>
      <c r="G120" s="39"/>
      <c r="H120" s="39"/>
      <c r="I120" s="39"/>
      <c r="J120" s="39"/>
      <c r="K120" s="39"/>
      <c r="L120" s="39"/>
      <c r="M120" s="39"/>
      <c r="N120" s="39"/>
      <c r="O120" s="39"/>
      <c r="P120" s="39"/>
      <c r="Q120" s="39"/>
      <c r="R120" s="39"/>
      <c r="S120" s="39"/>
      <c r="T120" s="39"/>
      <c r="AI120" s="37"/>
      <c r="AR120" s="61"/>
      <c r="AY120" s="146"/>
    </row>
    <row r="121" ht="31.5" customHeight="1">
      <c r="C121" s="98"/>
      <c r="D121" s="38"/>
      <c r="E121" s="38"/>
      <c r="F121" s="98"/>
      <c r="G121" s="39"/>
      <c r="H121" s="39"/>
      <c r="I121" s="39"/>
      <c r="J121" s="39"/>
      <c r="K121" s="39"/>
      <c r="L121" s="39"/>
      <c r="M121" s="39"/>
      <c r="N121" s="39"/>
      <c r="O121" s="39"/>
      <c r="P121" s="39"/>
      <c r="Q121" s="39"/>
      <c r="R121" s="39"/>
      <c r="S121" s="39"/>
      <c r="T121" s="39"/>
      <c r="AI121" s="37"/>
      <c r="AR121" s="61"/>
      <c r="AY121" s="146"/>
    </row>
    <row r="122" ht="31.5" customHeight="1">
      <c r="C122" s="98"/>
      <c r="D122" s="38"/>
      <c r="E122" s="38"/>
      <c r="F122" s="98"/>
      <c r="G122" s="39"/>
      <c r="H122" s="39"/>
      <c r="I122" s="39"/>
      <c r="J122" s="39"/>
      <c r="K122" s="39"/>
      <c r="L122" s="39"/>
      <c r="M122" s="39"/>
      <c r="N122" s="39"/>
      <c r="O122" s="39"/>
      <c r="P122" s="39"/>
      <c r="Q122" s="39"/>
      <c r="R122" s="39"/>
      <c r="S122" s="39"/>
      <c r="T122" s="39"/>
      <c r="AI122" s="37"/>
      <c r="AR122" s="61"/>
      <c r="AY122" s="146"/>
    </row>
    <row r="123" ht="31.5" customHeight="1">
      <c r="C123" s="98"/>
      <c r="D123" s="38"/>
      <c r="E123" s="38"/>
      <c r="F123" s="98"/>
      <c r="G123" s="39"/>
      <c r="H123" s="39"/>
      <c r="I123" s="39"/>
      <c r="J123" s="39"/>
      <c r="K123" s="39"/>
      <c r="L123" s="39"/>
      <c r="M123" s="39"/>
      <c r="N123" s="39"/>
      <c r="O123" s="39"/>
      <c r="P123" s="39"/>
      <c r="Q123" s="39"/>
      <c r="R123" s="39"/>
      <c r="S123" s="39"/>
      <c r="T123" s="39"/>
      <c r="AI123" s="37"/>
      <c r="AR123" s="61"/>
      <c r="AY123" s="146"/>
    </row>
    <row r="124" ht="31.5" customHeight="1">
      <c r="C124" s="98"/>
      <c r="D124" s="38"/>
      <c r="E124" s="38"/>
      <c r="F124" s="98"/>
      <c r="G124" s="39"/>
      <c r="H124" s="39"/>
      <c r="I124" s="39"/>
      <c r="J124" s="39"/>
      <c r="K124" s="39"/>
      <c r="L124" s="39"/>
      <c r="M124" s="39"/>
      <c r="N124" s="39"/>
      <c r="O124" s="39"/>
      <c r="P124" s="39"/>
      <c r="Q124" s="39"/>
      <c r="R124" s="39"/>
      <c r="S124" s="39"/>
      <c r="T124" s="39"/>
      <c r="AI124" s="37"/>
      <c r="AR124" s="61"/>
      <c r="AY124" s="146"/>
    </row>
    <row r="125" ht="31.5" customHeight="1">
      <c r="C125" s="98"/>
      <c r="D125" s="38"/>
      <c r="E125" s="38"/>
      <c r="F125" s="98"/>
      <c r="G125" s="39"/>
      <c r="H125" s="39"/>
      <c r="I125" s="39"/>
      <c r="J125" s="39"/>
      <c r="K125" s="39"/>
      <c r="L125" s="39"/>
      <c r="M125" s="39"/>
      <c r="N125" s="39"/>
      <c r="O125" s="39"/>
      <c r="P125" s="39"/>
      <c r="Q125" s="39"/>
      <c r="R125" s="39"/>
      <c r="S125" s="39"/>
      <c r="T125" s="39"/>
      <c r="AI125" s="37"/>
      <c r="AR125" s="61"/>
      <c r="AY125" s="146"/>
    </row>
    <row r="126" ht="31.5" customHeight="1">
      <c r="C126" s="98"/>
      <c r="D126" s="38"/>
      <c r="E126" s="38"/>
      <c r="F126" s="98"/>
      <c r="G126" s="39"/>
      <c r="H126" s="39"/>
      <c r="I126" s="39"/>
      <c r="J126" s="39"/>
      <c r="K126" s="39"/>
      <c r="L126" s="39"/>
      <c r="M126" s="39"/>
      <c r="N126" s="39"/>
      <c r="O126" s="39"/>
      <c r="P126" s="39"/>
      <c r="Q126" s="39"/>
      <c r="R126" s="39"/>
      <c r="S126" s="39"/>
      <c r="T126" s="39"/>
      <c r="AI126" s="37"/>
      <c r="AR126" s="61"/>
      <c r="AY126" s="146"/>
    </row>
    <row r="127" ht="31.5" customHeight="1">
      <c r="C127" s="98"/>
      <c r="D127" s="38"/>
      <c r="E127" s="38"/>
      <c r="F127" s="98"/>
      <c r="G127" s="39"/>
      <c r="H127" s="39"/>
      <c r="I127" s="39"/>
      <c r="J127" s="39"/>
      <c r="K127" s="39"/>
      <c r="L127" s="39"/>
      <c r="M127" s="39"/>
      <c r="N127" s="39"/>
      <c r="O127" s="39"/>
      <c r="P127" s="39"/>
      <c r="Q127" s="39"/>
      <c r="R127" s="39"/>
      <c r="S127" s="39"/>
      <c r="T127" s="39"/>
      <c r="AI127" s="37"/>
      <c r="AR127" s="61"/>
      <c r="AY127" s="146"/>
    </row>
    <row r="128" ht="31.5" customHeight="1">
      <c r="C128" s="98"/>
      <c r="D128" s="38"/>
      <c r="E128" s="38"/>
      <c r="F128" s="98"/>
      <c r="G128" s="39"/>
      <c r="H128" s="39"/>
      <c r="I128" s="39"/>
      <c r="J128" s="39"/>
      <c r="K128" s="39"/>
      <c r="L128" s="39"/>
      <c r="M128" s="39"/>
      <c r="N128" s="39"/>
      <c r="O128" s="39"/>
      <c r="P128" s="39"/>
      <c r="Q128" s="39"/>
      <c r="R128" s="39"/>
      <c r="S128" s="39"/>
      <c r="T128" s="39"/>
      <c r="AI128" s="37"/>
      <c r="AR128" s="61"/>
      <c r="AY128" s="146"/>
    </row>
    <row r="129" ht="31.5" customHeight="1">
      <c r="C129" s="98"/>
      <c r="D129" s="38"/>
      <c r="E129" s="38"/>
      <c r="F129" s="98"/>
      <c r="G129" s="39"/>
      <c r="H129" s="39"/>
      <c r="I129" s="39"/>
      <c r="J129" s="39"/>
      <c r="K129" s="39"/>
      <c r="L129" s="39"/>
      <c r="M129" s="39"/>
      <c r="N129" s="39"/>
      <c r="O129" s="39"/>
      <c r="P129" s="39"/>
      <c r="Q129" s="39"/>
      <c r="R129" s="39"/>
      <c r="S129" s="39"/>
      <c r="T129" s="39"/>
      <c r="AI129" s="37"/>
      <c r="AR129" s="61"/>
      <c r="AY129" s="146"/>
    </row>
    <row r="130" ht="31.5" customHeight="1">
      <c r="C130" s="98"/>
      <c r="D130" s="38"/>
      <c r="E130" s="38"/>
      <c r="F130" s="98"/>
      <c r="G130" s="39"/>
      <c r="H130" s="39"/>
      <c r="I130" s="39"/>
      <c r="J130" s="39"/>
      <c r="K130" s="39"/>
      <c r="L130" s="39"/>
      <c r="M130" s="39"/>
      <c r="N130" s="39"/>
      <c r="O130" s="39"/>
      <c r="P130" s="39"/>
      <c r="Q130" s="39"/>
      <c r="R130" s="39"/>
      <c r="S130" s="39"/>
      <c r="T130" s="39"/>
      <c r="AI130" s="37"/>
      <c r="AR130" s="61"/>
      <c r="AY130" s="146"/>
    </row>
    <row r="131" ht="31.5" customHeight="1">
      <c r="C131" s="98"/>
      <c r="D131" s="38"/>
      <c r="E131" s="38"/>
      <c r="F131" s="98"/>
      <c r="G131" s="39"/>
      <c r="H131" s="39"/>
      <c r="I131" s="39"/>
      <c r="J131" s="39"/>
      <c r="K131" s="39"/>
      <c r="L131" s="39"/>
      <c r="M131" s="39"/>
      <c r="N131" s="39"/>
      <c r="O131" s="39"/>
      <c r="P131" s="39"/>
      <c r="Q131" s="39"/>
      <c r="R131" s="39"/>
      <c r="S131" s="39"/>
      <c r="T131" s="39"/>
      <c r="AI131" s="37"/>
      <c r="AR131" s="61"/>
      <c r="AY131" s="146"/>
    </row>
    <row r="132" ht="31.5" customHeight="1">
      <c r="C132" s="98"/>
      <c r="D132" s="38"/>
      <c r="E132" s="38"/>
      <c r="F132" s="98"/>
      <c r="G132" s="39"/>
      <c r="H132" s="39"/>
      <c r="I132" s="39"/>
      <c r="J132" s="39"/>
      <c r="K132" s="39"/>
      <c r="L132" s="39"/>
      <c r="M132" s="39"/>
      <c r="N132" s="39"/>
      <c r="O132" s="39"/>
      <c r="P132" s="39"/>
      <c r="Q132" s="39"/>
      <c r="R132" s="39"/>
      <c r="S132" s="39"/>
      <c r="T132" s="39"/>
      <c r="AI132" s="37"/>
      <c r="AR132" s="61"/>
      <c r="AY132" s="146"/>
    </row>
    <row r="133" ht="31.5" customHeight="1">
      <c r="C133" s="98"/>
      <c r="D133" s="38"/>
      <c r="E133" s="38"/>
      <c r="F133" s="98"/>
      <c r="G133" s="39"/>
      <c r="H133" s="39"/>
      <c r="I133" s="39"/>
      <c r="J133" s="39"/>
      <c r="K133" s="39"/>
      <c r="L133" s="39"/>
      <c r="M133" s="39"/>
      <c r="N133" s="39"/>
      <c r="O133" s="39"/>
      <c r="P133" s="39"/>
      <c r="Q133" s="39"/>
      <c r="R133" s="39"/>
      <c r="S133" s="39"/>
      <c r="T133" s="39"/>
      <c r="AI133" s="37"/>
      <c r="AR133" s="61"/>
      <c r="AY133" s="146"/>
    </row>
    <row r="134" ht="31.5" customHeight="1">
      <c r="C134" s="98"/>
      <c r="D134" s="38"/>
      <c r="E134" s="38"/>
      <c r="F134" s="98"/>
      <c r="G134" s="39"/>
      <c r="H134" s="39"/>
      <c r="I134" s="39"/>
      <c r="J134" s="39"/>
      <c r="K134" s="39"/>
      <c r="L134" s="39"/>
      <c r="M134" s="39"/>
      <c r="N134" s="39"/>
      <c r="O134" s="39"/>
      <c r="P134" s="39"/>
      <c r="Q134" s="39"/>
      <c r="R134" s="39"/>
      <c r="S134" s="39"/>
      <c r="T134" s="39"/>
      <c r="AI134" s="37"/>
      <c r="AR134" s="61"/>
      <c r="AY134" s="146"/>
    </row>
    <row r="135" ht="31.5" customHeight="1">
      <c r="C135" s="98"/>
      <c r="D135" s="38"/>
      <c r="E135" s="38"/>
      <c r="F135" s="98"/>
      <c r="G135" s="39"/>
      <c r="H135" s="39"/>
      <c r="I135" s="39"/>
      <c r="J135" s="39"/>
      <c r="K135" s="39"/>
      <c r="L135" s="39"/>
      <c r="M135" s="39"/>
      <c r="N135" s="39"/>
      <c r="O135" s="39"/>
      <c r="P135" s="39"/>
      <c r="Q135" s="39"/>
      <c r="R135" s="39"/>
      <c r="S135" s="39"/>
      <c r="T135" s="39"/>
      <c r="AI135" s="37"/>
      <c r="AR135" s="61"/>
      <c r="AY135" s="146"/>
    </row>
    <row r="136" ht="31.5" customHeight="1">
      <c r="C136" s="98"/>
      <c r="D136" s="38"/>
      <c r="E136" s="38"/>
      <c r="F136" s="98"/>
      <c r="G136" s="39"/>
      <c r="H136" s="39"/>
      <c r="I136" s="39"/>
      <c r="J136" s="39"/>
      <c r="K136" s="39"/>
      <c r="L136" s="39"/>
      <c r="M136" s="39"/>
      <c r="N136" s="39"/>
      <c r="O136" s="39"/>
      <c r="P136" s="39"/>
      <c r="Q136" s="39"/>
      <c r="R136" s="39"/>
      <c r="S136" s="39"/>
      <c r="T136" s="39"/>
      <c r="AI136" s="37"/>
      <c r="AR136" s="61"/>
      <c r="AY136" s="146"/>
    </row>
    <row r="137" ht="31.5" customHeight="1">
      <c r="C137" s="98"/>
      <c r="D137" s="38"/>
      <c r="E137" s="38"/>
      <c r="F137" s="98"/>
      <c r="G137" s="39"/>
      <c r="H137" s="39"/>
      <c r="I137" s="39"/>
      <c r="J137" s="39"/>
      <c r="K137" s="39"/>
      <c r="L137" s="39"/>
      <c r="M137" s="39"/>
      <c r="N137" s="39"/>
      <c r="O137" s="39"/>
      <c r="P137" s="39"/>
      <c r="Q137" s="39"/>
      <c r="R137" s="39"/>
      <c r="S137" s="39"/>
      <c r="T137" s="39"/>
      <c r="AI137" s="37"/>
      <c r="AR137" s="61"/>
      <c r="AY137" s="146"/>
    </row>
    <row r="138" ht="31.5" customHeight="1">
      <c r="C138" s="98"/>
      <c r="D138" s="38"/>
      <c r="E138" s="38"/>
      <c r="F138" s="98"/>
      <c r="G138" s="39"/>
      <c r="H138" s="39"/>
      <c r="I138" s="39"/>
      <c r="J138" s="39"/>
      <c r="K138" s="39"/>
      <c r="L138" s="39"/>
      <c r="M138" s="39"/>
      <c r="N138" s="39"/>
      <c r="O138" s="39"/>
      <c r="P138" s="39"/>
      <c r="Q138" s="39"/>
      <c r="R138" s="39"/>
      <c r="S138" s="39"/>
      <c r="T138" s="39"/>
      <c r="AI138" s="37"/>
      <c r="AR138" s="61"/>
      <c r="AY138" s="146"/>
    </row>
    <row r="139" ht="31.5" customHeight="1">
      <c r="C139" s="98"/>
      <c r="D139" s="38"/>
      <c r="E139" s="38"/>
      <c r="F139" s="98"/>
      <c r="G139" s="39"/>
      <c r="H139" s="39"/>
      <c r="I139" s="39"/>
      <c r="J139" s="39"/>
      <c r="K139" s="39"/>
      <c r="L139" s="39"/>
      <c r="M139" s="39"/>
      <c r="N139" s="39"/>
      <c r="O139" s="39"/>
      <c r="P139" s="39"/>
      <c r="Q139" s="39"/>
      <c r="R139" s="39"/>
      <c r="S139" s="39"/>
      <c r="T139" s="39"/>
      <c r="AI139" s="37"/>
      <c r="AR139" s="61"/>
      <c r="AY139" s="146"/>
    </row>
    <row r="140" ht="31.5" customHeight="1">
      <c r="C140" s="98"/>
      <c r="D140" s="38"/>
      <c r="E140" s="38"/>
      <c r="F140" s="98"/>
      <c r="G140" s="39"/>
      <c r="H140" s="39"/>
      <c r="I140" s="39"/>
      <c r="J140" s="39"/>
      <c r="K140" s="39"/>
      <c r="L140" s="39"/>
      <c r="M140" s="39"/>
      <c r="N140" s="39"/>
      <c r="O140" s="39"/>
      <c r="P140" s="39"/>
      <c r="Q140" s="39"/>
      <c r="R140" s="39"/>
      <c r="S140" s="39"/>
      <c r="T140" s="39"/>
      <c r="AI140" s="37"/>
      <c r="AR140" s="61"/>
      <c r="AY140" s="146"/>
    </row>
    <row r="141" ht="31.5" customHeight="1">
      <c r="C141" s="98"/>
      <c r="D141" s="38"/>
      <c r="E141" s="38"/>
      <c r="F141" s="98"/>
      <c r="G141" s="39"/>
      <c r="H141" s="39"/>
      <c r="I141" s="39"/>
      <c r="J141" s="39"/>
      <c r="K141" s="39"/>
      <c r="L141" s="39"/>
      <c r="M141" s="39"/>
      <c r="N141" s="39"/>
      <c r="O141" s="39"/>
      <c r="P141" s="39"/>
      <c r="Q141" s="39"/>
      <c r="R141" s="39"/>
      <c r="S141" s="39"/>
      <c r="T141" s="39"/>
      <c r="AI141" s="37"/>
      <c r="AR141" s="61"/>
      <c r="AY141" s="146"/>
    </row>
    <row r="142" ht="31.5" customHeight="1">
      <c r="C142" s="98"/>
      <c r="D142" s="38"/>
      <c r="E142" s="38"/>
      <c r="F142" s="98"/>
      <c r="G142" s="39"/>
      <c r="H142" s="39"/>
      <c r="I142" s="39"/>
      <c r="J142" s="39"/>
      <c r="K142" s="39"/>
      <c r="L142" s="39"/>
      <c r="M142" s="39"/>
      <c r="N142" s="39"/>
      <c r="O142" s="39"/>
      <c r="P142" s="39"/>
      <c r="Q142" s="39"/>
      <c r="R142" s="39"/>
      <c r="S142" s="39"/>
      <c r="T142" s="39"/>
      <c r="AI142" s="37"/>
      <c r="AR142" s="61"/>
      <c r="AY142" s="146"/>
    </row>
    <row r="143" ht="31.5" customHeight="1">
      <c r="C143" s="98"/>
      <c r="D143" s="38"/>
      <c r="E143" s="38"/>
      <c r="F143" s="98"/>
      <c r="G143" s="39"/>
      <c r="H143" s="39"/>
      <c r="I143" s="39"/>
      <c r="J143" s="39"/>
      <c r="K143" s="39"/>
      <c r="L143" s="39"/>
      <c r="M143" s="39"/>
      <c r="N143" s="39"/>
      <c r="O143" s="39"/>
      <c r="P143" s="39"/>
      <c r="Q143" s="39"/>
      <c r="R143" s="39"/>
      <c r="S143" s="39"/>
      <c r="T143" s="39"/>
      <c r="AI143" s="37"/>
      <c r="AR143" s="61"/>
      <c r="AY143" s="146"/>
    </row>
    <row r="144" ht="31.5" customHeight="1">
      <c r="C144" s="98"/>
      <c r="D144" s="38"/>
      <c r="E144" s="38"/>
      <c r="F144" s="98"/>
      <c r="G144" s="39"/>
      <c r="H144" s="39"/>
      <c r="I144" s="39"/>
      <c r="J144" s="39"/>
      <c r="K144" s="39"/>
      <c r="L144" s="39"/>
      <c r="M144" s="39"/>
      <c r="N144" s="39"/>
      <c r="O144" s="39"/>
      <c r="P144" s="39"/>
      <c r="Q144" s="39"/>
      <c r="R144" s="39"/>
      <c r="S144" s="39"/>
      <c r="T144" s="39"/>
      <c r="AI144" s="37"/>
      <c r="AR144" s="61"/>
      <c r="AY144" s="146"/>
    </row>
    <row r="145" ht="31.5" customHeight="1">
      <c r="C145" s="98"/>
      <c r="D145" s="38"/>
      <c r="E145" s="38"/>
      <c r="F145" s="98"/>
      <c r="G145" s="39"/>
      <c r="H145" s="39"/>
      <c r="I145" s="39"/>
      <c r="J145" s="39"/>
      <c r="K145" s="39"/>
      <c r="L145" s="39"/>
      <c r="M145" s="39"/>
      <c r="N145" s="39"/>
      <c r="O145" s="39"/>
      <c r="P145" s="39"/>
      <c r="Q145" s="39"/>
      <c r="R145" s="39"/>
      <c r="S145" s="39"/>
      <c r="T145" s="39"/>
      <c r="AI145" s="37"/>
      <c r="AR145" s="61"/>
      <c r="AY145" s="146"/>
    </row>
    <row r="146" ht="31.5" customHeight="1">
      <c r="C146" s="98"/>
      <c r="D146" s="38"/>
      <c r="E146" s="38"/>
      <c r="F146" s="98"/>
      <c r="G146" s="39"/>
      <c r="H146" s="39"/>
      <c r="I146" s="39"/>
      <c r="J146" s="39"/>
      <c r="K146" s="39"/>
      <c r="L146" s="39"/>
      <c r="M146" s="39"/>
      <c r="N146" s="39"/>
      <c r="O146" s="39"/>
      <c r="P146" s="39"/>
      <c r="Q146" s="39"/>
      <c r="R146" s="39"/>
      <c r="S146" s="39"/>
      <c r="T146" s="39"/>
      <c r="AI146" s="37"/>
      <c r="AR146" s="61"/>
      <c r="AY146" s="146"/>
    </row>
    <row r="147" ht="31.5" customHeight="1">
      <c r="C147" s="98"/>
      <c r="D147" s="38"/>
      <c r="E147" s="38"/>
      <c r="F147" s="98"/>
      <c r="G147" s="39"/>
      <c r="H147" s="39"/>
      <c r="I147" s="39"/>
      <c r="J147" s="39"/>
      <c r="K147" s="39"/>
      <c r="L147" s="39"/>
      <c r="M147" s="39"/>
      <c r="N147" s="39"/>
      <c r="O147" s="39"/>
      <c r="P147" s="39"/>
      <c r="Q147" s="39"/>
      <c r="R147" s="39"/>
      <c r="S147" s="39"/>
      <c r="T147" s="39"/>
      <c r="AI147" s="37"/>
      <c r="AR147" s="61"/>
      <c r="AY147" s="146"/>
    </row>
    <row r="148" ht="31.5" customHeight="1">
      <c r="C148" s="98"/>
      <c r="D148" s="38"/>
      <c r="E148" s="38"/>
      <c r="F148" s="98"/>
      <c r="G148" s="39"/>
      <c r="H148" s="39"/>
      <c r="I148" s="39"/>
      <c r="J148" s="39"/>
      <c r="K148" s="39"/>
      <c r="L148" s="39"/>
      <c r="M148" s="39"/>
      <c r="N148" s="39"/>
      <c r="O148" s="39"/>
      <c r="P148" s="39"/>
      <c r="Q148" s="39"/>
      <c r="R148" s="39"/>
      <c r="S148" s="39"/>
      <c r="T148" s="39"/>
      <c r="AI148" s="37"/>
      <c r="AR148" s="61"/>
      <c r="AY148" s="146"/>
    </row>
    <row r="149" ht="31.5" customHeight="1">
      <c r="C149" s="98"/>
      <c r="D149" s="38"/>
      <c r="E149" s="38"/>
      <c r="F149" s="98"/>
      <c r="G149" s="39"/>
      <c r="H149" s="39"/>
      <c r="I149" s="39"/>
      <c r="J149" s="39"/>
      <c r="K149" s="39"/>
      <c r="L149" s="39"/>
      <c r="M149" s="39"/>
      <c r="N149" s="39"/>
      <c r="O149" s="39"/>
      <c r="P149" s="39"/>
      <c r="Q149" s="39"/>
      <c r="R149" s="39"/>
      <c r="S149" s="39"/>
      <c r="T149" s="39"/>
      <c r="AI149" s="37"/>
      <c r="AR149" s="61"/>
      <c r="AY149" s="146"/>
    </row>
    <row r="150" ht="31.5" customHeight="1">
      <c r="C150" s="98"/>
      <c r="D150" s="38"/>
      <c r="E150" s="38"/>
      <c r="F150" s="98"/>
      <c r="G150" s="39"/>
      <c r="H150" s="39"/>
      <c r="I150" s="39"/>
      <c r="J150" s="39"/>
      <c r="K150" s="39"/>
      <c r="L150" s="39"/>
      <c r="M150" s="39"/>
      <c r="N150" s="39"/>
      <c r="O150" s="39"/>
      <c r="P150" s="39"/>
      <c r="Q150" s="39"/>
      <c r="R150" s="39"/>
      <c r="S150" s="39"/>
      <c r="T150" s="39"/>
      <c r="AI150" s="37"/>
      <c r="AR150" s="61"/>
      <c r="AY150" s="146"/>
    </row>
    <row r="151" ht="31.5" customHeight="1">
      <c r="C151" s="98"/>
      <c r="D151" s="38"/>
      <c r="E151" s="38"/>
      <c r="F151" s="98"/>
      <c r="G151" s="39"/>
      <c r="H151" s="39"/>
      <c r="I151" s="39"/>
      <c r="J151" s="39"/>
      <c r="K151" s="39"/>
      <c r="L151" s="39"/>
      <c r="M151" s="39"/>
      <c r="N151" s="39"/>
      <c r="O151" s="39"/>
      <c r="P151" s="39"/>
      <c r="Q151" s="39"/>
      <c r="R151" s="39"/>
      <c r="S151" s="39"/>
      <c r="T151" s="39"/>
      <c r="AI151" s="37"/>
      <c r="AR151" s="61"/>
      <c r="AY151" s="146"/>
    </row>
    <row r="152" ht="31.5" customHeight="1">
      <c r="C152" s="98"/>
      <c r="D152" s="38"/>
      <c r="E152" s="38"/>
      <c r="F152" s="98"/>
      <c r="G152" s="39"/>
      <c r="H152" s="39"/>
      <c r="I152" s="39"/>
      <c r="J152" s="39"/>
      <c r="K152" s="39"/>
      <c r="L152" s="39"/>
      <c r="M152" s="39"/>
      <c r="N152" s="39"/>
      <c r="O152" s="39"/>
      <c r="P152" s="39"/>
      <c r="Q152" s="39"/>
      <c r="R152" s="39"/>
      <c r="S152" s="39"/>
      <c r="T152" s="39"/>
      <c r="AI152" s="37"/>
      <c r="AR152" s="61"/>
      <c r="AY152" s="146"/>
    </row>
    <row r="153" ht="31.5" customHeight="1">
      <c r="C153" s="98"/>
      <c r="D153" s="38"/>
      <c r="E153" s="38"/>
      <c r="F153" s="98"/>
      <c r="G153" s="39"/>
      <c r="H153" s="39"/>
      <c r="I153" s="39"/>
      <c r="J153" s="39"/>
      <c r="K153" s="39"/>
      <c r="L153" s="39"/>
      <c r="M153" s="39"/>
      <c r="N153" s="39"/>
      <c r="O153" s="39"/>
      <c r="P153" s="39"/>
      <c r="Q153" s="39"/>
      <c r="R153" s="39"/>
      <c r="S153" s="39"/>
      <c r="T153" s="39"/>
      <c r="AI153" s="37"/>
      <c r="AR153" s="61"/>
      <c r="AY153" s="146"/>
    </row>
    <row r="154" ht="31.5" customHeight="1">
      <c r="C154" s="98"/>
      <c r="D154" s="38"/>
      <c r="E154" s="38"/>
      <c r="F154" s="98"/>
      <c r="G154" s="39"/>
      <c r="H154" s="39"/>
      <c r="I154" s="39"/>
      <c r="J154" s="39"/>
      <c r="K154" s="39"/>
      <c r="L154" s="39"/>
      <c r="M154" s="39"/>
      <c r="N154" s="39"/>
      <c r="O154" s="39"/>
      <c r="P154" s="39"/>
      <c r="Q154" s="39"/>
      <c r="R154" s="39"/>
      <c r="S154" s="39"/>
      <c r="T154" s="39"/>
      <c r="AI154" s="37"/>
      <c r="AR154" s="61"/>
      <c r="AY154" s="146"/>
    </row>
    <row r="155" ht="31.5" customHeight="1">
      <c r="C155" s="98"/>
      <c r="D155" s="38"/>
      <c r="E155" s="38"/>
      <c r="F155" s="98"/>
      <c r="G155" s="39"/>
      <c r="H155" s="39"/>
      <c r="I155" s="39"/>
      <c r="J155" s="39"/>
      <c r="K155" s="39"/>
      <c r="L155" s="39"/>
      <c r="M155" s="39"/>
      <c r="N155" s="39"/>
      <c r="O155" s="39"/>
      <c r="P155" s="39"/>
      <c r="Q155" s="39"/>
      <c r="R155" s="39"/>
      <c r="S155" s="39"/>
      <c r="T155" s="39"/>
      <c r="AI155" s="37"/>
      <c r="AR155" s="61"/>
      <c r="AY155" s="146"/>
    </row>
    <row r="156" ht="31.5" customHeight="1">
      <c r="C156" s="98"/>
      <c r="D156" s="38"/>
      <c r="E156" s="38"/>
      <c r="F156" s="98"/>
      <c r="G156" s="39"/>
      <c r="H156" s="39"/>
      <c r="I156" s="39"/>
      <c r="J156" s="39"/>
      <c r="K156" s="39"/>
      <c r="L156" s="39"/>
      <c r="M156" s="39"/>
      <c r="N156" s="39"/>
      <c r="O156" s="39"/>
      <c r="P156" s="39"/>
      <c r="Q156" s="39"/>
      <c r="R156" s="39"/>
      <c r="S156" s="39"/>
      <c r="T156" s="39"/>
      <c r="AI156" s="37"/>
      <c r="AR156" s="61"/>
      <c r="AY156" s="146"/>
    </row>
    <row r="157" ht="31.5" customHeight="1">
      <c r="C157" s="98"/>
      <c r="D157" s="38"/>
      <c r="E157" s="38"/>
      <c r="F157" s="98"/>
      <c r="G157" s="39"/>
      <c r="H157" s="39"/>
      <c r="I157" s="39"/>
      <c r="J157" s="39"/>
      <c r="K157" s="39"/>
      <c r="L157" s="39"/>
      <c r="M157" s="39"/>
      <c r="N157" s="39"/>
      <c r="O157" s="39"/>
      <c r="P157" s="39"/>
      <c r="Q157" s="39"/>
      <c r="R157" s="39"/>
      <c r="S157" s="39"/>
      <c r="T157" s="39"/>
      <c r="AI157" s="37"/>
      <c r="AR157" s="61"/>
      <c r="AY157" s="146"/>
    </row>
    <row r="158" ht="31.5" customHeight="1">
      <c r="C158" s="98"/>
      <c r="D158" s="38"/>
      <c r="E158" s="38"/>
      <c r="F158" s="98"/>
      <c r="G158" s="39"/>
      <c r="H158" s="39"/>
      <c r="I158" s="39"/>
      <c r="J158" s="39"/>
      <c r="K158" s="39"/>
      <c r="L158" s="39"/>
      <c r="M158" s="39"/>
      <c r="N158" s="39"/>
      <c r="O158" s="39"/>
      <c r="P158" s="39"/>
      <c r="Q158" s="39"/>
      <c r="R158" s="39"/>
      <c r="S158" s="39"/>
      <c r="T158" s="39"/>
      <c r="AI158" s="37"/>
      <c r="AR158" s="61"/>
      <c r="AY158" s="146"/>
    </row>
    <row r="159" ht="31.5" customHeight="1">
      <c r="C159" s="98"/>
      <c r="D159" s="38"/>
      <c r="E159" s="38"/>
      <c r="F159" s="98"/>
      <c r="G159" s="39"/>
      <c r="H159" s="39"/>
      <c r="I159" s="39"/>
      <c r="J159" s="39"/>
      <c r="K159" s="39"/>
      <c r="L159" s="39"/>
      <c r="M159" s="39"/>
      <c r="N159" s="39"/>
      <c r="O159" s="39"/>
      <c r="P159" s="39"/>
      <c r="Q159" s="39"/>
      <c r="R159" s="39"/>
      <c r="S159" s="39"/>
      <c r="T159" s="39"/>
      <c r="AI159" s="37"/>
      <c r="AR159" s="61"/>
      <c r="AY159" s="146"/>
    </row>
    <row r="160" ht="31.5" customHeight="1">
      <c r="C160" s="98"/>
      <c r="D160" s="38"/>
      <c r="E160" s="38"/>
      <c r="F160" s="98"/>
      <c r="G160" s="39"/>
      <c r="H160" s="39"/>
      <c r="I160" s="39"/>
      <c r="J160" s="39"/>
      <c r="K160" s="39"/>
      <c r="L160" s="39"/>
      <c r="M160" s="39"/>
      <c r="N160" s="39"/>
      <c r="O160" s="39"/>
      <c r="P160" s="39"/>
      <c r="Q160" s="39"/>
      <c r="R160" s="39"/>
      <c r="S160" s="39"/>
      <c r="T160" s="39"/>
      <c r="AI160" s="37"/>
      <c r="AR160" s="61"/>
      <c r="AY160" s="146"/>
    </row>
    <row r="161" ht="31.5" customHeight="1">
      <c r="C161" s="98"/>
      <c r="D161" s="38"/>
      <c r="E161" s="38"/>
      <c r="F161" s="98"/>
      <c r="G161" s="39"/>
      <c r="H161" s="39"/>
      <c r="I161" s="39"/>
      <c r="J161" s="39"/>
      <c r="K161" s="39"/>
      <c r="L161" s="39"/>
      <c r="M161" s="39"/>
      <c r="N161" s="39"/>
      <c r="O161" s="39"/>
      <c r="P161" s="39"/>
      <c r="Q161" s="39"/>
      <c r="R161" s="39"/>
      <c r="S161" s="39"/>
      <c r="T161" s="39"/>
      <c r="AI161" s="37"/>
      <c r="AR161" s="61"/>
      <c r="AY161" s="146"/>
    </row>
    <row r="162" ht="31.5" customHeight="1">
      <c r="C162" s="98"/>
      <c r="D162" s="38"/>
      <c r="E162" s="38"/>
      <c r="F162" s="98"/>
      <c r="G162" s="39"/>
      <c r="H162" s="39"/>
      <c r="I162" s="39"/>
      <c r="J162" s="39"/>
      <c r="K162" s="39"/>
      <c r="L162" s="39"/>
      <c r="M162" s="39"/>
      <c r="N162" s="39"/>
      <c r="O162" s="39"/>
      <c r="P162" s="39"/>
      <c r="Q162" s="39"/>
      <c r="R162" s="39"/>
      <c r="S162" s="39"/>
      <c r="T162" s="39"/>
      <c r="AI162" s="37"/>
      <c r="AR162" s="61"/>
      <c r="AY162" s="146"/>
    </row>
    <row r="163" ht="31.5" customHeight="1">
      <c r="C163" s="98"/>
      <c r="D163" s="38"/>
      <c r="E163" s="38"/>
      <c r="F163" s="98"/>
      <c r="G163" s="39"/>
      <c r="H163" s="39"/>
      <c r="I163" s="39"/>
      <c r="J163" s="39"/>
      <c r="K163" s="39"/>
      <c r="L163" s="39"/>
      <c r="M163" s="39"/>
      <c r="N163" s="39"/>
      <c r="O163" s="39"/>
      <c r="P163" s="39"/>
      <c r="Q163" s="39"/>
      <c r="R163" s="39"/>
      <c r="S163" s="39"/>
      <c r="T163" s="39"/>
      <c r="AI163" s="37"/>
      <c r="AR163" s="61"/>
      <c r="AY163" s="146"/>
    </row>
    <row r="164" ht="31.5" customHeight="1">
      <c r="C164" s="98"/>
      <c r="D164" s="38"/>
      <c r="E164" s="38"/>
      <c r="F164" s="98"/>
      <c r="G164" s="39"/>
      <c r="H164" s="39"/>
      <c r="I164" s="39"/>
      <c r="J164" s="39"/>
      <c r="K164" s="39"/>
      <c r="L164" s="39"/>
      <c r="M164" s="39"/>
      <c r="N164" s="39"/>
      <c r="O164" s="39"/>
      <c r="P164" s="39"/>
      <c r="Q164" s="39"/>
      <c r="R164" s="39"/>
      <c r="S164" s="39"/>
      <c r="T164" s="39"/>
      <c r="AI164" s="37"/>
      <c r="AR164" s="61"/>
      <c r="AY164" s="146"/>
    </row>
    <row r="165" ht="31.5" customHeight="1">
      <c r="C165" s="98"/>
      <c r="D165" s="38"/>
      <c r="E165" s="38"/>
      <c r="F165" s="98"/>
      <c r="G165" s="39"/>
      <c r="H165" s="39"/>
      <c r="I165" s="39"/>
      <c r="J165" s="39"/>
      <c r="K165" s="39"/>
      <c r="L165" s="39"/>
      <c r="M165" s="39"/>
      <c r="N165" s="39"/>
      <c r="O165" s="39"/>
      <c r="P165" s="39"/>
      <c r="Q165" s="39"/>
      <c r="R165" s="39"/>
      <c r="S165" s="39"/>
      <c r="T165" s="39"/>
      <c r="AI165" s="37"/>
      <c r="AR165" s="61"/>
      <c r="AY165" s="146"/>
    </row>
    <row r="166" ht="31.5" customHeight="1">
      <c r="C166" s="98"/>
      <c r="D166" s="38"/>
      <c r="E166" s="38"/>
      <c r="F166" s="98"/>
      <c r="G166" s="39"/>
      <c r="H166" s="39"/>
      <c r="I166" s="39"/>
      <c r="J166" s="39"/>
      <c r="K166" s="39"/>
      <c r="L166" s="39"/>
      <c r="M166" s="39"/>
      <c r="N166" s="39"/>
      <c r="O166" s="39"/>
      <c r="P166" s="39"/>
      <c r="Q166" s="39"/>
      <c r="R166" s="39"/>
      <c r="S166" s="39"/>
      <c r="T166" s="39"/>
      <c r="AI166" s="37"/>
      <c r="AR166" s="61"/>
      <c r="AY166" s="146"/>
    </row>
    <row r="167" ht="31.5" customHeight="1">
      <c r="C167" s="98"/>
      <c r="D167" s="38"/>
      <c r="E167" s="38"/>
      <c r="F167" s="98"/>
      <c r="G167" s="39"/>
      <c r="H167" s="39"/>
      <c r="I167" s="39"/>
      <c r="J167" s="39"/>
      <c r="K167" s="39"/>
      <c r="L167" s="39"/>
      <c r="M167" s="39"/>
      <c r="N167" s="39"/>
      <c r="O167" s="39"/>
      <c r="P167" s="39"/>
      <c r="Q167" s="39"/>
      <c r="R167" s="39"/>
      <c r="S167" s="39"/>
      <c r="T167" s="39"/>
      <c r="AI167" s="37"/>
      <c r="AR167" s="61"/>
      <c r="AY167" s="146"/>
    </row>
    <row r="168" ht="31.5" customHeight="1">
      <c r="C168" s="98"/>
      <c r="D168" s="38"/>
      <c r="E168" s="38"/>
      <c r="F168" s="98"/>
      <c r="G168" s="39"/>
      <c r="H168" s="39"/>
      <c r="I168" s="39"/>
      <c r="J168" s="39"/>
      <c r="K168" s="39"/>
      <c r="L168" s="39"/>
      <c r="M168" s="39"/>
      <c r="N168" s="39"/>
      <c r="O168" s="39"/>
      <c r="P168" s="39"/>
      <c r="Q168" s="39"/>
      <c r="R168" s="39"/>
      <c r="S168" s="39"/>
      <c r="T168" s="39"/>
      <c r="AI168" s="37"/>
      <c r="AR168" s="61"/>
      <c r="AY168" s="146"/>
    </row>
    <row r="169" ht="31.5" customHeight="1">
      <c r="C169" s="98"/>
      <c r="D169" s="38"/>
      <c r="E169" s="38"/>
      <c r="F169" s="98"/>
      <c r="G169" s="39"/>
      <c r="H169" s="39"/>
      <c r="I169" s="39"/>
      <c r="J169" s="39"/>
      <c r="K169" s="39"/>
      <c r="L169" s="39"/>
      <c r="M169" s="39"/>
      <c r="N169" s="39"/>
      <c r="O169" s="39"/>
      <c r="P169" s="39"/>
      <c r="Q169" s="39"/>
      <c r="R169" s="39"/>
      <c r="S169" s="39"/>
      <c r="T169" s="39"/>
      <c r="AI169" s="37"/>
      <c r="AR169" s="61"/>
      <c r="AY169" s="146"/>
    </row>
    <row r="170" ht="31.5" customHeight="1">
      <c r="C170" s="98"/>
      <c r="D170" s="38"/>
      <c r="E170" s="38"/>
      <c r="F170" s="98"/>
      <c r="G170" s="39"/>
      <c r="H170" s="39"/>
      <c r="I170" s="39"/>
      <c r="J170" s="39"/>
      <c r="K170" s="39"/>
      <c r="L170" s="39"/>
      <c r="M170" s="39"/>
      <c r="N170" s="39"/>
      <c r="O170" s="39"/>
      <c r="P170" s="39"/>
      <c r="Q170" s="39"/>
      <c r="R170" s="39"/>
      <c r="S170" s="39"/>
      <c r="T170" s="39"/>
      <c r="AI170" s="37"/>
      <c r="AR170" s="61"/>
      <c r="AY170" s="146"/>
    </row>
    <row r="171" ht="31.5" customHeight="1">
      <c r="C171" s="98"/>
      <c r="D171" s="38"/>
      <c r="E171" s="38"/>
      <c r="F171" s="98"/>
      <c r="G171" s="39"/>
      <c r="H171" s="39"/>
      <c r="I171" s="39"/>
      <c r="J171" s="39"/>
      <c r="K171" s="39"/>
      <c r="L171" s="39"/>
      <c r="M171" s="39"/>
      <c r="N171" s="39"/>
      <c r="O171" s="39"/>
      <c r="P171" s="39"/>
      <c r="Q171" s="39"/>
      <c r="R171" s="39"/>
      <c r="S171" s="39"/>
      <c r="T171" s="39"/>
      <c r="AI171" s="37"/>
      <c r="AR171" s="61"/>
      <c r="AY171" s="146"/>
    </row>
    <row r="172" ht="31.5" customHeight="1">
      <c r="C172" s="98"/>
      <c r="D172" s="38"/>
      <c r="E172" s="38"/>
      <c r="F172" s="98"/>
      <c r="G172" s="39"/>
      <c r="H172" s="39"/>
      <c r="I172" s="39"/>
      <c r="J172" s="39"/>
      <c r="K172" s="39"/>
      <c r="L172" s="39"/>
      <c r="M172" s="39"/>
      <c r="N172" s="39"/>
      <c r="O172" s="39"/>
      <c r="P172" s="39"/>
      <c r="Q172" s="39"/>
      <c r="R172" s="39"/>
      <c r="S172" s="39"/>
      <c r="T172" s="39"/>
      <c r="AI172" s="37"/>
      <c r="AR172" s="61"/>
      <c r="AY172" s="146"/>
    </row>
    <row r="173" ht="31.5" customHeight="1">
      <c r="C173" s="98"/>
      <c r="D173" s="38"/>
      <c r="E173" s="38"/>
      <c r="F173" s="98"/>
      <c r="G173" s="39"/>
      <c r="H173" s="39"/>
      <c r="I173" s="39"/>
      <c r="J173" s="39"/>
      <c r="K173" s="39"/>
      <c r="L173" s="39"/>
      <c r="M173" s="39"/>
      <c r="N173" s="39"/>
      <c r="O173" s="39"/>
      <c r="P173" s="39"/>
      <c r="Q173" s="39"/>
      <c r="R173" s="39"/>
      <c r="S173" s="39"/>
      <c r="T173" s="39"/>
      <c r="AI173" s="37"/>
      <c r="AR173" s="61"/>
      <c r="AY173" s="146"/>
    </row>
    <row r="174" ht="31.5" customHeight="1">
      <c r="C174" s="98"/>
      <c r="D174" s="38"/>
      <c r="E174" s="38"/>
      <c r="F174" s="98"/>
      <c r="G174" s="39"/>
      <c r="H174" s="39"/>
      <c r="I174" s="39"/>
      <c r="J174" s="39"/>
      <c r="K174" s="39"/>
      <c r="L174" s="39"/>
      <c r="M174" s="39"/>
      <c r="N174" s="39"/>
      <c r="O174" s="39"/>
      <c r="P174" s="39"/>
      <c r="Q174" s="39"/>
      <c r="R174" s="39"/>
      <c r="S174" s="39"/>
      <c r="T174" s="39"/>
      <c r="AI174" s="37"/>
      <c r="AR174" s="61"/>
      <c r="AY174" s="146"/>
    </row>
    <row r="175" ht="31.5" customHeight="1">
      <c r="C175" s="98"/>
      <c r="D175" s="38"/>
      <c r="E175" s="38"/>
      <c r="F175" s="98"/>
      <c r="G175" s="39"/>
      <c r="H175" s="39"/>
      <c r="I175" s="39"/>
      <c r="J175" s="39"/>
      <c r="K175" s="39"/>
      <c r="L175" s="39"/>
      <c r="M175" s="39"/>
      <c r="N175" s="39"/>
      <c r="O175" s="39"/>
      <c r="P175" s="39"/>
      <c r="Q175" s="39"/>
      <c r="R175" s="39"/>
      <c r="S175" s="39"/>
      <c r="T175" s="39"/>
      <c r="AI175" s="37"/>
      <c r="AR175" s="61"/>
      <c r="AY175" s="146"/>
    </row>
    <row r="176" ht="31.5" customHeight="1">
      <c r="C176" s="98"/>
      <c r="D176" s="38"/>
      <c r="E176" s="38"/>
      <c r="F176" s="98"/>
      <c r="G176" s="39"/>
      <c r="H176" s="39"/>
      <c r="I176" s="39"/>
      <c r="J176" s="39"/>
      <c r="K176" s="39"/>
      <c r="L176" s="39"/>
      <c r="M176" s="39"/>
      <c r="N176" s="39"/>
      <c r="O176" s="39"/>
      <c r="P176" s="39"/>
      <c r="Q176" s="39"/>
      <c r="R176" s="39"/>
      <c r="S176" s="39"/>
      <c r="T176" s="39"/>
      <c r="AI176" s="37"/>
      <c r="AR176" s="61"/>
      <c r="AY176" s="146"/>
    </row>
    <row r="177" ht="31.5" customHeight="1">
      <c r="C177" s="98"/>
      <c r="D177" s="38"/>
      <c r="E177" s="38"/>
      <c r="F177" s="98"/>
      <c r="G177" s="39"/>
      <c r="H177" s="39"/>
      <c r="I177" s="39"/>
      <c r="J177" s="39"/>
      <c r="K177" s="39"/>
      <c r="L177" s="39"/>
      <c r="M177" s="39"/>
      <c r="N177" s="39"/>
      <c r="O177" s="39"/>
      <c r="P177" s="39"/>
      <c r="Q177" s="39"/>
      <c r="R177" s="39"/>
      <c r="S177" s="39"/>
      <c r="T177" s="39"/>
      <c r="AI177" s="37"/>
      <c r="AR177" s="61"/>
      <c r="AY177" s="146"/>
    </row>
    <row r="178" ht="31.5" customHeight="1">
      <c r="C178" s="98"/>
      <c r="D178" s="38"/>
      <c r="E178" s="38"/>
      <c r="F178" s="98"/>
      <c r="G178" s="39"/>
      <c r="H178" s="39"/>
      <c r="I178" s="39"/>
      <c r="J178" s="39"/>
      <c r="K178" s="39"/>
      <c r="L178" s="39"/>
      <c r="M178" s="39"/>
      <c r="N178" s="39"/>
      <c r="O178" s="39"/>
      <c r="P178" s="39"/>
      <c r="Q178" s="39"/>
      <c r="R178" s="39"/>
      <c r="S178" s="39"/>
      <c r="T178" s="39"/>
      <c r="AI178" s="37"/>
      <c r="AR178" s="61"/>
      <c r="AY178" s="146"/>
    </row>
    <row r="179" ht="31.5" customHeight="1">
      <c r="C179" s="98"/>
      <c r="D179" s="38"/>
      <c r="E179" s="38"/>
      <c r="F179" s="98"/>
      <c r="G179" s="39"/>
      <c r="H179" s="39"/>
      <c r="I179" s="39"/>
      <c r="J179" s="39"/>
      <c r="K179" s="39"/>
      <c r="L179" s="39"/>
      <c r="M179" s="39"/>
      <c r="N179" s="39"/>
      <c r="O179" s="39"/>
      <c r="P179" s="39"/>
      <c r="Q179" s="39"/>
      <c r="R179" s="39"/>
      <c r="S179" s="39"/>
      <c r="T179" s="39"/>
      <c r="AI179" s="37"/>
      <c r="AR179" s="61"/>
      <c r="AY179" s="146"/>
    </row>
    <row r="180" ht="31.5" customHeight="1">
      <c r="C180" s="98"/>
      <c r="D180" s="38"/>
      <c r="E180" s="38"/>
      <c r="F180" s="98"/>
      <c r="G180" s="39"/>
      <c r="H180" s="39"/>
      <c r="I180" s="39"/>
      <c r="J180" s="39"/>
      <c r="K180" s="39"/>
      <c r="L180" s="39"/>
      <c r="M180" s="39"/>
      <c r="N180" s="39"/>
      <c r="O180" s="39"/>
      <c r="P180" s="39"/>
      <c r="Q180" s="39"/>
      <c r="R180" s="39"/>
      <c r="S180" s="39"/>
      <c r="T180" s="39"/>
      <c r="AI180" s="37"/>
      <c r="AR180" s="61"/>
      <c r="AY180" s="146"/>
    </row>
    <row r="181" ht="31.5" customHeight="1">
      <c r="C181" s="98"/>
      <c r="D181" s="38"/>
      <c r="E181" s="38"/>
      <c r="F181" s="98"/>
      <c r="G181" s="39"/>
      <c r="H181" s="39"/>
      <c r="I181" s="39"/>
      <c r="J181" s="39"/>
      <c r="K181" s="39"/>
      <c r="L181" s="39"/>
      <c r="M181" s="39"/>
      <c r="N181" s="39"/>
      <c r="O181" s="39"/>
      <c r="P181" s="39"/>
      <c r="Q181" s="39"/>
      <c r="R181" s="39"/>
      <c r="S181" s="39"/>
      <c r="T181" s="39"/>
      <c r="AI181" s="37"/>
      <c r="AR181" s="61"/>
      <c r="AY181" s="146"/>
    </row>
    <row r="182" ht="31.5" customHeight="1">
      <c r="C182" s="98"/>
      <c r="D182" s="38"/>
      <c r="E182" s="38"/>
      <c r="F182" s="98"/>
      <c r="G182" s="39"/>
      <c r="H182" s="39"/>
      <c r="I182" s="39"/>
      <c r="J182" s="39"/>
      <c r="K182" s="39"/>
      <c r="L182" s="39"/>
      <c r="M182" s="39"/>
      <c r="N182" s="39"/>
      <c r="O182" s="39"/>
      <c r="P182" s="39"/>
      <c r="Q182" s="39"/>
      <c r="R182" s="39"/>
      <c r="S182" s="39"/>
      <c r="T182" s="39"/>
      <c r="AI182" s="37"/>
      <c r="AR182" s="61"/>
      <c r="AY182" s="146"/>
    </row>
    <row r="183" ht="31.5" customHeight="1">
      <c r="C183" s="98"/>
      <c r="D183" s="38"/>
      <c r="E183" s="38"/>
      <c r="F183" s="98"/>
      <c r="G183" s="39"/>
      <c r="H183" s="39"/>
      <c r="I183" s="39"/>
      <c r="J183" s="39"/>
      <c r="K183" s="39"/>
      <c r="L183" s="39"/>
      <c r="M183" s="39"/>
      <c r="N183" s="39"/>
      <c r="O183" s="39"/>
      <c r="P183" s="39"/>
      <c r="Q183" s="39"/>
      <c r="R183" s="39"/>
      <c r="S183" s="39"/>
      <c r="T183" s="39"/>
      <c r="AI183" s="37"/>
      <c r="AR183" s="61"/>
      <c r="AY183" s="146"/>
    </row>
    <row r="184" ht="31.5" customHeight="1">
      <c r="C184" s="98"/>
      <c r="D184" s="38"/>
      <c r="E184" s="38"/>
      <c r="F184" s="98"/>
      <c r="G184" s="39"/>
      <c r="H184" s="39"/>
      <c r="I184" s="39"/>
      <c r="J184" s="39"/>
      <c r="K184" s="39"/>
      <c r="L184" s="39"/>
      <c r="M184" s="39"/>
      <c r="N184" s="39"/>
      <c r="O184" s="39"/>
      <c r="P184" s="39"/>
      <c r="Q184" s="39"/>
      <c r="R184" s="39"/>
      <c r="S184" s="39"/>
      <c r="T184" s="39"/>
      <c r="AI184" s="37"/>
      <c r="AR184" s="61"/>
      <c r="AY184" s="146"/>
    </row>
    <row r="185" ht="31.5" customHeight="1">
      <c r="C185" s="98"/>
      <c r="D185" s="38"/>
      <c r="E185" s="38"/>
      <c r="F185" s="98"/>
      <c r="G185" s="39"/>
      <c r="H185" s="39"/>
      <c r="I185" s="39"/>
      <c r="J185" s="39"/>
      <c r="K185" s="39"/>
      <c r="L185" s="39"/>
      <c r="M185" s="39"/>
      <c r="N185" s="39"/>
      <c r="O185" s="39"/>
      <c r="P185" s="39"/>
      <c r="Q185" s="39"/>
      <c r="R185" s="39"/>
      <c r="S185" s="39"/>
      <c r="T185" s="39"/>
      <c r="AI185" s="37"/>
      <c r="AR185" s="61"/>
      <c r="AY185" s="146"/>
    </row>
    <row r="186" ht="31.5" customHeight="1">
      <c r="C186" s="98"/>
      <c r="D186" s="38"/>
      <c r="E186" s="38"/>
      <c r="F186" s="98"/>
      <c r="G186" s="39"/>
      <c r="H186" s="39"/>
      <c r="I186" s="39"/>
      <c r="J186" s="39"/>
      <c r="K186" s="39"/>
      <c r="L186" s="39"/>
      <c r="M186" s="39"/>
      <c r="N186" s="39"/>
      <c r="O186" s="39"/>
      <c r="P186" s="39"/>
      <c r="Q186" s="39"/>
      <c r="R186" s="39"/>
      <c r="S186" s="39"/>
      <c r="T186" s="39"/>
      <c r="AI186" s="37"/>
      <c r="AR186" s="61"/>
      <c r="AY186" s="146"/>
    </row>
    <row r="187" ht="31.5" customHeight="1">
      <c r="C187" s="98"/>
      <c r="D187" s="38"/>
      <c r="E187" s="38"/>
      <c r="F187" s="98"/>
      <c r="G187" s="39"/>
      <c r="H187" s="39"/>
      <c r="I187" s="39"/>
      <c r="J187" s="39"/>
      <c r="K187" s="39"/>
      <c r="L187" s="39"/>
      <c r="M187" s="39"/>
      <c r="N187" s="39"/>
      <c r="O187" s="39"/>
      <c r="P187" s="39"/>
      <c r="Q187" s="39"/>
      <c r="R187" s="39"/>
      <c r="S187" s="39"/>
      <c r="T187" s="39"/>
      <c r="AI187" s="37"/>
      <c r="AR187" s="61"/>
      <c r="AY187" s="146"/>
    </row>
    <row r="188" ht="31.5" customHeight="1">
      <c r="C188" s="98"/>
      <c r="D188" s="38"/>
      <c r="E188" s="38"/>
      <c r="F188" s="98"/>
      <c r="G188" s="39"/>
      <c r="H188" s="39"/>
      <c r="I188" s="39"/>
      <c r="J188" s="39"/>
      <c r="K188" s="39"/>
      <c r="L188" s="39"/>
      <c r="M188" s="39"/>
      <c r="N188" s="39"/>
      <c r="O188" s="39"/>
      <c r="P188" s="39"/>
      <c r="Q188" s="39"/>
      <c r="R188" s="39"/>
      <c r="S188" s="39"/>
      <c r="T188" s="39"/>
      <c r="AI188" s="37"/>
      <c r="AR188" s="61"/>
      <c r="AY188" s="146"/>
    </row>
    <row r="189" ht="31.5" customHeight="1">
      <c r="C189" s="98"/>
      <c r="D189" s="38"/>
      <c r="E189" s="38"/>
      <c r="F189" s="98"/>
      <c r="G189" s="39"/>
      <c r="H189" s="39"/>
      <c r="I189" s="39"/>
      <c r="J189" s="39"/>
      <c r="K189" s="39"/>
      <c r="L189" s="39"/>
      <c r="M189" s="39"/>
      <c r="N189" s="39"/>
      <c r="O189" s="39"/>
      <c r="P189" s="39"/>
      <c r="Q189" s="39"/>
      <c r="R189" s="39"/>
      <c r="S189" s="39"/>
      <c r="T189" s="39"/>
      <c r="AI189" s="37"/>
      <c r="AR189" s="61"/>
      <c r="AY189" s="146"/>
    </row>
    <row r="190" ht="31.5" customHeight="1">
      <c r="C190" s="98"/>
      <c r="D190" s="38"/>
      <c r="E190" s="38"/>
      <c r="F190" s="98"/>
      <c r="G190" s="39"/>
      <c r="H190" s="39"/>
      <c r="I190" s="39"/>
      <c r="J190" s="39"/>
      <c r="K190" s="39"/>
      <c r="L190" s="39"/>
      <c r="M190" s="39"/>
      <c r="N190" s="39"/>
      <c r="O190" s="39"/>
      <c r="P190" s="39"/>
      <c r="Q190" s="39"/>
      <c r="R190" s="39"/>
      <c r="S190" s="39"/>
      <c r="T190" s="39"/>
      <c r="AI190" s="37"/>
      <c r="AR190" s="61"/>
      <c r="AY190" s="146"/>
    </row>
    <row r="191" ht="31.5" customHeight="1">
      <c r="C191" s="98"/>
      <c r="D191" s="38"/>
      <c r="E191" s="38"/>
      <c r="F191" s="98"/>
      <c r="G191" s="39"/>
      <c r="H191" s="39"/>
      <c r="I191" s="39"/>
      <c r="J191" s="39"/>
      <c r="K191" s="39"/>
      <c r="L191" s="39"/>
      <c r="M191" s="39"/>
      <c r="N191" s="39"/>
      <c r="O191" s="39"/>
      <c r="P191" s="39"/>
      <c r="Q191" s="39"/>
      <c r="R191" s="39"/>
      <c r="S191" s="39"/>
      <c r="T191" s="39"/>
      <c r="AI191" s="37"/>
      <c r="AR191" s="61"/>
      <c r="AY191" s="146"/>
    </row>
    <row r="192" ht="31.5" customHeight="1">
      <c r="C192" s="98"/>
      <c r="D192" s="38"/>
      <c r="E192" s="38"/>
      <c r="F192" s="98"/>
      <c r="G192" s="39"/>
      <c r="H192" s="39"/>
      <c r="I192" s="39"/>
      <c r="J192" s="39"/>
      <c r="K192" s="39"/>
      <c r="L192" s="39"/>
      <c r="M192" s="39"/>
      <c r="N192" s="39"/>
      <c r="O192" s="39"/>
      <c r="P192" s="39"/>
      <c r="Q192" s="39"/>
      <c r="R192" s="39"/>
      <c r="S192" s="39"/>
      <c r="T192" s="39"/>
      <c r="AI192" s="37"/>
      <c r="AR192" s="61"/>
      <c r="AY192" s="146"/>
    </row>
    <row r="193" ht="31.5" customHeight="1">
      <c r="C193" s="98"/>
      <c r="D193" s="38"/>
      <c r="E193" s="38"/>
      <c r="F193" s="98"/>
      <c r="G193" s="39"/>
      <c r="H193" s="39"/>
      <c r="I193" s="39"/>
      <c r="J193" s="39"/>
      <c r="K193" s="39"/>
      <c r="L193" s="39"/>
      <c r="M193" s="39"/>
      <c r="N193" s="39"/>
      <c r="O193" s="39"/>
      <c r="P193" s="39"/>
      <c r="Q193" s="39"/>
      <c r="R193" s="39"/>
      <c r="S193" s="39"/>
      <c r="T193" s="39"/>
      <c r="AI193" s="37"/>
      <c r="AR193" s="61"/>
      <c r="AY193" s="146"/>
    </row>
    <row r="194" ht="31.5" customHeight="1">
      <c r="C194" s="98"/>
      <c r="D194" s="38"/>
      <c r="E194" s="38"/>
      <c r="F194" s="98"/>
      <c r="G194" s="39"/>
      <c r="H194" s="39"/>
      <c r="I194" s="39"/>
      <c r="J194" s="39"/>
      <c r="K194" s="39"/>
      <c r="L194" s="39"/>
      <c r="M194" s="39"/>
      <c r="N194" s="39"/>
      <c r="O194" s="39"/>
      <c r="P194" s="39"/>
      <c r="Q194" s="39"/>
      <c r="R194" s="39"/>
      <c r="S194" s="39"/>
      <c r="T194" s="39"/>
      <c r="AI194" s="37"/>
      <c r="AR194" s="61"/>
      <c r="AY194" s="146"/>
    </row>
    <row r="195" ht="31.5" customHeight="1">
      <c r="C195" s="98"/>
      <c r="D195" s="38"/>
      <c r="E195" s="38"/>
      <c r="F195" s="98"/>
      <c r="G195" s="39"/>
      <c r="H195" s="39"/>
      <c r="I195" s="39"/>
      <c r="J195" s="39"/>
      <c r="K195" s="39"/>
      <c r="L195" s="39"/>
      <c r="M195" s="39"/>
      <c r="N195" s="39"/>
      <c r="O195" s="39"/>
      <c r="P195" s="39"/>
      <c r="Q195" s="39"/>
      <c r="R195" s="39"/>
      <c r="S195" s="39"/>
      <c r="T195" s="39"/>
      <c r="AI195" s="37"/>
      <c r="AR195" s="61"/>
      <c r="AY195" s="146"/>
    </row>
    <row r="196" ht="31.5" customHeight="1">
      <c r="C196" s="98"/>
      <c r="D196" s="38"/>
      <c r="E196" s="38"/>
      <c r="F196" s="98"/>
      <c r="G196" s="39"/>
      <c r="H196" s="39"/>
      <c r="I196" s="39"/>
      <c r="J196" s="39"/>
      <c r="K196" s="39"/>
      <c r="L196" s="39"/>
      <c r="M196" s="39"/>
      <c r="N196" s="39"/>
      <c r="O196" s="39"/>
      <c r="P196" s="39"/>
      <c r="Q196" s="39"/>
      <c r="R196" s="39"/>
      <c r="S196" s="39"/>
      <c r="T196" s="39"/>
      <c r="AI196" s="37"/>
      <c r="AR196" s="61"/>
      <c r="AY196" s="146"/>
    </row>
    <row r="197" ht="31.5" customHeight="1">
      <c r="C197" s="98"/>
      <c r="D197" s="38"/>
      <c r="E197" s="38"/>
      <c r="F197" s="98"/>
      <c r="G197" s="39"/>
      <c r="H197" s="39"/>
      <c r="I197" s="39"/>
      <c r="J197" s="39"/>
      <c r="K197" s="39"/>
      <c r="L197" s="39"/>
      <c r="M197" s="39"/>
      <c r="N197" s="39"/>
      <c r="O197" s="39"/>
      <c r="P197" s="39"/>
      <c r="Q197" s="39"/>
      <c r="R197" s="39"/>
      <c r="S197" s="39"/>
      <c r="T197" s="39"/>
      <c r="AI197" s="37"/>
      <c r="AR197" s="61"/>
      <c r="AY197" s="146"/>
    </row>
    <row r="198" ht="31.5" customHeight="1">
      <c r="C198" s="98"/>
      <c r="D198" s="38"/>
      <c r="E198" s="38"/>
      <c r="F198" s="98"/>
      <c r="G198" s="39"/>
      <c r="H198" s="39"/>
      <c r="I198" s="39"/>
      <c r="J198" s="39"/>
      <c r="K198" s="39"/>
      <c r="L198" s="39"/>
      <c r="M198" s="39"/>
      <c r="N198" s="39"/>
      <c r="O198" s="39"/>
      <c r="P198" s="39"/>
      <c r="Q198" s="39"/>
      <c r="R198" s="39"/>
      <c r="S198" s="39"/>
      <c r="T198" s="39"/>
      <c r="AI198" s="37"/>
      <c r="AR198" s="61"/>
      <c r="AY198" s="146"/>
    </row>
    <row r="199" ht="31.5" customHeight="1">
      <c r="C199" s="98"/>
      <c r="D199" s="38"/>
      <c r="E199" s="38"/>
      <c r="F199" s="98"/>
      <c r="G199" s="39"/>
      <c r="H199" s="39"/>
      <c r="I199" s="39"/>
      <c r="J199" s="39"/>
      <c r="K199" s="39"/>
      <c r="L199" s="39"/>
      <c r="M199" s="39"/>
      <c r="N199" s="39"/>
      <c r="O199" s="39"/>
      <c r="P199" s="39"/>
      <c r="Q199" s="39"/>
      <c r="R199" s="39"/>
      <c r="S199" s="39"/>
      <c r="T199" s="39"/>
      <c r="AI199" s="37"/>
      <c r="AR199" s="61"/>
      <c r="AY199" s="146"/>
    </row>
    <row r="200" ht="31.5" customHeight="1">
      <c r="C200" s="98"/>
      <c r="D200" s="38"/>
      <c r="E200" s="38"/>
      <c r="F200" s="98"/>
      <c r="G200" s="39"/>
      <c r="H200" s="39"/>
      <c r="I200" s="39"/>
      <c r="J200" s="39"/>
      <c r="K200" s="39"/>
      <c r="L200" s="39"/>
      <c r="M200" s="39"/>
      <c r="N200" s="39"/>
      <c r="O200" s="39"/>
      <c r="P200" s="39"/>
      <c r="Q200" s="39"/>
      <c r="R200" s="39"/>
      <c r="S200" s="39"/>
      <c r="T200" s="39"/>
      <c r="AI200" s="37"/>
      <c r="AR200" s="61"/>
      <c r="AY200" s="146"/>
    </row>
    <row r="201" ht="31.5" customHeight="1">
      <c r="C201" s="98"/>
      <c r="D201" s="38"/>
      <c r="E201" s="38"/>
      <c r="F201" s="98"/>
      <c r="G201" s="39"/>
      <c r="H201" s="39"/>
      <c r="I201" s="39"/>
      <c r="J201" s="39"/>
      <c r="K201" s="39"/>
      <c r="L201" s="39"/>
      <c r="M201" s="39"/>
      <c r="N201" s="39"/>
      <c r="O201" s="39"/>
      <c r="P201" s="39"/>
      <c r="Q201" s="39"/>
      <c r="R201" s="39"/>
      <c r="S201" s="39"/>
      <c r="T201" s="39"/>
      <c r="AI201" s="37"/>
      <c r="AR201" s="61"/>
      <c r="AY201" s="146"/>
    </row>
    <row r="202" ht="31.5" customHeight="1">
      <c r="C202" s="98"/>
      <c r="D202" s="38"/>
      <c r="E202" s="38"/>
      <c r="F202" s="98"/>
      <c r="G202" s="39"/>
      <c r="H202" s="39"/>
      <c r="I202" s="39"/>
      <c r="J202" s="39"/>
      <c r="K202" s="39"/>
      <c r="L202" s="39"/>
      <c r="M202" s="39"/>
      <c r="N202" s="39"/>
      <c r="O202" s="39"/>
      <c r="P202" s="39"/>
      <c r="Q202" s="39"/>
      <c r="R202" s="39"/>
      <c r="S202" s="39"/>
      <c r="T202" s="39"/>
      <c r="AI202" s="37"/>
      <c r="AR202" s="61"/>
      <c r="AY202" s="146"/>
    </row>
    <row r="203" ht="31.5" customHeight="1">
      <c r="C203" s="98"/>
      <c r="D203" s="38"/>
      <c r="E203" s="38"/>
      <c r="F203" s="98"/>
      <c r="G203" s="39"/>
      <c r="H203" s="39"/>
      <c r="I203" s="39"/>
      <c r="J203" s="39"/>
      <c r="K203" s="39"/>
      <c r="L203" s="39"/>
      <c r="M203" s="39"/>
      <c r="N203" s="39"/>
      <c r="O203" s="39"/>
      <c r="P203" s="39"/>
      <c r="Q203" s="39"/>
      <c r="R203" s="39"/>
      <c r="S203" s="39"/>
      <c r="T203" s="39"/>
      <c r="AI203" s="37"/>
      <c r="AR203" s="61"/>
      <c r="AY203" s="146"/>
    </row>
    <row r="204" ht="31.5" customHeight="1">
      <c r="C204" s="98"/>
      <c r="D204" s="38"/>
      <c r="E204" s="38"/>
      <c r="F204" s="98"/>
      <c r="G204" s="39"/>
      <c r="H204" s="39"/>
      <c r="I204" s="39"/>
      <c r="J204" s="39"/>
      <c r="K204" s="39"/>
      <c r="L204" s="39"/>
      <c r="M204" s="39"/>
      <c r="N204" s="39"/>
      <c r="O204" s="39"/>
      <c r="P204" s="39"/>
      <c r="Q204" s="39"/>
      <c r="R204" s="39"/>
      <c r="S204" s="39"/>
      <c r="T204" s="39"/>
      <c r="AI204" s="37"/>
      <c r="AR204" s="61"/>
      <c r="AY204" s="146"/>
    </row>
    <row r="205" ht="31.5" customHeight="1">
      <c r="C205" s="98"/>
      <c r="D205" s="38"/>
      <c r="E205" s="38"/>
      <c r="F205" s="98"/>
      <c r="G205" s="39"/>
      <c r="H205" s="39"/>
      <c r="I205" s="39"/>
      <c r="J205" s="39"/>
      <c r="K205" s="39"/>
      <c r="L205" s="39"/>
      <c r="M205" s="39"/>
      <c r="N205" s="39"/>
      <c r="O205" s="39"/>
      <c r="P205" s="39"/>
      <c r="Q205" s="39"/>
      <c r="R205" s="39"/>
      <c r="S205" s="39"/>
      <c r="T205" s="39"/>
      <c r="AI205" s="37"/>
      <c r="AR205" s="61"/>
      <c r="AY205" s="146"/>
    </row>
    <row r="206" ht="31.5" customHeight="1">
      <c r="C206" s="98"/>
      <c r="D206" s="38"/>
      <c r="E206" s="38"/>
      <c r="F206" s="98"/>
      <c r="G206" s="39"/>
      <c r="H206" s="39"/>
      <c r="I206" s="39"/>
      <c r="J206" s="39"/>
      <c r="K206" s="39"/>
      <c r="L206" s="39"/>
      <c r="M206" s="39"/>
      <c r="N206" s="39"/>
      <c r="O206" s="39"/>
      <c r="P206" s="39"/>
      <c r="Q206" s="39"/>
      <c r="R206" s="39"/>
      <c r="S206" s="39"/>
      <c r="T206" s="39"/>
      <c r="AI206" s="37"/>
      <c r="AR206" s="61"/>
      <c r="AY206" s="146"/>
    </row>
    <row r="207" ht="31.5" customHeight="1">
      <c r="C207" s="98"/>
      <c r="D207" s="38"/>
      <c r="E207" s="38"/>
      <c r="F207" s="98"/>
      <c r="G207" s="39"/>
      <c r="H207" s="39"/>
      <c r="I207" s="39"/>
      <c r="J207" s="39"/>
      <c r="K207" s="39"/>
      <c r="L207" s="39"/>
      <c r="M207" s="39"/>
      <c r="N207" s="39"/>
      <c r="O207" s="39"/>
      <c r="P207" s="39"/>
      <c r="Q207" s="39"/>
      <c r="R207" s="39"/>
      <c r="S207" s="39"/>
      <c r="T207" s="39"/>
      <c r="AI207" s="37"/>
      <c r="AR207" s="61"/>
      <c r="AY207" s="146"/>
    </row>
    <row r="208" ht="31.5" customHeight="1">
      <c r="C208" s="98"/>
      <c r="D208" s="38"/>
      <c r="E208" s="38"/>
      <c r="F208" s="98"/>
      <c r="G208" s="39"/>
      <c r="H208" s="39"/>
      <c r="I208" s="39"/>
      <c r="J208" s="39"/>
      <c r="K208" s="39"/>
      <c r="L208" s="39"/>
      <c r="M208" s="39"/>
      <c r="N208" s="39"/>
      <c r="O208" s="39"/>
      <c r="P208" s="39"/>
      <c r="Q208" s="39"/>
      <c r="R208" s="39"/>
      <c r="S208" s="39"/>
      <c r="T208" s="39"/>
      <c r="AI208" s="37"/>
      <c r="AR208" s="61"/>
      <c r="AY208" s="146"/>
    </row>
    <row r="209" ht="31.5" customHeight="1">
      <c r="C209" s="98"/>
      <c r="D209" s="38"/>
      <c r="E209" s="38"/>
      <c r="F209" s="98"/>
      <c r="G209" s="39"/>
      <c r="H209" s="39"/>
      <c r="I209" s="39"/>
      <c r="J209" s="39"/>
      <c r="K209" s="39"/>
      <c r="L209" s="39"/>
      <c r="M209" s="39"/>
      <c r="N209" s="39"/>
      <c r="O209" s="39"/>
      <c r="P209" s="39"/>
      <c r="Q209" s="39"/>
      <c r="R209" s="39"/>
      <c r="S209" s="39"/>
      <c r="T209" s="39"/>
      <c r="AI209" s="37"/>
      <c r="AR209" s="61"/>
      <c r="AY209" s="146"/>
    </row>
    <row r="210" ht="31.5" customHeight="1">
      <c r="C210" s="98"/>
      <c r="D210" s="38"/>
      <c r="E210" s="38"/>
      <c r="F210" s="98"/>
      <c r="G210" s="39"/>
      <c r="H210" s="39"/>
      <c r="I210" s="39"/>
      <c r="J210" s="39"/>
      <c r="K210" s="39"/>
      <c r="L210" s="39"/>
      <c r="M210" s="39"/>
      <c r="N210" s="39"/>
      <c r="O210" s="39"/>
      <c r="P210" s="39"/>
      <c r="Q210" s="39"/>
      <c r="R210" s="39"/>
      <c r="S210" s="39"/>
      <c r="T210" s="39"/>
      <c r="AI210" s="37"/>
      <c r="AR210" s="61"/>
      <c r="AY210" s="146"/>
    </row>
    <row r="211" ht="31.5" customHeight="1">
      <c r="C211" s="98"/>
      <c r="D211" s="38"/>
      <c r="E211" s="38"/>
      <c r="F211" s="98"/>
      <c r="G211" s="39"/>
      <c r="H211" s="39"/>
      <c r="I211" s="39"/>
      <c r="J211" s="39"/>
      <c r="K211" s="39"/>
      <c r="L211" s="39"/>
      <c r="M211" s="39"/>
      <c r="N211" s="39"/>
      <c r="O211" s="39"/>
      <c r="P211" s="39"/>
      <c r="Q211" s="39"/>
      <c r="R211" s="39"/>
      <c r="S211" s="39"/>
      <c r="T211" s="39"/>
      <c r="AI211" s="37"/>
      <c r="AR211" s="61"/>
      <c r="AY211" s="146"/>
    </row>
    <row r="212" ht="31.5" customHeight="1">
      <c r="C212" s="98"/>
      <c r="D212" s="38"/>
      <c r="E212" s="38"/>
      <c r="F212" s="98"/>
      <c r="G212" s="39"/>
      <c r="H212" s="39"/>
      <c r="I212" s="39"/>
      <c r="J212" s="39"/>
      <c r="K212" s="39"/>
      <c r="L212" s="39"/>
      <c r="M212" s="39"/>
      <c r="N212" s="39"/>
      <c r="O212" s="39"/>
      <c r="P212" s="39"/>
      <c r="Q212" s="39"/>
      <c r="R212" s="39"/>
      <c r="S212" s="39"/>
      <c r="T212" s="39"/>
      <c r="AI212" s="37"/>
      <c r="AR212" s="61"/>
      <c r="AY212" s="146"/>
    </row>
    <row r="213" ht="31.5" customHeight="1">
      <c r="C213" s="98"/>
      <c r="D213" s="38"/>
      <c r="E213" s="38"/>
      <c r="F213" s="98"/>
      <c r="G213" s="39"/>
      <c r="H213" s="39"/>
      <c r="I213" s="39"/>
      <c r="J213" s="39"/>
      <c r="K213" s="39"/>
      <c r="L213" s="39"/>
      <c r="M213" s="39"/>
      <c r="N213" s="39"/>
      <c r="O213" s="39"/>
      <c r="P213" s="39"/>
      <c r="Q213" s="39"/>
      <c r="R213" s="39"/>
      <c r="S213" s="39"/>
      <c r="T213" s="39"/>
      <c r="AI213" s="37"/>
      <c r="AR213" s="61"/>
      <c r="AY213" s="146"/>
    </row>
    <row r="214" ht="31.5" customHeight="1">
      <c r="C214" s="98"/>
      <c r="D214" s="38"/>
      <c r="E214" s="38"/>
      <c r="F214" s="98"/>
      <c r="G214" s="39"/>
      <c r="H214" s="39"/>
      <c r="I214" s="39"/>
      <c r="J214" s="39"/>
      <c r="K214" s="39"/>
      <c r="L214" s="39"/>
      <c r="M214" s="39"/>
      <c r="N214" s="39"/>
      <c r="O214" s="39"/>
      <c r="P214" s="39"/>
      <c r="Q214" s="39"/>
      <c r="R214" s="39"/>
      <c r="S214" s="39"/>
      <c r="T214" s="39"/>
      <c r="AI214" s="37"/>
      <c r="AR214" s="61"/>
      <c r="AY214" s="146"/>
    </row>
    <row r="215" ht="31.5" customHeight="1">
      <c r="C215" s="98"/>
      <c r="D215" s="38"/>
      <c r="E215" s="38"/>
      <c r="F215" s="98"/>
      <c r="G215" s="39"/>
      <c r="H215" s="39"/>
      <c r="I215" s="39"/>
      <c r="J215" s="39"/>
      <c r="K215" s="39"/>
      <c r="L215" s="39"/>
      <c r="M215" s="39"/>
      <c r="N215" s="39"/>
      <c r="O215" s="39"/>
      <c r="P215" s="39"/>
      <c r="Q215" s="39"/>
      <c r="R215" s="39"/>
      <c r="S215" s="39"/>
      <c r="T215" s="39"/>
      <c r="AI215" s="37"/>
      <c r="AR215" s="61"/>
      <c r="AY215" s="146"/>
    </row>
    <row r="216" ht="31.5" customHeight="1">
      <c r="C216" s="98"/>
      <c r="D216" s="38"/>
      <c r="E216" s="38"/>
      <c r="F216" s="98"/>
      <c r="G216" s="39"/>
      <c r="H216" s="39"/>
      <c r="I216" s="39"/>
      <c r="J216" s="39"/>
      <c r="K216" s="39"/>
      <c r="L216" s="39"/>
      <c r="M216" s="39"/>
      <c r="N216" s="39"/>
      <c r="O216" s="39"/>
      <c r="P216" s="39"/>
      <c r="Q216" s="39"/>
      <c r="R216" s="39"/>
      <c r="S216" s="39"/>
      <c r="T216" s="39"/>
      <c r="AI216" s="37"/>
      <c r="AR216" s="61"/>
      <c r="AY216" s="146"/>
    </row>
    <row r="217" ht="31.5" customHeight="1">
      <c r="C217" s="98"/>
      <c r="D217" s="38"/>
      <c r="E217" s="38"/>
      <c r="F217" s="98"/>
      <c r="G217" s="39"/>
      <c r="H217" s="39"/>
      <c r="I217" s="39"/>
      <c r="J217" s="39"/>
      <c r="K217" s="39"/>
      <c r="L217" s="39"/>
      <c r="M217" s="39"/>
      <c r="N217" s="39"/>
      <c r="O217" s="39"/>
      <c r="P217" s="39"/>
      <c r="Q217" s="39"/>
      <c r="R217" s="39"/>
      <c r="S217" s="39"/>
      <c r="T217" s="39"/>
      <c r="AI217" s="37"/>
      <c r="AR217" s="61"/>
      <c r="AY217" s="146"/>
    </row>
    <row r="218" ht="31.5" customHeight="1">
      <c r="C218" s="98"/>
      <c r="D218" s="38"/>
      <c r="E218" s="38"/>
      <c r="F218" s="98"/>
      <c r="G218" s="39"/>
      <c r="H218" s="39"/>
      <c r="I218" s="39"/>
      <c r="J218" s="39"/>
      <c r="K218" s="39"/>
      <c r="L218" s="39"/>
      <c r="M218" s="39"/>
      <c r="N218" s="39"/>
      <c r="O218" s="39"/>
      <c r="P218" s="39"/>
      <c r="Q218" s="39"/>
      <c r="R218" s="39"/>
      <c r="S218" s="39"/>
      <c r="T218" s="39"/>
      <c r="AI218" s="37"/>
      <c r="AR218" s="61"/>
      <c r="AY218" s="146"/>
    </row>
    <row r="219" ht="31.5" customHeight="1">
      <c r="C219" s="98"/>
      <c r="D219" s="38"/>
      <c r="E219" s="38"/>
      <c r="F219" s="98"/>
      <c r="G219" s="39"/>
      <c r="H219" s="39"/>
      <c r="I219" s="39"/>
      <c r="J219" s="39"/>
      <c r="K219" s="39"/>
      <c r="L219" s="39"/>
      <c r="M219" s="39"/>
      <c r="N219" s="39"/>
      <c r="O219" s="39"/>
      <c r="P219" s="39"/>
      <c r="Q219" s="39"/>
      <c r="R219" s="39"/>
      <c r="S219" s="39"/>
      <c r="T219" s="39"/>
      <c r="AI219" s="37"/>
      <c r="AR219" s="61"/>
      <c r="AY219" s="146"/>
    </row>
    <row r="220" ht="31.5" customHeight="1">
      <c r="C220" s="98"/>
      <c r="D220" s="38"/>
      <c r="E220" s="38"/>
      <c r="F220" s="98"/>
      <c r="G220" s="39"/>
      <c r="H220" s="39"/>
      <c r="I220" s="39"/>
      <c r="J220" s="39"/>
      <c r="K220" s="39"/>
      <c r="L220" s="39"/>
      <c r="M220" s="39"/>
      <c r="N220" s="39"/>
      <c r="O220" s="39"/>
      <c r="P220" s="39"/>
      <c r="Q220" s="39"/>
      <c r="R220" s="39"/>
      <c r="S220" s="39"/>
      <c r="T220" s="39"/>
      <c r="AI220" s="37"/>
      <c r="AR220" s="61"/>
      <c r="AY220" s="146"/>
    </row>
    <row r="221" ht="31.5" customHeight="1">
      <c r="C221" s="98"/>
      <c r="D221" s="38"/>
      <c r="E221" s="38"/>
      <c r="F221" s="98"/>
      <c r="G221" s="39"/>
      <c r="H221" s="39"/>
      <c r="I221" s="39"/>
      <c r="J221" s="39"/>
      <c r="K221" s="39"/>
      <c r="L221" s="39"/>
      <c r="M221" s="39"/>
      <c r="N221" s="39"/>
      <c r="O221" s="39"/>
      <c r="P221" s="39"/>
      <c r="Q221" s="39"/>
      <c r="R221" s="39"/>
      <c r="S221" s="39"/>
      <c r="T221" s="39"/>
      <c r="AI221" s="37"/>
      <c r="AR221" s="61"/>
      <c r="AY221" s="146"/>
    </row>
    <row r="222" ht="31.5" customHeight="1">
      <c r="C222" s="98"/>
      <c r="D222" s="38"/>
      <c r="E222" s="38"/>
      <c r="F222" s="98"/>
      <c r="G222" s="39"/>
      <c r="H222" s="39"/>
      <c r="I222" s="39"/>
      <c r="J222" s="39"/>
      <c r="K222" s="39"/>
      <c r="L222" s="39"/>
      <c r="M222" s="39"/>
      <c r="N222" s="39"/>
      <c r="O222" s="39"/>
      <c r="P222" s="39"/>
      <c r="Q222" s="39"/>
      <c r="R222" s="39"/>
      <c r="S222" s="39"/>
      <c r="T222" s="39"/>
      <c r="AI222" s="37"/>
      <c r="AR222" s="61"/>
      <c r="AY222" s="146"/>
    </row>
    <row r="223" ht="31.5" customHeight="1">
      <c r="C223" s="98"/>
      <c r="D223" s="38"/>
      <c r="E223" s="38"/>
      <c r="F223" s="98"/>
      <c r="G223" s="39"/>
      <c r="H223" s="39"/>
      <c r="I223" s="39"/>
      <c r="J223" s="39"/>
      <c r="K223" s="39"/>
      <c r="L223" s="39"/>
      <c r="M223" s="39"/>
      <c r="N223" s="39"/>
      <c r="O223" s="39"/>
      <c r="P223" s="39"/>
      <c r="Q223" s="39"/>
      <c r="R223" s="39"/>
      <c r="S223" s="39"/>
      <c r="T223" s="39"/>
      <c r="AI223" s="37"/>
      <c r="AR223" s="61"/>
      <c r="AY223" s="146"/>
    </row>
    <row r="224" ht="31.5" customHeight="1">
      <c r="C224" s="98"/>
      <c r="D224" s="38"/>
      <c r="E224" s="38"/>
      <c r="F224" s="98"/>
      <c r="G224" s="39"/>
      <c r="H224" s="39"/>
      <c r="I224" s="39"/>
      <c r="J224" s="39"/>
      <c r="K224" s="39"/>
      <c r="L224" s="39"/>
      <c r="M224" s="39"/>
      <c r="N224" s="39"/>
      <c r="O224" s="39"/>
      <c r="P224" s="39"/>
      <c r="Q224" s="39"/>
      <c r="R224" s="39"/>
      <c r="S224" s="39"/>
      <c r="T224" s="39"/>
      <c r="AI224" s="37"/>
      <c r="AR224" s="61"/>
      <c r="AY224" s="146"/>
    </row>
    <row r="225" ht="31.5" customHeight="1">
      <c r="C225" s="98"/>
      <c r="D225" s="38"/>
      <c r="E225" s="38"/>
      <c r="F225" s="98"/>
      <c r="G225" s="39"/>
      <c r="H225" s="39"/>
      <c r="I225" s="39"/>
      <c r="J225" s="39"/>
      <c r="K225" s="39"/>
      <c r="L225" s="39"/>
      <c r="M225" s="39"/>
      <c r="N225" s="39"/>
      <c r="O225" s="39"/>
      <c r="P225" s="39"/>
      <c r="Q225" s="39"/>
      <c r="R225" s="39"/>
      <c r="S225" s="39"/>
      <c r="T225" s="39"/>
      <c r="AI225" s="37"/>
      <c r="AR225" s="61"/>
      <c r="AY225" s="146"/>
    </row>
    <row r="226" ht="31.5" customHeight="1">
      <c r="C226" s="98"/>
      <c r="D226" s="38"/>
      <c r="E226" s="38"/>
      <c r="F226" s="98"/>
      <c r="G226" s="39"/>
      <c r="H226" s="39"/>
      <c r="I226" s="39"/>
      <c r="J226" s="39"/>
      <c r="K226" s="39"/>
      <c r="L226" s="39"/>
      <c r="M226" s="39"/>
      <c r="N226" s="39"/>
      <c r="O226" s="39"/>
      <c r="P226" s="39"/>
      <c r="Q226" s="39"/>
      <c r="R226" s="39"/>
      <c r="S226" s="39"/>
      <c r="T226" s="39"/>
      <c r="AI226" s="37"/>
      <c r="AR226" s="61"/>
      <c r="AY226" s="146"/>
    </row>
    <row r="227" ht="31.5" customHeight="1">
      <c r="C227" s="98"/>
      <c r="D227" s="38"/>
      <c r="E227" s="38"/>
      <c r="F227" s="98"/>
      <c r="G227" s="39"/>
      <c r="H227" s="39"/>
      <c r="I227" s="39"/>
      <c r="J227" s="39"/>
      <c r="K227" s="39"/>
      <c r="L227" s="39"/>
      <c r="M227" s="39"/>
      <c r="N227" s="39"/>
      <c r="O227" s="39"/>
      <c r="P227" s="39"/>
      <c r="Q227" s="39"/>
      <c r="R227" s="39"/>
      <c r="S227" s="39"/>
      <c r="T227" s="39"/>
      <c r="AI227" s="37"/>
      <c r="AR227" s="61"/>
      <c r="AY227" s="146"/>
    </row>
    <row r="228" ht="31.5" customHeight="1">
      <c r="C228" s="98"/>
      <c r="D228" s="38"/>
      <c r="E228" s="38"/>
      <c r="F228" s="98"/>
      <c r="G228" s="39"/>
      <c r="H228" s="39"/>
      <c r="I228" s="39"/>
      <c r="J228" s="39"/>
      <c r="K228" s="39"/>
      <c r="L228" s="39"/>
      <c r="M228" s="39"/>
      <c r="N228" s="39"/>
      <c r="O228" s="39"/>
      <c r="P228" s="39"/>
      <c r="Q228" s="39"/>
      <c r="R228" s="39"/>
      <c r="S228" s="39"/>
      <c r="T228" s="39"/>
      <c r="AI228" s="37"/>
      <c r="AR228" s="61"/>
      <c r="AY228" s="146"/>
    </row>
    <row r="229" ht="31.5" customHeight="1">
      <c r="C229" s="98"/>
      <c r="D229" s="38"/>
      <c r="E229" s="38"/>
      <c r="F229" s="98"/>
      <c r="G229" s="39"/>
      <c r="H229" s="39"/>
      <c r="I229" s="39"/>
      <c r="J229" s="39"/>
      <c r="K229" s="39"/>
      <c r="L229" s="39"/>
      <c r="M229" s="39"/>
      <c r="N229" s="39"/>
      <c r="O229" s="39"/>
      <c r="P229" s="39"/>
      <c r="Q229" s="39"/>
      <c r="R229" s="39"/>
      <c r="S229" s="39"/>
      <c r="T229" s="39"/>
      <c r="AI229" s="37"/>
      <c r="AR229" s="61"/>
      <c r="AY229" s="146"/>
    </row>
    <row r="230" ht="31.5" customHeight="1">
      <c r="C230" s="98"/>
      <c r="D230" s="38"/>
      <c r="E230" s="38"/>
      <c r="F230" s="98"/>
      <c r="G230" s="39"/>
      <c r="H230" s="39"/>
      <c r="I230" s="39"/>
      <c r="J230" s="39"/>
      <c r="K230" s="39"/>
      <c r="L230" s="39"/>
      <c r="M230" s="39"/>
      <c r="N230" s="39"/>
      <c r="O230" s="39"/>
      <c r="P230" s="39"/>
      <c r="Q230" s="39"/>
      <c r="R230" s="39"/>
      <c r="S230" s="39"/>
      <c r="T230" s="39"/>
      <c r="AI230" s="37"/>
      <c r="AR230" s="61"/>
      <c r="AY230" s="146"/>
    </row>
    <row r="231" ht="31.5" customHeight="1">
      <c r="C231" s="98"/>
      <c r="D231" s="38"/>
      <c r="E231" s="38"/>
      <c r="F231" s="98"/>
      <c r="G231" s="39"/>
      <c r="H231" s="39"/>
      <c r="I231" s="39"/>
      <c r="J231" s="39"/>
      <c r="K231" s="39"/>
      <c r="L231" s="39"/>
      <c r="M231" s="39"/>
      <c r="N231" s="39"/>
      <c r="O231" s="39"/>
      <c r="P231" s="39"/>
      <c r="Q231" s="39"/>
      <c r="R231" s="39"/>
      <c r="S231" s="39"/>
      <c r="T231" s="39"/>
      <c r="AI231" s="37"/>
      <c r="AR231" s="61"/>
      <c r="AY231" s="146"/>
    </row>
    <row r="232" ht="31.5" customHeight="1">
      <c r="C232" s="98"/>
      <c r="D232" s="38"/>
      <c r="E232" s="38"/>
      <c r="F232" s="98"/>
      <c r="G232" s="39"/>
      <c r="H232" s="39"/>
      <c r="I232" s="39"/>
      <c r="J232" s="39"/>
      <c r="K232" s="39"/>
      <c r="L232" s="39"/>
      <c r="M232" s="39"/>
      <c r="N232" s="39"/>
      <c r="O232" s="39"/>
      <c r="P232" s="39"/>
      <c r="Q232" s="39"/>
      <c r="R232" s="39"/>
      <c r="S232" s="39"/>
      <c r="T232" s="39"/>
      <c r="AI232" s="37"/>
      <c r="AR232" s="61"/>
      <c r="AY232" s="146"/>
    </row>
    <row r="233" ht="31.5" customHeight="1">
      <c r="C233" s="98"/>
      <c r="D233" s="38"/>
      <c r="E233" s="38"/>
      <c r="F233" s="98"/>
      <c r="G233" s="39"/>
      <c r="H233" s="39"/>
      <c r="I233" s="39"/>
      <c r="J233" s="39"/>
      <c r="K233" s="39"/>
      <c r="L233" s="39"/>
      <c r="M233" s="39"/>
      <c r="N233" s="39"/>
      <c r="O233" s="39"/>
      <c r="P233" s="39"/>
      <c r="Q233" s="39"/>
      <c r="R233" s="39"/>
      <c r="S233" s="39"/>
      <c r="T233" s="39"/>
      <c r="AI233" s="37"/>
      <c r="AR233" s="61"/>
      <c r="AY233" s="146"/>
    </row>
    <row r="234" ht="31.5" customHeight="1">
      <c r="C234" s="98"/>
      <c r="D234" s="38"/>
      <c r="E234" s="38"/>
      <c r="F234" s="98"/>
      <c r="G234" s="39"/>
      <c r="H234" s="39"/>
      <c r="I234" s="39"/>
      <c r="J234" s="39"/>
      <c r="K234" s="39"/>
      <c r="L234" s="39"/>
      <c r="M234" s="39"/>
      <c r="N234" s="39"/>
      <c r="O234" s="39"/>
      <c r="P234" s="39"/>
      <c r="Q234" s="39"/>
      <c r="R234" s="39"/>
      <c r="S234" s="39"/>
      <c r="T234" s="39"/>
      <c r="AI234" s="37"/>
      <c r="AR234" s="61"/>
      <c r="AY234" s="146"/>
    </row>
    <row r="235" ht="31.5" customHeight="1">
      <c r="AI235" s="37"/>
      <c r="AR235" s="61"/>
      <c r="AY235" s="146"/>
    </row>
    <row r="236" ht="31.5" customHeight="1">
      <c r="AI236" s="37"/>
      <c r="AR236" s="61"/>
      <c r="AY236" s="146"/>
    </row>
    <row r="237" ht="31.5" customHeight="1">
      <c r="AI237" s="37"/>
      <c r="AR237" s="61"/>
      <c r="AY237" s="146"/>
    </row>
    <row r="238" ht="31.5" customHeight="1">
      <c r="AI238" s="37"/>
      <c r="AR238" s="61"/>
      <c r="AY238" s="146"/>
    </row>
    <row r="239" ht="31.5" customHeight="1">
      <c r="AI239" s="37"/>
      <c r="AR239" s="61"/>
      <c r="AY239" s="146"/>
    </row>
    <row r="240" ht="31.5" customHeight="1">
      <c r="AI240" s="37"/>
      <c r="AR240" s="61"/>
      <c r="AY240" s="146"/>
    </row>
    <row r="241" ht="31.5" customHeight="1">
      <c r="AI241" s="37"/>
      <c r="AR241" s="61"/>
      <c r="AY241" s="146"/>
    </row>
    <row r="242" ht="31.5" customHeight="1">
      <c r="AI242" s="37"/>
      <c r="AR242" s="61"/>
      <c r="AY242" s="146"/>
    </row>
    <row r="243" ht="31.5" customHeight="1">
      <c r="AI243" s="37"/>
      <c r="AR243" s="61"/>
      <c r="AY243" s="146"/>
    </row>
    <row r="244" ht="31.5" customHeight="1">
      <c r="AI244" s="37"/>
      <c r="AR244" s="61"/>
      <c r="AY244" s="146"/>
    </row>
    <row r="245" ht="31.5" customHeight="1">
      <c r="AI245" s="37"/>
      <c r="AR245" s="61"/>
      <c r="AY245" s="146"/>
    </row>
    <row r="246" ht="31.5" customHeight="1">
      <c r="AI246" s="37"/>
      <c r="AR246" s="61"/>
      <c r="AY246" s="146"/>
    </row>
    <row r="247" ht="31.5" customHeight="1">
      <c r="AI247" s="37"/>
      <c r="AR247" s="61"/>
      <c r="AY247" s="146"/>
    </row>
    <row r="248" ht="31.5" customHeight="1">
      <c r="AI248" s="37"/>
      <c r="AR248" s="61"/>
      <c r="AY248" s="146"/>
    </row>
    <row r="249" ht="31.5" customHeight="1">
      <c r="AI249" s="37"/>
      <c r="AR249" s="61"/>
      <c r="AY249" s="146"/>
    </row>
    <row r="250" ht="31.5" customHeight="1">
      <c r="AI250" s="37"/>
      <c r="AR250" s="61"/>
      <c r="AY250" s="146"/>
    </row>
    <row r="251" ht="31.5" customHeight="1">
      <c r="AI251" s="37"/>
      <c r="AR251" s="61"/>
      <c r="AY251" s="146"/>
    </row>
    <row r="252" ht="31.5" customHeight="1">
      <c r="AI252" s="37"/>
      <c r="AR252" s="61"/>
      <c r="AY252" s="146"/>
    </row>
    <row r="253" ht="31.5" customHeight="1">
      <c r="AI253" s="37"/>
      <c r="AR253" s="61"/>
      <c r="AY253" s="146"/>
    </row>
    <row r="254" ht="31.5" customHeight="1">
      <c r="AI254" s="37"/>
      <c r="AR254" s="61"/>
      <c r="AY254" s="146"/>
    </row>
    <row r="255" ht="31.5" customHeight="1">
      <c r="AI255" s="37"/>
      <c r="AR255" s="61"/>
      <c r="AY255" s="146"/>
    </row>
    <row r="256" ht="31.5" customHeight="1">
      <c r="AI256" s="37"/>
      <c r="AR256" s="61"/>
      <c r="AY256" s="146"/>
    </row>
    <row r="257" ht="31.5" customHeight="1">
      <c r="AI257" s="37"/>
      <c r="AR257" s="61"/>
      <c r="AY257" s="146"/>
    </row>
    <row r="258" ht="31.5" customHeight="1">
      <c r="AI258" s="37"/>
      <c r="AR258" s="61"/>
      <c r="AY258" s="146"/>
    </row>
    <row r="259" ht="31.5" customHeight="1">
      <c r="AI259" s="37"/>
      <c r="AR259" s="61"/>
      <c r="AY259" s="146"/>
    </row>
    <row r="260" ht="31.5" customHeight="1">
      <c r="AI260" s="37"/>
      <c r="AR260" s="61"/>
      <c r="AY260" s="146"/>
    </row>
    <row r="261" ht="31.5" customHeight="1">
      <c r="AI261" s="37"/>
      <c r="AR261" s="61"/>
      <c r="AY261" s="146"/>
    </row>
    <row r="262" ht="31.5" customHeight="1">
      <c r="AI262" s="37"/>
      <c r="AR262" s="61"/>
      <c r="AY262" s="146"/>
    </row>
    <row r="263" ht="31.5" customHeight="1">
      <c r="AI263" s="37"/>
      <c r="AR263" s="61"/>
      <c r="AY263" s="146"/>
    </row>
    <row r="264" ht="31.5" customHeight="1">
      <c r="AI264" s="37"/>
      <c r="AR264" s="61"/>
      <c r="AY264" s="146"/>
    </row>
    <row r="265" ht="31.5" customHeight="1">
      <c r="AI265" s="37"/>
      <c r="AR265" s="61"/>
      <c r="AY265" s="146"/>
    </row>
    <row r="266" ht="31.5" customHeight="1">
      <c r="AI266" s="37"/>
      <c r="AR266" s="61"/>
      <c r="AY266" s="146"/>
    </row>
    <row r="267" ht="31.5" customHeight="1">
      <c r="AI267" s="37"/>
      <c r="AR267" s="61"/>
      <c r="AY267" s="146"/>
    </row>
    <row r="268" ht="31.5" customHeight="1">
      <c r="AI268" s="37"/>
      <c r="AR268" s="61"/>
      <c r="AY268" s="146"/>
    </row>
    <row r="269" ht="31.5" customHeight="1">
      <c r="AI269" s="37"/>
      <c r="AR269" s="61"/>
      <c r="AY269" s="146"/>
    </row>
    <row r="270" ht="31.5" customHeight="1">
      <c r="AI270" s="37"/>
      <c r="AR270" s="61"/>
      <c r="AY270" s="146"/>
    </row>
    <row r="271" ht="31.5" customHeight="1">
      <c r="AI271" s="37"/>
      <c r="AR271" s="61"/>
      <c r="AY271" s="146"/>
    </row>
    <row r="272" ht="31.5" customHeight="1">
      <c r="AI272" s="37"/>
      <c r="AR272" s="61"/>
      <c r="AY272" s="146"/>
    </row>
    <row r="273" ht="31.5" customHeight="1">
      <c r="AI273" s="37"/>
      <c r="AR273" s="61"/>
      <c r="AY273" s="146"/>
    </row>
    <row r="274" ht="31.5" customHeight="1">
      <c r="AI274" s="37"/>
      <c r="AR274" s="61"/>
      <c r="AY274" s="146"/>
    </row>
    <row r="275" ht="31.5" customHeight="1">
      <c r="AI275" s="37"/>
      <c r="AR275" s="61"/>
      <c r="AY275" s="146"/>
    </row>
    <row r="276" ht="31.5" customHeight="1">
      <c r="AI276" s="37"/>
      <c r="AR276" s="61"/>
      <c r="AY276" s="146"/>
    </row>
    <row r="277" ht="31.5" customHeight="1">
      <c r="AI277" s="37"/>
      <c r="AR277" s="61"/>
      <c r="AY277" s="146"/>
    </row>
    <row r="278" ht="31.5" customHeight="1">
      <c r="AI278" s="37"/>
      <c r="AR278" s="61"/>
      <c r="AY278" s="146"/>
    </row>
    <row r="279" ht="31.5" customHeight="1">
      <c r="AI279" s="37"/>
      <c r="AR279" s="61"/>
      <c r="AY279" s="146"/>
    </row>
    <row r="280" ht="31.5" customHeight="1">
      <c r="AI280" s="37"/>
      <c r="AR280" s="61"/>
      <c r="AY280" s="146"/>
    </row>
    <row r="281" ht="31.5" customHeight="1">
      <c r="AI281" s="37"/>
      <c r="AR281" s="61"/>
      <c r="AY281" s="146"/>
    </row>
    <row r="282" ht="31.5" customHeight="1">
      <c r="AI282" s="37"/>
      <c r="AR282" s="61"/>
      <c r="AY282" s="146"/>
    </row>
    <row r="283" ht="31.5" customHeight="1">
      <c r="AI283" s="37"/>
      <c r="AR283" s="61"/>
      <c r="AY283" s="146"/>
    </row>
    <row r="284" ht="31.5" customHeight="1">
      <c r="AI284" s="37"/>
      <c r="AR284" s="61"/>
      <c r="AY284" s="146"/>
    </row>
    <row r="285" ht="31.5" customHeight="1">
      <c r="AI285" s="37"/>
      <c r="AR285" s="61"/>
      <c r="AY285" s="146"/>
    </row>
    <row r="286" ht="31.5" customHeight="1">
      <c r="AI286" s="37"/>
      <c r="AR286" s="61"/>
      <c r="AY286" s="146"/>
    </row>
    <row r="287" ht="31.5" customHeight="1">
      <c r="AI287" s="37"/>
      <c r="AR287" s="61"/>
      <c r="AY287" s="146"/>
    </row>
    <row r="288" ht="31.5" customHeight="1">
      <c r="AI288" s="37"/>
      <c r="AR288" s="61"/>
      <c r="AY288" s="146"/>
    </row>
    <row r="289" ht="31.5" customHeight="1">
      <c r="AI289" s="37"/>
      <c r="AR289" s="61"/>
      <c r="AY289" s="146"/>
    </row>
    <row r="290" ht="31.5" customHeight="1">
      <c r="AI290" s="37"/>
      <c r="AR290" s="61"/>
      <c r="AY290" s="146"/>
    </row>
    <row r="291" ht="31.5" customHeight="1">
      <c r="AI291" s="37"/>
      <c r="AR291" s="61"/>
      <c r="AY291" s="146"/>
    </row>
    <row r="292" ht="31.5" customHeight="1">
      <c r="AI292" s="37"/>
      <c r="AR292" s="61"/>
      <c r="AY292" s="146"/>
    </row>
    <row r="293" ht="31.5" customHeight="1">
      <c r="AI293" s="37"/>
      <c r="AR293" s="61"/>
      <c r="AY293" s="146"/>
    </row>
    <row r="294" ht="31.5" customHeight="1">
      <c r="AI294" s="37"/>
      <c r="AR294" s="61"/>
      <c r="AY294" s="146"/>
    </row>
    <row r="295" ht="31.5" customHeight="1">
      <c r="AI295" s="37"/>
      <c r="AR295" s="61"/>
      <c r="AY295" s="146"/>
    </row>
    <row r="296" ht="31.5" customHeight="1">
      <c r="AI296" s="37"/>
      <c r="AR296" s="61"/>
      <c r="AY296" s="146"/>
    </row>
    <row r="297" ht="31.5" customHeight="1">
      <c r="AI297" s="37"/>
      <c r="AR297" s="61"/>
      <c r="AY297" s="146"/>
    </row>
    <row r="298" ht="31.5" customHeight="1">
      <c r="AI298" s="37"/>
      <c r="AR298" s="61"/>
      <c r="AY298" s="146"/>
    </row>
    <row r="299" ht="31.5" customHeight="1">
      <c r="AI299" s="37"/>
      <c r="AR299" s="61"/>
      <c r="AY299" s="146"/>
    </row>
    <row r="300" ht="31.5" customHeight="1">
      <c r="AI300" s="37"/>
      <c r="AR300" s="61"/>
      <c r="AY300" s="146"/>
    </row>
    <row r="301" ht="31.5" customHeight="1">
      <c r="AI301" s="37"/>
      <c r="AR301" s="61"/>
      <c r="AY301" s="146"/>
    </row>
    <row r="302" ht="31.5" customHeight="1">
      <c r="AI302" s="37"/>
      <c r="AR302" s="61"/>
      <c r="AY302" s="146"/>
    </row>
    <row r="303" ht="31.5" customHeight="1">
      <c r="AI303" s="37"/>
      <c r="AR303" s="61"/>
      <c r="AY303" s="146"/>
    </row>
    <row r="304" ht="31.5" customHeight="1">
      <c r="AI304" s="37"/>
      <c r="AR304" s="61"/>
      <c r="AY304" s="146"/>
    </row>
    <row r="305" ht="31.5" customHeight="1">
      <c r="AI305" s="37"/>
      <c r="AR305" s="61"/>
      <c r="AY305" s="146"/>
    </row>
    <row r="306" ht="31.5" customHeight="1">
      <c r="AI306" s="37"/>
      <c r="AR306" s="61"/>
      <c r="AY306" s="146"/>
    </row>
    <row r="307" ht="31.5" customHeight="1">
      <c r="AI307" s="37"/>
      <c r="AR307" s="61"/>
      <c r="AY307" s="146"/>
    </row>
    <row r="308" ht="31.5" customHeight="1">
      <c r="AI308" s="37"/>
      <c r="AR308" s="61"/>
      <c r="AY308" s="146"/>
    </row>
    <row r="309" ht="31.5" customHeight="1">
      <c r="AI309" s="37"/>
      <c r="AR309" s="61"/>
      <c r="AY309" s="146"/>
    </row>
    <row r="310" ht="31.5" customHeight="1">
      <c r="AI310" s="37"/>
      <c r="AR310" s="61"/>
      <c r="AY310" s="146"/>
    </row>
    <row r="311" ht="31.5" customHeight="1">
      <c r="AI311" s="37"/>
      <c r="AR311" s="61"/>
      <c r="AY311" s="146"/>
    </row>
    <row r="312" ht="31.5" customHeight="1">
      <c r="AI312" s="37"/>
      <c r="AR312" s="61"/>
      <c r="AY312" s="146"/>
    </row>
    <row r="313" ht="31.5" customHeight="1">
      <c r="AI313" s="37"/>
      <c r="AR313" s="61"/>
      <c r="AY313" s="146"/>
    </row>
    <row r="314" ht="31.5" customHeight="1">
      <c r="AI314" s="37"/>
      <c r="AR314" s="61"/>
      <c r="AY314" s="146"/>
    </row>
    <row r="315" ht="31.5" customHeight="1">
      <c r="AI315" s="37"/>
      <c r="AR315" s="61"/>
      <c r="AY315" s="146"/>
    </row>
    <row r="316" ht="31.5" customHeight="1">
      <c r="AI316" s="37"/>
      <c r="AR316" s="61"/>
      <c r="AY316" s="146"/>
    </row>
    <row r="317" ht="31.5" customHeight="1">
      <c r="AI317" s="37"/>
      <c r="AR317" s="61"/>
      <c r="AY317" s="146"/>
    </row>
    <row r="318" ht="31.5" customHeight="1">
      <c r="AI318" s="37"/>
      <c r="AR318" s="61"/>
      <c r="AY318" s="146"/>
    </row>
    <row r="319" ht="31.5" customHeight="1">
      <c r="AI319" s="37"/>
      <c r="AR319" s="61"/>
      <c r="AY319" s="146"/>
    </row>
    <row r="320" ht="31.5" customHeight="1">
      <c r="AI320" s="37"/>
      <c r="AR320" s="61"/>
      <c r="AY320" s="146"/>
    </row>
    <row r="321" ht="31.5" customHeight="1">
      <c r="AI321" s="37"/>
      <c r="AR321" s="61"/>
      <c r="AY321" s="146"/>
    </row>
    <row r="322" ht="31.5" customHeight="1">
      <c r="AI322" s="37"/>
      <c r="AR322" s="61"/>
      <c r="AY322" s="146"/>
    </row>
    <row r="323" ht="31.5" customHeight="1">
      <c r="AI323" s="37"/>
      <c r="AR323" s="61"/>
      <c r="AY323" s="146"/>
    </row>
    <row r="324" ht="31.5" customHeight="1">
      <c r="AI324" s="37"/>
      <c r="AR324" s="61"/>
      <c r="AY324" s="146"/>
    </row>
    <row r="325" ht="31.5" customHeight="1">
      <c r="AI325" s="37"/>
      <c r="AR325" s="61"/>
      <c r="AY325" s="146"/>
    </row>
    <row r="326" ht="31.5" customHeight="1">
      <c r="AI326" s="37"/>
      <c r="AR326" s="61"/>
      <c r="AY326" s="146"/>
    </row>
    <row r="327" ht="31.5" customHeight="1">
      <c r="AI327" s="37"/>
      <c r="AR327" s="61"/>
      <c r="AY327" s="146"/>
    </row>
    <row r="328" ht="31.5" customHeight="1">
      <c r="AI328" s="37"/>
      <c r="AR328" s="61"/>
      <c r="AY328" s="146"/>
    </row>
    <row r="329" ht="31.5" customHeight="1">
      <c r="AI329" s="37"/>
      <c r="AR329" s="61"/>
      <c r="AY329" s="146"/>
    </row>
    <row r="330" ht="31.5" customHeight="1">
      <c r="AI330" s="37"/>
      <c r="AR330" s="61"/>
      <c r="AY330" s="146"/>
    </row>
    <row r="331" ht="31.5" customHeight="1">
      <c r="AI331" s="37"/>
      <c r="AR331" s="61"/>
      <c r="AY331" s="146"/>
    </row>
    <row r="332" ht="31.5" customHeight="1">
      <c r="AI332" s="37"/>
      <c r="AR332" s="61"/>
      <c r="AY332" s="146"/>
    </row>
    <row r="333" ht="31.5" customHeight="1">
      <c r="AI333" s="37"/>
      <c r="AR333" s="61"/>
      <c r="AY333" s="146"/>
    </row>
    <row r="334" ht="31.5" customHeight="1">
      <c r="AI334" s="37"/>
      <c r="AR334" s="61"/>
      <c r="AY334" s="146"/>
    </row>
    <row r="335" ht="31.5" customHeight="1">
      <c r="AI335" s="37"/>
      <c r="AR335" s="61"/>
      <c r="AY335" s="146"/>
    </row>
    <row r="336" ht="31.5" customHeight="1">
      <c r="AI336" s="37"/>
      <c r="AR336" s="61"/>
      <c r="AY336" s="146"/>
    </row>
    <row r="337" ht="31.5" customHeight="1">
      <c r="AI337" s="37"/>
      <c r="AR337" s="61"/>
      <c r="AY337" s="146"/>
    </row>
    <row r="338" ht="31.5" customHeight="1">
      <c r="AI338" s="37"/>
      <c r="AR338" s="61"/>
      <c r="AY338" s="146"/>
    </row>
    <row r="339" ht="31.5" customHeight="1">
      <c r="AI339" s="37"/>
      <c r="AR339" s="61"/>
      <c r="AY339" s="146"/>
    </row>
    <row r="340" ht="31.5" customHeight="1">
      <c r="AI340" s="37"/>
      <c r="AR340" s="61"/>
      <c r="AY340" s="146"/>
    </row>
    <row r="341" ht="31.5" customHeight="1">
      <c r="AI341" s="37"/>
      <c r="AR341" s="61"/>
      <c r="AY341" s="146"/>
    </row>
    <row r="342" ht="31.5" customHeight="1">
      <c r="AI342" s="37"/>
      <c r="AR342" s="61"/>
      <c r="AY342" s="146"/>
    </row>
    <row r="343" ht="31.5" customHeight="1">
      <c r="AI343" s="37"/>
      <c r="AR343" s="61"/>
      <c r="AY343" s="146"/>
    </row>
    <row r="344" ht="31.5" customHeight="1">
      <c r="AI344" s="37"/>
      <c r="AR344" s="61"/>
      <c r="AY344" s="146"/>
    </row>
    <row r="345" ht="31.5" customHeight="1">
      <c r="AI345" s="37"/>
      <c r="AR345" s="61"/>
      <c r="AY345" s="146"/>
    </row>
    <row r="346" ht="31.5" customHeight="1">
      <c r="AI346" s="37"/>
      <c r="AR346" s="61"/>
      <c r="AY346" s="146"/>
    </row>
    <row r="347" ht="31.5" customHeight="1">
      <c r="AI347" s="37"/>
      <c r="AR347" s="61"/>
      <c r="AY347" s="146"/>
    </row>
    <row r="348" ht="31.5" customHeight="1">
      <c r="AI348" s="37"/>
      <c r="AR348" s="61"/>
      <c r="AY348" s="146"/>
    </row>
    <row r="349" ht="31.5" customHeight="1">
      <c r="AI349" s="37"/>
      <c r="AR349" s="61"/>
      <c r="AY349" s="146"/>
    </row>
    <row r="350" ht="31.5" customHeight="1">
      <c r="AI350" s="37"/>
      <c r="AR350" s="61"/>
      <c r="AY350" s="146"/>
    </row>
    <row r="351" ht="31.5" customHeight="1">
      <c r="AI351" s="37"/>
      <c r="AR351" s="61"/>
      <c r="AY351" s="146"/>
    </row>
    <row r="352" ht="31.5" customHeight="1">
      <c r="AI352" s="37"/>
      <c r="AR352" s="61"/>
      <c r="AY352" s="146"/>
    </row>
    <row r="353" ht="31.5" customHeight="1">
      <c r="AI353" s="37"/>
      <c r="AR353" s="61"/>
      <c r="AY353" s="146"/>
    </row>
    <row r="354" ht="31.5" customHeight="1">
      <c r="AI354" s="37"/>
      <c r="AR354" s="61"/>
      <c r="AY354" s="146"/>
    </row>
    <row r="355" ht="31.5" customHeight="1">
      <c r="AI355" s="37"/>
      <c r="AR355" s="61"/>
      <c r="AY355" s="146"/>
    </row>
    <row r="356" ht="31.5" customHeight="1">
      <c r="AI356" s="37"/>
      <c r="AR356" s="61"/>
      <c r="AY356" s="146"/>
    </row>
    <row r="357" ht="31.5" customHeight="1">
      <c r="AI357" s="37"/>
      <c r="AR357" s="61"/>
      <c r="AY357" s="146"/>
    </row>
    <row r="358" ht="31.5" customHeight="1">
      <c r="AI358" s="37"/>
      <c r="AR358" s="61"/>
      <c r="AY358" s="146"/>
    </row>
    <row r="359" ht="31.5" customHeight="1">
      <c r="AI359" s="37"/>
      <c r="AR359" s="61"/>
      <c r="AY359" s="146"/>
    </row>
    <row r="360" ht="31.5" customHeight="1">
      <c r="AI360" s="37"/>
      <c r="AR360" s="61"/>
      <c r="AY360" s="146"/>
    </row>
    <row r="361" ht="31.5" customHeight="1">
      <c r="AI361" s="37"/>
      <c r="AR361" s="61"/>
      <c r="AY361" s="146"/>
    </row>
    <row r="362" ht="31.5" customHeight="1">
      <c r="AI362" s="37"/>
      <c r="AR362" s="61"/>
      <c r="AY362" s="146"/>
    </row>
    <row r="363" ht="31.5" customHeight="1">
      <c r="AI363" s="37"/>
      <c r="AR363" s="61"/>
      <c r="AY363" s="146"/>
    </row>
    <row r="364" ht="31.5" customHeight="1">
      <c r="AI364" s="37"/>
      <c r="AR364" s="61"/>
      <c r="AY364" s="146"/>
    </row>
    <row r="365" ht="31.5" customHeight="1">
      <c r="AI365" s="37"/>
      <c r="AR365" s="61"/>
      <c r="AY365" s="146"/>
    </row>
    <row r="366" ht="31.5" customHeight="1">
      <c r="AI366" s="37"/>
      <c r="AR366" s="61"/>
      <c r="AY366" s="146"/>
    </row>
    <row r="367" ht="31.5" customHeight="1">
      <c r="AI367" s="37"/>
      <c r="AR367" s="61"/>
      <c r="AY367" s="146"/>
    </row>
    <row r="368" ht="31.5" customHeight="1">
      <c r="AI368" s="37"/>
      <c r="AR368" s="61"/>
      <c r="AY368" s="146"/>
    </row>
    <row r="369" ht="31.5" customHeight="1">
      <c r="AI369" s="37"/>
      <c r="AR369" s="61"/>
      <c r="AY369" s="146"/>
    </row>
    <row r="370" ht="31.5" customHeight="1">
      <c r="AI370" s="37"/>
      <c r="AR370" s="61"/>
      <c r="AY370" s="146"/>
    </row>
    <row r="371" ht="31.5" customHeight="1">
      <c r="AI371" s="37"/>
      <c r="AR371" s="61"/>
      <c r="AY371" s="146"/>
    </row>
    <row r="372" ht="31.5" customHeight="1">
      <c r="AI372" s="37"/>
      <c r="AR372" s="61"/>
      <c r="AY372" s="146"/>
    </row>
    <row r="373" ht="31.5" customHeight="1">
      <c r="AI373" s="37"/>
      <c r="AR373" s="61"/>
      <c r="AY373" s="146"/>
    </row>
    <row r="374" ht="31.5" customHeight="1">
      <c r="AI374" s="37"/>
      <c r="AR374" s="61"/>
      <c r="AY374" s="146"/>
    </row>
    <row r="375" ht="31.5" customHeight="1">
      <c r="AI375" s="37"/>
      <c r="AR375" s="61"/>
      <c r="AY375" s="146"/>
    </row>
    <row r="376" ht="31.5" customHeight="1">
      <c r="AI376" s="37"/>
      <c r="AR376" s="61"/>
      <c r="AY376" s="146"/>
    </row>
    <row r="377" ht="31.5" customHeight="1">
      <c r="AI377" s="37"/>
      <c r="AR377" s="61"/>
      <c r="AY377" s="146"/>
    </row>
    <row r="378" ht="31.5" customHeight="1">
      <c r="AI378" s="37"/>
      <c r="AR378" s="61"/>
      <c r="AY378" s="146"/>
    </row>
    <row r="379" ht="31.5" customHeight="1">
      <c r="AI379" s="37"/>
      <c r="AR379" s="61"/>
      <c r="AY379" s="146"/>
    </row>
    <row r="380" ht="31.5" customHeight="1">
      <c r="AI380" s="37"/>
      <c r="AR380" s="61"/>
      <c r="AY380" s="146"/>
    </row>
    <row r="381" ht="31.5" customHeight="1">
      <c r="AI381" s="37"/>
      <c r="AR381" s="61"/>
      <c r="AY381" s="146"/>
    </row>
    <row r="382" ht="31.5" customHeight="1">
      <c r="AI382" s="37"/>
      <c r="AR382" s="61"/>
      <c r="AY382" s="146"/>
    </row>
    <row r="383" ht="31.5" customHeight="1">
      <c r="AI383" s="37"/>
      <c r="AR383" s="61"/>
      <c r="AY383" s="146"/>
    </row>
    <row r="384" ht="31.5" customHeight="1">
      <c r="AI384" s="37"/>
      <c r="AR384" s="61"/>
      <c r="AY384" s="146"/>
    </row>
    <row r="385" ht="31.5" customHeight="1">
      <c r="AI385" s="37"/>
      <c r="AR385" s="61"/>
      <c r="AY385" s="146"/>
    </row>
    <row r="386" ht="31.5" customHeight="1">
      <c r="AI386" s="37"/>
      <c r="AR386" s="61"/>
      <c r="AY386" s="146"/>
    </row>
    <row r="387" ht="31.5" customHeight="1">
      <c r="AI387" s="37"/>
      <c r="AR387" s="61"/>
      <c r="AY387" s="146"/>
    </row>
    <row r="388" ht="31.5" customHeight="1">
      <c r="AI388" s="37"/>
      <c r="AR388" s="61"/>
      <c r="AY388" s="146"/>
    </row>
    <row r="389" ht="31.5" customHeight="1">
      <c r="AI389" s="37"/>
      <c r="AR389" s="61"/>
      <c r="AY389" s="146"/>
    </row>
    <row r="390" ht="31.5" customHeight="1">
      <c r="AI390" s="37"/>
      <c r="AR390" s="61"/>
      <c r="AY390" s="146"/>
    </row>
    <row r="391" ht="31.5" customHeight="1">
      <c r="AI391" s="37"/>
      <c r="AR391" s="61"/>
      <c r="AY391" s="146"/>
    </row>
    <row r="392" ht="31.5" customHeight="1">
      <c r="AI392" s="37"/>
      <c r="AR392" s="61"/>
      <c r="AY392" s="146"/>
    </row>
    <row r="393" ht="31.5" customHeight="1">
      <c r="AI393" s="37"/>
      <c r="AR393" s="61"/>
      <c r="AY393" s="146"/>
    </row>
    <row r="394" ht="31.5" customHeight="1">
      <c r="AI394" s="37"/>
      <c r="AR394" s="61"/>
      <c r="AY394" s="146"/>
    </row>
    <row r="395" ht="31.5" customHeight="1">
      <c r="AI395" s="37"/>
      <c r="AR395" s="61"/>
      <c r="AY395" s="146"/>
    </row>
    <row r="396" ht="31.5" customHeight="1">
      <c r="AI396" s="37"/>
      <c r="AR396" s="61"/>
      <c r="AY396" s="146"/>
    </row>
    <row r="397" ht="31.5" customHeight="1">
      <c r="AI397" s="37"/>
      <c r="AR397" s="61"/>
      <c r="AY397" s="146"/>
    </row>
    <row r="398" ht="31.5" customHeight="1">
      <c r="AI398" s="37"/>
      <c r="AR398" s="61"/>
      <c r="AY398" s="146"/>
    </row>
    <row r="399" ht="31.5" customHeight="1">
      <c r="AI399" s="37"/>
      <c r="AR399" s="61"/>
      <c r="AY399" s="146"/>
    </row>
    <row r="400" ht="31.5" customHeight="1">
      <c r="AI400" s="37"/>
      <c r="AR400" s="61"/>
      <c r="AY400" s="146"/>
    </row>
    <row r="401" ht="31.5" customHeight="1">
      <c r="AI401" s="37"/>
      <c r="AR401" s="61"/>
      <c r="AY401" s="146"/>
    </row>
    <row r="402" ht="31.5" customHeight="1">
      <c r="AI402" s="37"/>
      <c r="AR402" s="61"/>
      <c r="AY402" s="146"/>
    </row>
    <row r="403" ht="31.5" customHeight="1">
      <c r="AI403" s="37"/>
      <c r="AR403" s="61"/>
      <c r="AY403" s="146"/>
    </row>
    <row r="404" ht="31.5" customHeight="1">
      <c r="AI404" s="37"/>
      <c r="AR404" s="61"/>
      <c r="AY404" s="146"/>
    </row>
    <row r="405" ht="31.5" customHeight="1">
      <c r="AI405" s="37"/>
      <c r="AR405" s="61"/>
      <c r="AY405" s="146"/>
    </row>
    <row r="406" ht="31.5" customHeight="1">
      <c r="AI406" s="37"/>
      <c r="AR406" s="61"/>
      <c r="AY406" s="146"/>
    </row>
    <row r="407" ht="31.5" customHeight="1">
      <c r="AI407" s="37"/>
      <c r="AR407" s="61"/>
      <c r="AY407" s="146"/>
    </row>
    <row r="408" ht="31.5" customHeight="1">
      <c r="AI408" s="37"/>
      <c r="AR408" s="61"/>
      <c r="AY408" s="146"/>
    </row>
    <row r="409" ht="31.5" customHeight="1">
      <c r="AI409" s="37"/>
      <c r="AR409" s="61"/>
      <c r="AY409" s="146"/>
    </row>
    <row r="410" ht="31.5" customHeight="1">
      <c r="AI410" s="37"/>
      <c r="AR410" s="61"/>
      <c r="AY410" s="146"/>
    </row>
    <row r="411" ht="31.5" customHeight="1">
      <c r="AI411" s="37"/>
      <c r="AR411" s="61"/>
      <c r="AY411" s="146"/>
    </row>
    <row r="412" ht="31.5" customHeight="1">
      <c r="AI412" s="37"/>
      <c r="AR412" s="61"/>
      <c r="AY412" s="146"/>
    </row>
    <row r="413" ht="31.5" customHeight="1">
      <c r="AI413" s="37"/>
      <c r="AR413" s="61"/>
      <c r="AY413" s="146"/>
    </row>
    <row r="414" ht="31.5" customHeight="1">
      <c r="AI414" s="37"/>
      <c r="AR414" s="61"/>
      <c r="AY414" s="146"/>
    </row>
    <row r="415" ht="31.5" customHeight="1">
      <c r="AI415" s="37"/>
      <c r="AR415" s="61"/>
      <c r="AY415" s="146"/>
    </row>
    <row r="416" ht="31.5" customHeight="1">
      <c r="AI416" s="37"/>
      <c r="AR416" s="61"/>
      <c r="AY416" s="146"/>
    </row>
    <row r="417" ht="31.5" customHeight="1">
      <c r="AI417" s="37"/>
      <c r="AR417" s="61"/>
      <c r="AY417" s="146"/>
    </row>
    <row r="418" ht="31.5" customHeight="1">
      <c r="AI418" s="37"/>
      <c r="AR418" s="61"/>
      <c r="AY418" s="146"/>
    </row>
    <row r="419" ht="31.5" customHeight="1">
      <c r="AI419" s="37"/>
      <c r="AR419" s="61"/>
      <c r="AY419" s="146"/>
    </row>
    <row r="420" ht="31.5" customHeight="1">
      <c r="AI420" s="37"/>
      <c r="AR420" s="61"/>
      <c r="AY420" s="146"/>
    </row>
    <row r="421" ht="31.5" customHeight="1">
      <c r="AI421" s="37"/>
      <c r="AR421" s="61"/>
      <c r="AY421" s="146"/>
    </row>
    <row r="422" ht="31.5" customHeight="1">
      <c r="AI422" s="37"/>
      <c r="AR422" s="61"/>
      <c r="AY422" s="146"/>
    </row>
    <row r="423" ht="31.5" customHeight="1">
      <c r="AI423" s="37"/>
      <c r="AR423" s="61"/>
      <c r="AY423" s="146"/>
    </row>
    <row r="424" ht="31.5" customHeight="1">
      <c r="AI424" s="37"/>
      <c r="AR424" s="61"/>
      <c r="AY424" s="146"/>
    </row>
    <row r="425" ht="31.5" customHeight="1">
      <c r="AI425" s="37"/>
      <c r="AR425" s="61"/>
      <c r="AY425" s="146"/>
    </row>
    <row r="426" ht="31.5" customHeight="1">
      <c r="AI426" s="37"/>
      <c r="AR426" s="61"/>
      <c r="AY426" s="146"/>
    </row>
    <row r="427" ht="31.5" customHeight="1">
      <c r="AI427" s="37"/>
      <c r="AR427" s="61"/>
      <c r="AY427" s="146"/>
    </row>
    <row r="428" ht="31.5" customHeight="1">
      <c r="AI428" s="37"/>
      <c r="AR428" s="61"/>
      <c r="AY428" s="146"/>
    </row>
    <row r="429" ht="31.5" customHeight="1">
      <c r="AI429" s="37"/>
      <c r="AR429" s="61"/>
      <c r="AY429" s="146"/>
    </row>
    <row r="430" ht="31.5" customHeight="1">
      <c r="AI430" s="37"/>
      <c r="AR430" s="61"/>
      <c r="AY430" s="146"/>
    </row>
    <row r="431" ht="31.5" customHeight="1">
      <c r="AI431" s="37"/>
      <c r="AR431" s="61"/>
      <c r="AY431" s="146"/>
    </row>
    <row r="432" ht="31.5" customHeight="1">
      <c r="AI432" s="37"/>
      <c r="AR432" s="61"/>
      <c r="AY432" s="146"/>
    </row>
    <row r="433" ht="31.5" customHeight="1">
      <c r="AI433" s="37"/>
      <c r="AR433" s="61"/>
      <c r="AY433" s="146"/>
    </row>
    <row r="434" ht="31.5" customHeight="1">
      <c r="AI434" s="37"/>
      <c r="AR434" s="61"/>
      <c r="AY434" s="146"/>
    </row>
    <row r="435" ht="31.5" customHeight="1">
      <c r="AI435" s="37"/>
      <c r="AR435" s="61"/>
      <c r="AY435" s="146"/>
    </row>
    <row r="436" ht="31.5" customHeight="1">
      <c r="AI436" s="37"/>
      <c r="AR436" s="61"/>
      <c r="AY436" s="146"/>
    </row>
    <row r="437" ht="31.5" customHeight="1">
      <c r="AI437" s="37"/>
      <c r="AR437" s="61"/>
      <c r="AY437" s="146"/>
    </row>
    <row r="438" ht="31.5" customHeight="1">
      <c r="AI438" s="37"/>
      <c r="AR438" s="61"/>
      <c r="AY438" s="146"/>
    </row>
    <row r="439" ht="31.5" customHeight="1">
      <c r="AI439" s="37"/>
      <c r="AR439" s="61"/>
      <c r="AY439" s="146"/>
    </row>
    <row r="440" ht="31.5" customHeight="1">
      <c r="AI440" s="37"/>
      <c r="AR440" s="61"/>
      <c r="AY440" s="146"/>
    </row>
    <row r="441" ht="31.5" customHeight="1">
      <c r="AI441" s="37"/>
      <c r="AR441" s="61"/>
      <c r="AY441" s="146"/>
    </row>
    <row r="442" ht="31.5" customHeight="1">
      <c r="AI442" s="37"/>
      <c r="AR442" s="61"/>
      <c r="AY442" s="146"/>
    </row>
    <row r="443" ht="31.5" customHeight="1">
      <c r="AI443" s="37"/>
      <c r="AR443" s="61"/>
      <c r="AY443" s="146"/>
    </row>
    <row r="444" ht="31.5" customHeight="1">
      <c r="AI444" s="37"/>
      <c r="AR444" s="61"/>
      <c r="AY444" s="146"/>
    </row>
    <row r="445" ht="31.5" customHeight="1">
      <c r="AI445" s="37"/>
      <c r="AR445" s="61"/>
      <c r="AY445" s="146"/>
    </row>
    <row r="446" ht="31.5" customHeight="1">
      <c r="AI446" s="37"/>
      <c r="AR446" s="61"/>
      <c r="AY446" s="146"/>
    </row>
    <row r="447" ht="31.5" customHeight="1">
      <c r="AI447" s="37"/>
      <c r="AR447" s="61"/>
      <c r="AY447" s="146"/>
    </row>
    <row r="448" ht="31.5" customHeight="1">
      <c r="AI448" s="37"/>
      <c r="AR448" s="61"/>
      <c r="AY448" s="146"/>
    </row>
    <row r="449" ht="31.5" customHeight="1">
      <c r="AI449" s="37"/>
      <c r="AR449" s="61"/>
      <c r="AY449" s="146"/>
    </row>
    <row r="450" ht="31.5" customHeight="1">
      <c r="AI450" s="37"/>
      <c r="AR450" s="61"/>
      <c r="AY450" s="146"/>
    </row>
    <row r="451" ht="31.5" customHeight="1">
      <c r="AI451" s="37"/>
      <c r="AR451" s="61"/>
      <c r="AY451" s="146"/>
    </row>
    <row r="452" ht="31.5" customHeight="1">
      <c r="AI452" s="37"/>
      <c r="AR452" s="61"/>
      <c r="AY452" s="146"/>
    </row>
    <row r="453" ht="31.5" customHeight="1">
      <c r="AI453" s="37"/>
      <c r="AR453" s="61"/>
      <c r="AY453" s="146"/>
    </row>
    <row r="454" ht="31.5" customHeight="1">
      <c r="AI454" s="37"/>
      <c r="AR454" s="61"/>
      <c r="AY454" s="146"/>
    </row>
    <row r="455" ht="31.5" customHeight="1">
      <c r="AI455" s="37"/>
      <c r="AR455" s="61"/>
      <c r="AY455" s="146"/>
    </row>
    <row r="456" ht="31.5" customHeight="1">
      <c r="AI456" s="37"/>
      <c r="AR456" s="61"/>
      <c r="AY456" s="146"/>
    </row>
    <row r="457" ht="31.5" customHeight="1">
      <c r="AI457" s="37"/>
      <c r="AR457" s="61"/>
      <c r="AY457" s="146"/>
    </row>
    <row r="458" ht="31.5" customHeight="1">
      <c r="AI458" s="37"/>
      <c r="AR458" s="61"/>
      <c r="AY458" s="146"/>
    </row>
    <row r="459" ht="31.5" customHeight="1">
      <c r="AI459" s="37"/>
      <c r="AR459" s="61"/>
      <c r="AY459" s="146"/>
    </row>
    <row r="460" ht="31.5" customHeight="1">
      <c r="AI460" s="37"/>
      <c r="AR460" s="61"/>
      <c r="AY460" s="146"/>
    </row>
    <row r="461" ht="31.5" customHeight="1">
      <c r="AI461" s="37"/>
      <c r="AR461" s="61"/>
      <c r="AY461" s="146"/>
    </row>
    <row r="462" ht="31.5" customHeight="1">
      <c r="AI462" s="37"/>
      <c r="AR462" s="61"/>
      <c r="AY462" s="146"/>
    </row>
    <row r="463" ht="31.5" customHeight="1">
      <c r="AI463" s="37"/>
      <c r="AR463" s="61"/>
      <c r="AY463" s="146"/>
    </row>
    <row r="464" ht="31.5" customHeight="1">
      <c r="AI464" s="37"/>
      <c r="AR464" s="61"/>
      <c r="AY464" s="146"/>
    </row>
    <row r="465" ht="31.5" customHeight="1">
      <c r="AI465" s="37"/>
      <c r="AR465" s="61"/>
      <c r="AY465" s="146"/>
    </row>
    <row r="466" ht="31.5" customHeight="1">
      <c r="AI466" s="37"/>
      <c r="AR466" s="61"/>
      <c r="AY466" s="146"/>
    </row>
    <row r="467" ht="31.5" customHeight="1">
      <c r="AI467" s="37"/>
      <c r="AR467" s="61"/>
      <c r="AY467" s="146"/>
    </row>
    <row r="468" ht="31.5" customHeight="1">
      <c r="AI468" s="37"/>
      <c r="AR468" s="61"/>
      <c r="AY468" s="146"/>
    </row>
    <row r="469" ht="31.5" customHeight="1">
      <c r="AI469" s="37"/>
      <c r="AR469" s="61"/>
      <c r="AY469" s="146"/>
    </row>
    <row r="470" ht="31.5" customHeight="1">
      <c r="AI470" s="37"/>
      <c r="AR470" s="61"/>
      <c r="AY470" s="146"/>
    </row>
    <row r="471" ht="31.5" customHeight="1">
      <c r="AI471" s="37"/>
      <c r="AR471" s="61"/>
      <c r="AY471" s="146"/>
    </row>
    <row r="472" ht="31.5" customHeight="1">
      <c r="AI472" s="37"/>
      <c r="AR472" s="61"/>
      <c r="AY472" s="146"/>
    </row>
    <row r="473" ht="31.5" customHeight="1">
      <c r="AI473" s="37"/>
      <c r="AR473" s="61"/>
      <c r="AY473" s="146"/>
    </row>
    <row r="474" ht="31.5" customHeight="1">
      <c r="AI474" s="37"/>
      <c r="AR474" s="61"/>
      <c r="AY474" s="146"/>
    </row>
    <row r="475" ht="31.5" customHeight="1">
      <c r="AI475" s="37"/>
      <c r="AR475" s="61"/>
      <c r="AY475" s="146"/>
    </row>
    <row r="476" ht="31.5" customHeight="1">
      <c r="AI476" s="37"/>
      <c r="AR476" s="61"/>
      <c r="AY476" s="146"/>
    </row>
    <row r="477" ht="31.5" customHeight="1">
      <c r="AI477" s="37"/>
      <c r="AR477" s="61"/>
      <c r="AY477" s="146"/>
    </row>
    <row r="478" ht="31.5" customHeight="1">
      <c r="AI478" s="37"/>
      <c r="AR478" s="61"/>
      <c r="AY478" s="146"/>
    </row>
    <row r="479" ht="31.5" customHeight="1">
      <c r="AI479" s="37"/>
      <c r="AR479" s="61"/>
      <c r="AY479" s="146"/>
    </row>
    <row r="480" ht="31.5" customHeight="1">
      <c r="AI480" s="37"/>
      <c r="AR480" s="61"/>
      <c r="AY480" s="146"/>
    </row>
    <row r="481" ht="31.5" customHeight="1">
      <c r="AI481" s="37"/>
      <c r="AR481" s="61"/>
      <c r="AY481" s="146"/>
    </row>
    <row r="482" ht="31.5" customHeight="1">
      <c r="AI482" s="37"/>
      <c r="AR482" s="61"/>
      <c r="AY482" s="146"/>
    </row>
    <row r="483" ht="31.5" customHeight="1">
      <c r="AI483" s="37"/>
      <c r="AR483" s="61"/>
      <c r="AY483" s="146"/>
    </row>
    <row r="484" ht="31.5" customHeight="1">
      <c r="AI484" s="37"/>
      <c r="AR484" s="61"/>
      <c r="AY484" s="146"/>
    </row>
    <row r="485" ht="31.5" customHeight="1">
      <c r="AI485" s="37"/>
      <c r="AR485" s="61"/>
      <c r="AY485" s="146"/>
    </row>
    <row r="486" ht="31.5" customHeight="1">
      <c r="AI486" s="37"/>
      <c r="AR486" s="61"/>
      <c r="AY486" s="146"/>
    </row>
    <row r="487" ht="31.5" customHeight="1">
      <c r="AI487" s="37"/>
      <c r="AR487" s="61"/>
      <c r="AY487" s="146"/>
    </row>
    <row r="488" ht="31.5" customHeight="1">
      <c r="AI488" s="37"/>
      <c r="AR488" s="61"/>
      <c r="AY488" s="146"/>
    </row>
    <row r="489" ht="31.5" customHeight="1">
      <c r="AI489" s="37"/>
      <c r="AR489" s="61"/>
      <c r="AY489" s="146"/>
    </row>
    <row r="490" ht="31.5" customHeight="1">
      <c r="AI490" s="37"/>
      <c r="AR490" s="61"/>
      <c r="AY490" s="146"/>
    </row>
    <row r="491" ht="31.5" customHeight="1">
      <c r="AI491" s="37"/>
      <c r="AR491" s="61"/>
      <c r="AY491" s="146"/>
    </row>
    <row r="492" ht="31.5" customHeight="1">
      <c r="AI492" s="37"/>
      <c r="AR492" s="61"/>
      <c r="AY492" s="146"/>
    </row>
    <row r="493" ht="31.5" customHeight="1">
      <c r="AI493" s="37"/>
      <c r="AR493" s="61"/>
      <c r="AY493" s="146"/>
    </row>
    <row r="494" ht="31.5" customHeight="1">
      <c r="AI494" s="37"/>
      <c r="AR494" s="61"/>
      <c r="AY494" s="146"/>
    </row>
    <row r="495" ht="31.5" customHeight="1">
      <c r="AI495" s="37"/>
      <c r="AR495" s="61"/>
      <c r="AY495" s="146"/>
    </row>
    <row r="496" ht="31.5" customHeight="1">
      <c r="AI496" s="37"/>
      <c r="AR496" s="61"/>
      <c r="AY496" s="146"/>
    </row>
    <row r="497" ht="31.5" customHeight="1">
      <c r="AI497" s="37"/>
      <c r="AR497" s="61"/>
      <c r="AY497" s="146"/>
    </row>
    <row r="498" ht="31.5" customHeight="1">
      <c r="AI498" s="37"/>
      <c r="AR498" s="61"/>
      <c r="AY498" s="146"/>
    </row>
    <row r="499" ht="31.5" customHeight="1">
      <c r="AI499" s="37"/>
      <c r="AR499" s="61"/>
      <c r="AY499" s="146"/>
    </row>
    <row r="500" ht="31.5" customHeight="1">
      <c r="AI500" s="37"/>
      <c r="AR500" s="61"/>
      <c r="AY500" s="146"/>
    </row>
    <row r="501" ht="31.5" customHeight="1">
      <c r="AI501" s="37"/>
      <c r="AR501" s="61"/>
      <c r="AY501" s="146"/>
    </row>
    <row r="502" ht="31.5" customHeight="1">
      <c r="AI502" s="37"/>
      <c r="AR502" s="61"/>
      <c r="AY502" s="146"/>
    </row>
    <row r="503" ht="31.5" customHeight="1">
      <c r="AI503" s="37"/>
      <c r="AR503" s="61"/>
      <c r="AY503" s="146"/>
    </row>
    <row r="504" ht="31.5" customHeight="1">
      <c r="AI504" s="37"/>
      <c r="AR504" s="61"/>
      <c r="AY504" s="146"/>
    </row>
    <row r="505" ht="31.5" customHeight="1">
      <c r="AI505" s="37"/>
      <c r="AR505" s="61"/>
      <c r="AY505" s="146"/>
    </row>
    <row r="506" ht="31.5" customHeight="1">
      <c r="AI506" s="37"/>
      <c r="AR506" s="61"/>
      <c r="AY506" s="146"/>
    </row>
    <row r="507" ht="31.5" customHeight="1">
      <c r="AI507" s="37"/>
      <c r="AR507" s="61"/>
      <c r="AY507" s="146"/>
    </row>
    <row r="508" ht="31.5" customHeight="1">
      <c r="AI508" s="37"/>
      <c r="AR508" s="61"/>
      <c r="AY508" s="146"/>
    </row>
    <row r="509" ht="31.5" customHeight="1">
      <c r="AI509" s="37"/>
      <c r="AR509" s="61"/>
      <c r="AY509" s="146"/>
    </row>
    <row r="510" ht="31.5" customHeight="1">
      <c r="AI510" s="37"/>
      <c r="AR510" s="61"/>
      <c r="AY510" s="146"/>
    </row>
    <row r="511" ht="31.5" customHeight="1">
      <c r="AI511" s="37"/>
      <c r="AR511" s="61"/>
      <c r="AY511" s="146"/>
    </row>
    <row r="512" ht="31.5" customHeight="1">
      <c r="AI512" s="37"/>
      <c r="AR512" s="61"/>
      <c r="AY512" s="146"/>
    </row>
    <row r="513" ht="31.5" customHeight="1">
      <c r="AI513" s="37"/>
      <c r="AR513" s="61"/>
      <c r="AY513" s="146"/>
    </row>
    <row r="514" ht="31.5" customHeight="1">
      <c r="AI514" s="37"/>
      <c r="AR514" s="61"/>
      <c r="AY514" s="146"/>
    </row>
    <row r="515" ht="31.5" customHeight="1">
      <c r="AI515" s="37"/>
      <c r="AR515" s="61"/>
      <c r="AY515" s="146"/>
    </row>
    <row r="516" ht="31.5" customHeight="1">
      <c r="AI516" s="37"/>
      <c r="AR516" s="61"/>
      <c r="AY516" s="146"/>
    </row>
    <row r="517" ht="31.5" customHeight="1">
      <c r="AI517" s="37"/>
      <c r="AR517" s="61"/>
      <c r="AY517" s="146"/>
    </row>
    <row r="518" ht="31.5" customHeight="1">
      <c r="AI518" s="37"/>
      <c r="AR518" s="61"/>
      <c r="AY518" s="146"/>
    </row>
    <row r="519" ht="31.5" customHeight="1">
      <c r="AI519" s="37"/>
      <c r="AR519" s="61"/>
      <c r="AY519" s="146"/>
    </row>
    <row r="520" ht="31.5" customHeight="1">
      <c r="AI520" s="37"/>
      <c r="AR520" s="61"/>
      <c r="AY520" s="146"/>
    </row>
    <row r="521" ht="31.5" customHeight="1">
      <c r="AI521" s="37"/>
      <c r="AR521" s="61"/>
      <c r="AY521" s="146"/>
    </row>
    <row r="522" ht="31.5" customHeight="1">
      <c r="AI522" s="37"/>
      <c r="AR522" s="61"/>
      <c r="AY522" s="146"/>
    </row>
    <row r="523" ht="31.5" customHeight="1">
      <c r="AI523" s="37"/>
      <c r="AR523" s="61"/>
      <c r="AY523" s="146"/>
    </row>
    <row r="524" ht="31.5" customHeight="1">
      <c r="AI524" s="37"/>
      <c r="AR524" s="61"/>
      <c r="AY524" s="146"/>
    </row>
    <row r="525" ht="31.5" customHeight="1">
      <c r="AI525" s="37"/>
      <c r="AR525" s="61"/>
      <c r="AY525" s="146"/>
    </row>
    <row r="526" ht="31.5" customHeight="1">
      <c r="AI526" s="37"/>
      <c r="AR526" s="61"/>
      <c r="AY526" s="146"/>
    </row>
    <row r="527" ht="31.5" customHeight="1">
      <c r="AI527" s="37"/>
      <c r="AR527" s="61"/>
      <c r="AY527" s="146"/>
    </row>
    <row r="528" ht="31.5" customHeight="1">
      <c r="AI528" s="37"/>
      <c r="AR528" s="61"/>
      <c r="AY528" s="146"/>
    </row>
    <row r="529" ht="31.5" customHeight="1">
      <c r="AI529" s="37"/>
      <c r="AR529" s="61"/>
      <c r="AY529" s="146"/>
    </row>
    <row r="530" ht="31.5" customHeight="1">
      <c r="AI530" s="37"/>
      <c r="AR530" s="61"/>
      <c r="AY530" s="146"/>
    </row>
    <row r="531" ht="31.5" customHeight="1">
      <c r="AI531" s="37"/>
      <c r="AR531" s="61"/>
      <c r="AY531" s="146"/>
    </row>
    <row r="532" ht="31.5" customHeight="1">
      <c r="AI532" s="37"/>
      <c r="AR532" s="61"/>
      <c r="AY532" s="146"/>
    </row>
    <row r="533" ht="31.5" customHeight="1">
      <c r="AI533" s="37"/>
      <c r="AR533" s="61"/>
      <c r="AY533" s="146"/>
    </row>
    <row r="534" ht="31.5" customHeight="1">
      <c r="AI534" s="37"/>
      <c r="AR534" s="61"/>
      <c r="AY534" s="146"/>
    </row>
    <row r="535" ht="31.5" customHeight="1">
      <c r="AI535" s="37"/>
      <c r="AR535" s="61"/>
      <c r="AY535" s="146"/>
    </row>
    <row r="536" ht="31.5" customHeight="1">
      <c r="AI536" s="37"/>
      <c r="AR536" s="61"/>
      <c r="AY536" s="146"/>
    </row>
    <row r="537" ht="31.5" customHeight="1">
      <c r="AI537" s="37"/>
      <c r="AR537" s="61"/>
      <c r="AY537" s="146"/>
    </row>
    <row r="538" ht="31.5" customHeight="1">
      <c r="AI538" s="37"/>
      <c r="AR538" s="61"/>
      <c r="AY538" s="146"/>
    </row>
    <row r="539" ht="31.5" customHeight="1">
      <c r="AI539" s="37"/>
      <c r="AR539" s="61"/>
      <c r="AY539" s="146"/>
    </row>
    <row r="540" ht="31.5" customHeight="1">
      <c r="AI540" s="37"/>
      <c r="AR540" s="61"/>
      <c r="AY540" s="146"/>
    </row>
    <row r="541" ht="31.5" customHeight="1">
      <c r="AI541" s="37"/>
      <c r="AR541" s="61"/>
      <c r="AY541" s="146"/>
    </row>
    <row r="542" ht="31.5" customHeight="1">
      <c r="AI542" s="37"/>
      <c r="AR542" s="61"/>
      <c r="AY542" s="146"/>
    </row>
    <row r="543" ht="31.5" customHeight="1">
      <c r="AI543" s="37"/>
      <c r="AR543" s="61"/>
      <c r="AY543" s="146"/>
    </row>
    <row r="544" ht="31.5" customHeight="1">
      <c r="AI544" s="37"/>
      <c r="AR544" s="61"/>
      <c r="AY544" s="146"/>
    </row>
    <row r="545" ht="31.5" customHeight="1">
      <c r="AI545" s="37"/>
      <c r="AR545" s="61"/>
      <c r="AY545" s="146"/>
    </row>
    <row r="546" ht="31.5" customHeight="1">
      <c r="AI546" s="37"/>
      <c r="AR546" s="61"/>
      <c r="AY546" s="146"/>
    </row>
    <row r="547" ht="31.5" customHeight="1">
      <c r="AI547" s="37"/>
      <c r="AR547" s="61"/>
      <c r="AY547" s="146"/>
    </row>
    <row r="548" ht="31.5" customHeight="1">
      <c r="AI548" s="37"/>
      <c r="AR548" s="61"/>
      <c r="AY548" s="146"/>
    </row>
    <row r="549" ht="31.5" customHeight="1">
      <c r="AI549" s="37"/>
      <c r="AR549" s="61"/>
      <c r="AY549" s="146"/>
    </row>
    <row r="550" ht="31.5" customHeight="1">
      <c r="AI550" s="37"/>
      <c r="AR550" s="61"/>
      <c r="AY550" s="146"/>
    </row>
    <row r="551" ht="31.5" customHeight="1">
      <c r="AI551" s="37"/>
      <c r="AR551" s="61"/>
      <c r="AY551" s="146"/>
    </row>
    <row r="552" ht="31.5" customHeight="1">
      <c r="AI552" s="37"/>
      <c r="AR552" s="61"/>
      <c r="AY552" s="146"/>
    </row>
    <row r="553" ht="31.5" customHeight="1">
      <c r="AI553" s="37"/>
      <c r="AR553" s="61"/>
      <c r="AY553" s="146"/>
    </row>
    <row r="554" ht="31.5" customHeight="1">
      <c r="AI554" s="37"/>
      <c r="AR554" s="61"/>
      <c r="AY554" s="146"/>
    </row>
    <row r="555" ht="31.5" customHeight="1">
      <c r="AI555" s="37"/>
      <c r="AR555" s="61"/>
      <c r="AY555" s="146"/>
    </row>
    <row r="556" ht="31.5" customHeight="1">
      <c r="AI556" s="37"/>
      <c r="AR556" s="61"/>
      <c r="AY556" s="146"/>
    </row>
    <row r="557" ht="31.5" customHeight="1">
      <c r="AI557" s="37"/>
      <c r="AR557" s="61"/>
      <c r="AY557" s="146"/>
    </row>
    <row r="558" ht="31.5" customHeight="1">
      <c r="AI558" s="37"/>
      <c r="AR558" s="61"/>
      <c r="AY558" s="146"/>
    </row>
    <row r="559" ht="31.5" customHeight="1">
      <c r="AI559" s="37"/>
      <c r="AR559" s="61"/>
      <c r="AY559" s="146"/>
    </row>
    <row r="560" ht="31.5" customHeight="1">
      <c r="AI560" s="37"/>
      <c r="AR560" s="61"/>
      <c r="AY560" s="146"/>
    </row>
    <row r="561" ht="31.5" customHeight="1">
      <c r="AI561" s="37"/>
      <c r="AR561" s="61"/>
      <c r="AY561" s="146"/>
    </row>
    <row r="562" ht="31.5" customHeight="1">
      <c r="AI562" s="37"/>
      <c r="AR562" s="61"/>
      <c r="AY562" s="146"/>
    </row>
    <row r="563" ht="31.5" customHeight="1">
      <c r="AI563" s="37"/>
      <c r="AR563" s="61"/>
      <c r="AY563" s="146"/>
    </row>
    <row r="564" ht="31.5" customHeight="1">
      <c r="AI564" s="37"/>
      <c r="AR564" s="61"/>
      <c r="AY564" s="146"/>
    </row>
    <row r="565" ht="31.5" customHeight="1">
      <c r="AI565" s="37"/>
      <c r="AR565" s="61"/>
      <c r="AY565" s="146"/>
    </row>
    <row r="566" ht="31.5" customHeight="1">
      <c r="AI566" s="37"/>
      <c r="AR566" s="61"/>
      <c r="AY566" s="146"/>
    </row>
    <row r="567" ht="31.5" customHeight="1">
      <c r="AI567" s="37"/>
      <c r="AR567" s="61"/>
      <c r="AY567" s="146"/>
    </row>
    <row r="568" ht="31.5" customHeight="1">
      <c r="AI568" s="37"/>
      <c r="AR568" s="61"/>
      <c r="AY568" s="146"/>
    </row>
    <row r="569" ht="31.5" customHeight="1">
      <c r="AI569" s="37"/>
      <c r="AR569" s="61"/>
      <c r="AY569" s="146"/>
    </row>
    <row r="570" ht="31.5" customHeight="1">
      <c r="AI570" s="37"/>
      <c r="AR570" s="61"/>
      <c r="AY570" s="146"/>
    </row>
    <row r="571" ht="31.5" customHeight="1">
      <c r="AI571" s="37"/>
      <c r="AR571" s="61"/>
      <c r="AY571" s="146"/>
    </row>
    <row r="572" ht="31.5" customHeight="1">
      <c r="AI572" s="37"/>
      <c r="AR572" s="61"/>
      <c r="AY572" s="146"/>
    </row>
    <row r="573" ht="31.5" customHeight="1">
      <c r="AI573" s="37"/>
      <c r="AR573" s="61"/>
      <c r="AY573" s="146"/>
    </row>
    <row r="574" ht="31.5" customHeight="1">
      <c r="AI574" s="37"/>
      <c r="AR574" s="61"/>
      <c r="AY574" s="146"/>
    </row>
    <row r="575" ht="31.5" customHeight="1">
      <c r="AI575" s="37"/>
      <c r="AR575" s="61"/>
      <c r="AY575" s="146"/>
    </row>
    <row r="576" ht="31.5" customHeight="1">
      <c r="AI576" s="37"/>
      <c r="AR576" s="61"/>
      <c r="AY576" s="146"/>
    </row>
    <row r="577" ht="31.5" customHeight="1">
      <c r="AI577" s="37"/>
      <c r="AR577" s="61"/>
      <c r="AY577" s="146"/>
    </row>
    <row r="578" ht="31.5" customHeight="1">
      <c r="AI578" s="37"/>
      <c r="AR578" s="61"/>
      <c r="AY578" s="146"/>
    </row>
    <row r="579" ht="31.5" customHeight="1">
      <c r="AI579" s="37"/>
      <c r="AR579" s="61"/>
      <c r="AY579" s="146"/>
    </row>
    <row r="580" ht="31.5" customHeight="1">
      <c r="AI580" s="37"/>
      <c r="AR580" s="61"/>
      <c r="AY580" s="146"/>
    </row>
    <row r="581" ht="31.5" customHeight="1">
      <c r="AI581" s="37"/>
      <c r="AR581" s="61"/>
      <c r="AY581" s="146"/>
    </row>
    <row r="582" ht="31.5" customHeight="1">
      <c r="AI582" s="37"/>
      <c r="AR582" s="61"/>
      <c r="AY582" s="146"/>
    </row>
    <row r="583" ht="31.5" customHeight="1">
      <c r="AI583" s="37"/>
      <c r="AR583" s="61"/>
      <c r="AY583" s="146"/>
    </row>
    <row r="584" ht="31.5" customHeight="1">
      <c r="AI584" s="37"/>
      <c r="AR584" s="61"/>
      <c r="AY584" s="146"/>
    </row>
    <row r="585" ht="31.5" customHeight="1">
      <c r="AI585" s="37"/>
      <c r="AR585" s="61"/>
      <c r="AY585" s="146"/>
    </row>
    <row r="586" ht="31.5" customHeight="1">
      <c r="AI586" s="37"/>
      <c r="AR586" s="61"/>
      <c r="AY586" s="146"/>
    </row>
    <row r="587" ht="31.5" customHeight="1">
      <c r="AI587" s="37"/>
      <c r="AR587" s="61"/>
      <c r="AY587" s="146"/>
    </row>
    <row r="588" ht="31.5" customHeight="1">
      <c r="AI588" s="37"/>
      <c r="AR588" s="61"/>
      <c r="AY588" s="146"/>
    </row>
    <row r="589" ht="31.5" customHeight="1">
      <c r="AI589" s="37"/>
      <c r="AR589" s="61"/>
      <c r="AY589" s="146"/>
    </row>
    <row r="590" ht="31.5" customHeight="1">
      <c r="AI590" s="37"/>
      <c r="AR590" s="61"/>
      <c r="AY590" s="146"/>
    </row>
    <row r="591" ht="31.5" customHeight="1">
      <c r="AI591" s="37"/>
      <c r="AR591" s="61"/>
      <c r="AY591" s="146"/>
    </row>
    <row r="592" ht="31.5" customHeight="1">
      <c r="AI592" s="37"/>
      <c r="AR592" s="61"/>
      <c r="AY592" s="146"/>
    </row>
    <row r="593" ht="31.5" customHeight="1">
      <c r="AI593" s="37"/>
      <c r="AR593" s="61"/>
      <c r="AY593" s="146"/>
    </row>
    <row r="594" ht="31.5" customHeight="1">
      <c r="AI594" s="37"/>
      <c r="AR594" s="61"/>
      <c r="AY594" s="146"/>
    </row>
    <row r="595" ht="31.5" customHeight="1">
      <c r="AI595" s="37"/>
      <c r="AR595" s="61"/>
      <c r="AY595" s="146"/>
    </row>
    <row r="596" ht="31.5" customHeight="1">
      <c r="AI596" s="37"/>
      <c r="AR596" s="61"/>
      <c r="AY596" s="146"/>
    </row>
    <row r="597" ht="31.5" customHeight="1">
      <c r="AI597" s="37"/>
      <c r="AR597" s="61"/>
      <c r="AY597" s="146"/>
    </row>
    <row r="598" ht="31.5" customHeight="1">
      <c r="AI598" s="37"/>
      <c r="AR598" s="61"/>
      <c r="AY598" s="146"/>
    </row>
    <row r="599" ht="31.5" customHeight="1">
      <c r="AI599" s="37"/>
      <c r="AR599" s="61"/>
      <c r="AY599" s="146"/>
    </row>
    <row r="600" ht="31.5" customHeight="1">
      <c r="AI600" s="37"/>
      <c r="AR600" s="61"/>
      <c r="AY600" s="146"/>
    </row>
    <row r="601" ht="31.5" customHeight="1">
      <c r="AI601" s="37"/>
      <c r="AR601" s="61"/>
      <c r="AY601" s="146"/>
    </row>
    <row r="602" ht="31.5" customHeight="1">
      <c r="AI602" s="37"/>
      <c r="AR602" s="61"/>
      <c r="AY602" s="146"/>
    </row>
    <row r="603" ht="31.5" customHeight="1">
      <c r="AI603" s="37"/>
      <c r="AR603" s="61"/>
      <c r="AY603" s="146"/>
    </row>
    <row r="604" ht="31.5" customHeight="1">
      <c r="AI604" s="37"/>
      <c r="AR604" s="61"/>
      <c r="AY604" s="146"/>
    </row>
    <row r="605" ht="31.5" customHeight="1">
      <c r="AI605" s="37"/>
      <c r="AR605" s="61"/>
      <c r="AY605" s="146"/>
    </row>
    <row r="606" ht="31.5" customHeight="1">
      <c r="AI606" s="37"/>
      <c r="AR606" s="61"/>
      <c r="AY606" s="146"/>
    </row>
    <row r="607" ht="31.5" customHeight="1">
      <c r="AI607" s="37"/>
      <c r="AR607" s="61"/>
      <c r="AY607" s="146"/>
    </row>
    <row r="608" ht="31.5" customHeight="1">
      <c r="AI608" s="37"/>
      <c r="AR608" s="61"/>
      <c r="AY608" s="146"/>
    </row>
    <row r="609" ht="31.5" customHeight="1">
      <c r="AI609" s="37"/>
      <c r="AR609" s="61"/>
      <c r="AY609" s="146"/>
    </row>
    <row r="610" ht="31.5" customHeight="1">
      <c r="AI610" s="37"/>
      <c r="AR610" s="61"/>
      <c r="AY610" s="146"/>
    </row>
    <row r="611" ht="31.5" customHeight="1">
      <c r="AI611" s="37"/>
      <c r="AR611" s="61"/>
      <c r="AY611" s="146"/>
    </row>
    <row r="612" ht="31.5" customHeight="1">
      <c r="AI612" s="37"/>
      <c r="AR612" s="61"/>
      <c r="AY612" s="146"/>
    </row>
    <row r="613" ht="31.5" customHeight="1">
      <c r="AI613" s="37"/>
      <c r="AR613" s="61"/>
      <c r="AY613" s="146"/>
    </row>
    <row r="614" ht="31.5" customHeight="1">
      <c r="AI614" s="37"/>
      <c r="AR614" s="61"/>
      <c r="AY614" s="146"/>
    </row>
    <row r="615" ht="31.5" customHeight="1">
      <c r="AI615" s="37"/>
      <c r="AR615" s="61"/>
      <c r="AY615" s="146"/>
    </row>
    <row r="616" ht="31.5" customHeight="1">
      <c r="AI616" s="37"/>
      <c r="AR616" s="61"/>
      <c r="AY616" s="146"/>
    </row>
    <row r="617" ht="31.5" customHeight="1">
      <c r="AI617" s="37"/>
      <c r="AR617" s="61"/>
      <c r="AY617" s="146"/>
    </row>
    <row r="618" ht="31.5" customHeight="1">
      <c r="AI618" s="37"/>
      <c r="AR618" s="61"/>
      <c r="AY618" s="146"/>
    </row>
    <row r="619" ht="31.5" customHeight="1">
      <c r="AI619" s="37"/>
      <c r="AR619" s="61"/>
      <c r="AY619" s="146"/>
    </row>
    <row r="620" ht="31.5" customHeight="1">
      <c r="AI620" s="37"/>
      <c r="AR620" s="61"/>
      <c r="AY620" s="146"/>
    </row>
    <row r="621" ht="31.5" customHeight="1">
      <c r="AI621" s="37"/>
      <c r="AR621" s="61"/>
      <c r="AY621" s="146"/>
    </row>
    <row r="622" ht="31.5" customHeight="1">
      <c r="AI622" s="37"/>
      <c r="AR622" s="61"/>
      <c r="AY622" s="146"/>
    </row>
    <row r="623" ht="31.5" customHeight="1">
      <c r="AI623" s="37"/>
      <c r="AR623" s="61"/>
      <c r="AY623" s="146"/>
    </row>
    <row r="624" ht="31.5" customHeight="1">
      <c r="AI624" s="37"/>
      <c r="AR624" s="61"/>
      <c r="AY624" s="146"/>
    </row>
    <row r="625" ht="31.5" customHeight="1">
      <c r="AI625" s="37"/>
      <c r="AR625" s="61"/>
      <c r="AY625" s="146"/>
    </row>
    <row r="626" ht="31.5" customHeight="1">
      <c r="AI626" s="37"/>
      <c r="AR626" s="61"/>
      <c r="AY626" s="146"/>
    </row>
    <row r="627" ht="31.5" customHeight="1">
      <c r="AI627" s="37"/>
      <c r="AR627" s="61"/>
      <c r="AY627" s="146"/>
    </row>
    <row r="628" ht="31.5" customHeight="1">
      <c r="AI628" s="37"/>
      <c r="AR628" s="61"/>
      <c r="AY628" s="146"/>
    </row>
    <row r="629" ht="31.5" customHeight="1">
      <c r="AI629" s="37"/>
      <c r="AR629" s="61"/>
      <c r="AY629" s="146"/>
    </row>
    <row r="630" ht="31.5" customHeight="1">
      <c r="AI630" s="37"/>
      <c r="AR630" s="61"/>
      <c r="AY630" s="146"/>
    </row>
    <row r="631" ht="31.5" customHeight="1">
      <c r="AI631" s="37"/>
      <c r="AR631" s="61"/>
      <c r="AY631" s="146"/>
    </row>
    <row r="632" ht="31.5" customHeight="1">
      <c r="AI632" s="37"/>
      <c r="AR632" s="61"/>
      <c r="AY632" s="146"/>
    </row>
    <row r="633" ht="31.5" customHeight="1">
      <c r="AI633" s="37"/>
      <c r="AR633" s="61"/>
      <c r="AY633" s="146"/>
    </row>
    <row r="634" ht="31.5" customHeight="1">
      <c r="AI634" s="37"/>
      <c r="AR634" s="61"/>
      <c r="AY634" s="146"/>
    </row>
    <row r="635" ht="31.5" customHeight="1">
      <c r="AI635" s="37"/>
      <c r="AR635" s="61"/>
      <c r="AY635" s="146"/>
    </row>
    <row r="636" ht="31.5" customHeight="1">
      <c r="AI636" s="37"/>
      <c r="AR636" s="61"/>
      <c r="AY636" s="146"/>
    </row>
    <row r="637" ht="31.5" customHeight="1">
      <c r="AI637" s="37"/>
      <c r="AR637" s="61"/>
      <c r="AY637" s="146"/>
    </row>
    <row r="638" ht="31.5" customHeight="1">
      <c r="AI638" s="37"/>
      <c r="AR638" s="61"/>
      <c r="AY638" s="146"/>
    </row>
    <row r="639" ht="31.5" customHeight="1">
      <c r="AI639" s="37"/>
      <c r="AR639" s="61"/>
      <c r="AY639" s="146"/>
    </row>
    <row r="640" ht="31.5" customHeight="1">
      <c r="AI640" s="37"/>
      <c r="AR640" s="61"/>
      <c r="AY640" s="146"/>
    </row>
    <row r="641" ht="31.5" customHeight="1">
      <c r="AI641" s="37"/>
      <c r="AR641" s="61"/>
      <c r="AY641" s="146"/>
    </row>
    <row r="642" ht="31.5" customHeight="1">
      <c r="AI642" s="37"/>
      <c r="AR642" s="61"/>
      <c r="AY642" s="146"/>
    </row>
    <row r="643" ht="31.5" customHeight="1">
      <c r="AI643" s="37"/>
      <c r="AR643" s="61"/>
      <c r="AY643" s="146"/>
    </row>
    <row r="644" ht="31.5" customHeight="1">
      <c r="AI644" s="37"/>
      <c r="AR644" s="61"/>
      <c r="AY644" s="146"/>
    </row>
    <row r="645" ht="31.5" customHeight="1">
      <c r="AI645" s="37"/>
      <c r="AR645" s="61"/>
      <c r="AY645" s="146"/>
    </row>
    <row r="646" ht="31.5" customHeight="1">
      <c r="AI646" s="37"/>
      <c r="AR646" s="61"/>
      <c r="AY646" s="146"/>
    </row>
    <row r="647" ht="31.5" customHeight="1">
      <c r="AI647" s="37"/>
      <c r="AR647" s="61"/>
      <c r="AY647" s="146"/>
    </row>
    <row r="648" ht="31.5" customHeight="1">
      <c r="AI648" s="37"/>
      <c r="AR648" s="61"/>
      <c r="AY648" s="146"/>
    </row>
    <row r="649" ht="31.5" customHeight="1">
      <c r="AI649" s="37"/>
      <c r="AR649" s="61"/>
      <c r="AY649" s="146"/>
    </row>
    <row r="650" ht="31.5" customHeight="1">
      <c r="AI650" s="37"/>
      <c r="AR650" s="61"/>
      <c r="AY650" s="146"/>
    </row>
    <row r="651" ht="31.5" customHeight="1">
      <c r="AI651" s="37"/>
      <c r="AR651" s="61"/>
      <c r="AY651" s="146"/>
    </row>
    <row r="652" ht="31.5" customHeight="1">
      <c r="AI652" s="37"/>
      <c r="AR652" s="61"/>
      <c r="AY652" s="146"/>
    </row>
    <row r="653" ht="31.5" customHeight="1">
      <c r="AI653" s="37"/>
      <c r="AR653" s="61"/>
      <c r="AY653" s="146"/>
    </row>
    <row r="654" ht="31.5" customHeight="1">
      <c r="AI654" s="37"/>
      <c r="AR654" s="61"/>
      <c r="AY654" s="146"/>
    </row>
    <row r="655" ht="31.5" customHeight="1">
      <c r="AI655" s="37"/>
      <c r="AR655" s="61"/>
      <c r="AY655" s="146"/>
    </row>
    <row r="656" ht="31.5" customHeight="1">
      <c r="AI656" s="37"/>
      <c r="AR656" s="61"/>
      <c r="AY656" s="146"/>
    </row>
    <row r="657" ht="31.5" customHeight="1">
      <c r="AI657" s="37"/>
      <c r="AR657" s="61"/>
      <c r="AY657" s="146"/>
    </row>
    <row r="658" ht="31.5" customHeight="1">
      <c r="AI658" s="37"/>
      <c r="AR658" s="61"/>
      <c r="AY658" s="146"/>
    </row>
    <row r="659" ht="31.5" customHeight="1">
      <c r="AI659" s="37"/>
      <c r="AR659" s="61"/>
      <c r="AY659" s="146"/>
    </row>
    <row r="660" ht="31.5" customHeight="1">
      <c r="AI660" s="37"/>
      <c r="AR660" s="61"/>
      <c r="AY660" s="146"/>
    </row>
    <row r="661" ht="31.5" customHeight="1">
      <c r="AI661" s="37"/>
      <c r="AR661" s="61"/>
      <c r="AY661" s="146"/>
    </row>
    <row r="662" ht="31.5" customHeight="1">
      <c r="AI662" s="37"/>
      <c r="AR662" s="61"/>
      <c r="AY662" s="146"/>
    </row>
    <row r="663" ht="31.5" customHeight="1">
      <c r="AI663" s="37"/>
      <c r="AR663" s="61"/>
      <c r="AY663" s="146"/>
    </row>
    <row r="664" ht="31.5" customHeight="1">
      <c r="AI664" s="37"/>
      <c r="AR664" s="61"/>
      <c r="AY664" s="146"/>
    </row>
    <row r="665" ht="31.5" customHeight="1">
      <c r="AI665" s="37"/>
      <c r="AR665" s="61"/>
      <c r="AY665" s="146"/>
    </row>
    <row r="666" ht="31.5" customHeight="1">
      <c r="AI666" s="37"/>
      <c r="AR666" s="61"/>
      <c r="AY666" s="146"/>
    </row>
    <row r="667" ht="31.5" customHeight="1">
      <c r="AI667" s="37"/>
      <c r="AR667" s="61"/>
      <c r="AY667" s="146"/>
    </row>
    <row r="668" ht="31.5" customHeight="1">
      <c r="AI668" s="37"/>
      <c r="AR668" s="61"/>
      <c r="AY668" s="146"/>
    </row>
    <row r="669" ht="31.5" customHeight="1">
      <c r="AI669" s="37"/>
      <c r="AR669" s="61"/>
      <c r="AY669" s="146"/>
    </row>
    <row r="670" ht="31.5" customHeight="1">
      <c r="AI670" s="37"/>
      <c r="AR670" s="61"/>
      <c r="AY670" s="146"/>
    </row>
    <row r="671" ht="31.5" customHeight="1">
      <c r="AI671" s="37"/>
      <c r="AR671" s="61"/>
      <c r="AY671" s="146"/>
    </row>
    <row r="672" ht="31.5" customHeight="1">
      <c r="AI672" s="37"/>
      <c r="AR672" s="61"/>
      <c r="AY672" s="146"/>
    </row>
    <row r="673" ht="31.5" customHeight="1">
      <c r="AI673" s="37"/>
      <c r="AR673" s="61"/>
      <c r="AY673" s="146"/>
    </row>
    <row r="674" ht="31.5" customHeight="1">
      <c r="AI674" s="37"/>
      <c r="AR674" s="61"/>
      <c r="AY674" s="146"/>
    </row>
    <row r="675" ht="31.5" customHeight="1">
      <c r="AI675" s="37"/>
      <c r="AR675" s="61"/>
      <c r="AY675" s="146"/>
    </row>
    <row r="676" ht="31.5" customHeight="1">
      <c r="AI676" s="37"/>
      <c r="AR676" s="61"/>
      <c r="AY676" s="146"/>
    </row>
    <row r="677" ht="31.5" customHeight="1">
      <c r="AI677" s="37"/>
      <c r="AR677" s="61"/>
      <c r="AY677" s="146"/>
    </row>
    <row r="678" ht="31.5" customHeight="1">
      <c r="AI678" s="37"/>
      <c r="AR678" s="61"/>
      <c r="AY678" s="146"/>
    </row>
    <row r="679" ht="31.5" customHeight="1">
      <c r="AI679" s="37"/>
      <c r="AR679" s="61"/>
      <c r="AY679" s="146"/>
    </row>
    <row r="680" ht="31.5" customHeight="1">
      <c r="AI680" s="37"/>
      <c r="AR680" s="61"/>
      <c r="AY680" s="146"/>
    </row>
    <row r="681" ht="31.5" customHeight="1">
      <c r="AI681" s="37"/>
      <c r="AR681" s="61"/>
      <c r="AY681" s="146"/>
    </row>
    <row r="682" ht="31.5" customHeight="1">
      <c r="AI682" s="37"/>
      <c r="AR682" s="61"/>
      <c r="AY682" s="146"/>
    </row>
    <row r="683" ht="31.5" customHeight="1">
      <c r="AI683" s="37"/>
      <c r="AR683" s="61"/>
      <c r="AY683" s="146"/>
    </row>
    <row r="684" ht="31.5" customHeight="1">
      <c r="AI684" s="37"/>
      <c r="AR684" s="61"/>
      <c r="AY684" s="146"/>
    </row>
    <row r="685" ht="31.5" customHeight="1">
      <c r="AI685" s="37"/>
      <c r="AR685" s="61"/>
      <c r="AY685" s="146"/>
    </row>
    <row r="686" ht="31.5" customHeight="1">
      <c r="AI686" s="37"/>
      <c r="AR686" s="61"/>
      <c r="AY686" s="146"/>
    </row>
    <row r="687" ht="31.5" customHeight="1">
      <c r="AI687" s="37"/>
      <c r="AR687" s="61"/>
      <c r="AY687" s="146"/>
    </row>
    <row r="688" ht="31.5" customHeight="1">
      <c r="AI688" s="37"/>
      <c r="AR688" s="61"/>
      <c r="AY688" s="146"/>
    </row>
    <row r="689" ht="31.5" customHeight="1">
      <c r="AI689" s="37"/>
      <c r="AR689" s="61"/>
      <c r="AY689" s="146"/>
    </row>
    <row r="690" ht="31.5" customHeight="1">
      <c r="AI690" s="37"/>
      <c r="AR690" s="61"/>
      <c r="AY690" s="146"/>
    </row>
    <row r="691" ht="31.5" customHeight="1">
      <c r="AI691" s="37"/>
      <c r="AR691" s="61"/>
      <c r="AY691" s="146"/>
    </row>
    <row r="692" ht="31.5" customHeight="1">
      <c r="AI692" s="37"/>
      <c r="AR692" s="61"/>
      <c r="AY692" s="146"/>
    </row>
    <row r="693" ht="31.5" customHeight="1">
      <c r="AI693" s="37"/>
      <c r="AR693" s="61"/>
      <c r="AY693" s="146"/>
    </row>
    <row r="694" ht="31.5" customHeight="1">
      <c r="AI694" s="37"/>
      <c r="AR694" s="61"/>
      <c r="AY694" s="146"/>
    </row>
    <row r="695" ht="31.5" customHeight="1">
      <c r="AI695" s="37"/>
      <c r="AR695" s="61"/>
      <c r="AY695" s="146"/>
    </row>
    <row r="696" ht="31.5" customHeight="1">
      <c r="AI696" s="37"/>
      <c r="AR696" s="61"/>
      <c r="AY696" s="146"/>
    </row>
    <row r="697" ht="31.5" customHeight="1">
      <c r="AI697" s="37"/>
      <c r="AR697" s="61"/>
      <c r="AY697" s="146"/>
    </row>
    <row r="698" ht="31.5" customHeight="1">
      <c r="AI698" s="37"/>
      <c r="AR698" s="61"/>
      <c r="AY698" s="146"/>
    </row>
    <row r="699" ht="31.5" customHeight="1">
      <c r="AI699" s="37"/>
      <c r="AR699" s="61"/>
      <c r="AY699" s="146"/>
    </row>
    <row r="700" ht="31.5" customHeight="1">
      <c r="AI700" s="37"/>
      <c r="AR700" s="61"/>
      <c r="AY700" s="146"/>
    </row>
    <row r="701" ht="31.5" customHeight="1">
      <c r="AI701" s="37"/>
      <c r="AR701" s="61"/>
      <c r="AY701" s="146"/>
    </row>
    <row r="702" ht="31.5" customHeight="1">
      <c r="AI702" s="37"/>
      <c r="AR702" s="61"/>
      <c r="AY702" s="146"/>
    </row>
    <row r="703" ht="31.5" customHeight="1">
      <c r="AI703" s="37"/>
      <c r="AR703" s="61"/>
      <c r="AY703" s="146"/>
    </row>
    <row r="704" ht="31.5" customHeight="1">
      <c r="AI704" s="37"/>
      <c r="AR704" s="61"/>
      <c r="AY704" s="146"/>
    </row>
    <row r="705" ht="31.5" customHeight="1">
      <c r="AI705" s="37"/>
      <c r="AR705" s="61"/>
      <c r="AY705" s="146"/>
    </row>
    <row r="706" ht="31.5" customHeight="1">
      <c r="AI706" s="37"/>
      <c r="AR706" s="61"/>
      <c r="AY706" s="146"/>
    </row>
    <row r="707" ht="31.5" customHeight="1">
      <c r="AI707" s="37"/>
      <c r="AR707" s="61"/>
      <c r="AY707" s="146"/>
    </row>
    <row r="708" ht="31.5" customHeight="1">
      <c r="AI708" s="37"/>
      <c r="AR708" s="61"/>
      <c r="AY708" s="146"/>
    </row>
    <row r="709" ht="31.5" customHeight="1">
      <c r="AI709" s="37"/>
      <c r="AR709" s="61"/>
      <c r="AY709" s="146"/>
    </row>
    <row r="710" ht="31.5" customHeight="1">
      <c r="AI710" s="37"/>
      <c r="AR710" s="61"/>
      <c r="AY710" s="146"/>
    </row>
    <row r="711" ht="31.5" customHeight="1">
      <c r="AI711" s="37"/>
      <c r="AR711" s="61"/>
      <c r="AY711" s="146"/>
    </row>
    <row r="712" ht="31.5" customHeight="1">
      <c r="AI712" s="37"/>
      <c r="AR712" s="61"/>
      <c r="AY712" s="146"/>
    </row>
    <row r="713" ht="31.5" customHeight="1">
      <c r="AI713" s="37"/>
      <c r="AR713" s="61"/>
      <c r="AY713" s="146"/>
    </row>
    <row r="714" ht="31.5" customHeight="1">
      <c r="AI714" s="37"/>
      <c r="AR714" s="61"/>
      <c r="AY714" s="146"/>
    </row>
    <row r="715" ht="31.5" customHeight="1">
      <c r="AI715" s="37"/>
      <c r="AR715" s="61"/>
      <c r="AY715" s="146"/>
    </row>
    <row r="716" ht="31.5" customHeight="1">
      <c r="AI716" s="37"/>
      <c r="AR716" s="61"/>
      <c r="AY716" s="146"/>
    </row>
    <row r="717" ht="31.5" customHeight="1">
      <c r="AI717" s="37"/>
      <c r="AR717" s="61"/>
      <c r="AY717" s="146"/>
    </row>
    <row r="718" ht="31.5" customHeight="1">
      <c r="AI718" s="37"/>
      <c r="AR718" s="61"/>
      <c r="AY718" s="146"/>
    </row>
    <row r="719" ht="31.5" customHeight="1">
      <c r="AI719" s="37"/>
      <c r="AR719" s="61"/>
      <c r="AY719" s="146"/>
    </row>
    <row r="720" ht="31.5" customHeight="1">
      <c r="AI720" s="37"/>
      <c r="AR720" s="61"/>
      <c r="AY720" s="146"/>
    </row>
    <row r="721" ht="31.5" customHeight="1">
      <c r="AI721" s="37"/>
      <c r="AR721" s="61"/>
      <c r="AY721" s="146"/>
    </row>
    <row r="722" ht="31.5" customHeight="1">
      <c r="AI722" s="37"/>
      <c r="AR722" s="61"/>
      <c r="AY722" s="146"/>
    </row>
    <row r="723" ht="31.5" customHeight="1">
      <c r="AI723" s="37"/>
      <c r="AR723" s="61"/>
      <c r="AY723" s="146"/>
    </row>
    <row r="724" ht="31.5" customHeight="1">
      <c r="AI724" s="37"/>
      <c r="AR724" s="61"/>
      <c r="AY724" s="146"/>
    </row>
    <row r="725" ht="31.5" customHeight="1">
      <c r="AI725" s="37"/>
      <c r="AR725" s="61"/>
      <c r="AY725" s="146"/>
    </row>
    <row r="726" ht="31.5" customHeight="1">
      <c r="AI726" s="37"/>
      <c r="AR726" s="61"/>
      <c r="AY726" s="146"/>
    </row>
    <row r="727" ht="31.5" customHeight="1">
      <c r="AI727" s="37"/>
      <c r="AR727" s="61"/>
      <c r="AY727" s="146"/>
    </row>
    <row r="728" ht="31.5" customHeight="1">
      <c r="AI728" s="37"/>
      <c r="AR728" s="61"/>
      <c r="AY728" s="146"/>
    </row>
    <row r="729" ht="31.5" customHeight="1">
      <c r="AI729" s="37"/>
      <c r="AR729" s="61"/>
      <c r="AY729" s="146"/>
    </row>
    <row r="730" ht="31.5" customHeight="1">
      <c r="AI730" s="37"/>
      <c r="AR730" s="61"/>
      <c r="AY730" s="146"/>
    </row>
    <row r="731" ht="31.5" customHeight="1">
      <c r="AI731" s="37"/>
      <c r="AR731" s="61"/>
      <c r="AY731" s="146"/>
    </row>
    <row r="732" ht="31.5" customHeight="1">
      <c r="AI732" s="37"/>
      <c r="AR732" s="61"/>
      <c r="AY732" s="146"/>
    </row>
    <row r="733" ht="31.5" customHeight="1">
      <c r="AI733" s="37"/>
      <c r="AR733" s="61"/>
      <c r="AY733" s="146"/>
    </row>
    <row r="734" ht="31.5" customHeight="1">
      <c r="AI734" s="37"/>
      <c r="AR734" s="61"/>
      <c r="AY734" s="146"/>
    </row>
    <row r="735" ht="31.5" customHeight="1">
      <c r="AI735" s="37"/>
      <c r="AR735" s="61"/>
      <c r="AY735" s="146"/>
    </row>
    <row r="736" ht="31.5" customHeight="1">
      <c r="AI736" s="37"/>
      <c r="AR736" s="61"/>
      <c r="AY736" s="146"/>
    </row>
    <row r="737" ht="31.5" customHeight="1">
      <c r="AI737" s="37"/>
      <c r="AR737" s="61"/>
      <c r="AY737" s="146"/>
    </row>
    <row r="738" ht="31.5" customHeight="1">
      <c r="AI738" s="37"/>
      <c r="AR738" s="61"/>
      <c r="AY738" s="146"/>
    </row>
    <row r="739" ht="31.5" customHeight="1">
      <c r="AI739" s="37"/>
      <c r="AR739" s="61"/>
      <c r="AY739" s="146"/>
    </row>
    <row r="740" ht="31.5" customHeight="1">
      <c r="AI740" s="37"/>
      <c r="AR740" s="61"/>
      <c r="AY740" s="146"/>
    </row>
    <row r="741" ht="31.5" customHeight="1">
      <c r="AI741" s="37"/>
      <c r="AR741" s="61"/>
      <c r="AY741" s="146"/>
    </row>
    <row r="742" ht="31.5" customHeight="1">
      <c r="AI742" s="37"/>
      <c r="AR742" s="61"/>
      <c r="AY742" s="146"/>
    </row>
    <row r="743" ht="31.5" customHeight="1">
      <c r="AI743" s="37"/>
      <c r="AR743" s="61"/>
      <c r="AY743" s="146"/>
    </row>
    <row r="744" ht="31.5" customHeight="1">
      <c r="AI744" s="37"/>
      <c r="AR744" s="61"/>
      <c r="AY744" s="146"/>
    </row>
    <row r="745" ht="31.5" customHeight="1">
      <c r="AI745" s="37"/>
      <c r="AR745" s="61"/>
      <c r="AY745" s="146"/>
    </row>
    <row r="746" ht="31.5" customHeight="1">
      <c r="AI746" s="37"/>
      <c r="AR746" s="61"/>
      <c r="AY746" s="146"/>
    </row>
    <row r="747" ht="31.5" customHeight="1">
      <c r="AI747" s="37"/>
      <c r="AR747" s="61"/>
      <c r="AY747" s="146"/>
    </row>
    <row r="748" ht="31.5" customHeight="1">
      <c r="AI748" s="37"/>
      <c r="AR748" s="61"/>
      <c r="AY748" s="146"/>
    </row>
    <row r="749" ht="31.5" customHeight="1">
      <c r="AI749" s="37"/>
      <c r="AR749" s="61"/>
      <c r="AY749" s="146"/>
    </row>
    <row r="750" ht="31.5" customHeight="1">
      <c r="AI750" s="37"/>
      <c r="AR750" s="61"/>
      <c r="AY750" s="146"/>
    </row>
    <row r="751" ht="31.5" customHeight="1">
      <c r="AI751" s="37"/>
      <c r="AR751" s="61"/>
      <c r="AY751" s="146"/>
    </row>
    <row r="752" ht="31.5" customHeight="1">
      <c r="AI752" s="37"/>
      <c r="AR752" s="61"/>
      <c r="AY752" s="146"/>
    </row>
    <row r="753" ht="31.5" customHeight="1">
      <c r="AI753" s="37"/>
      <c r="AR753" s="61"/>
      <c r="AY753" s="146"/>
    </row>
    <row r="754" ht="31.5" customHeight="1">
      <c r="AI754" s="37"/>
      <c r="AR754" s="61"/>
      <c r="AY754" s="146"/>
    </row>
    <row r="755" ht="31.5" customHeight="1">
      <c r="AI755" s="37"/>
      <c r="AR755" s="61"/>
      <c r="AY755" s="146"/>
    </row>
    <row r="756" ht="31.5" customHeight="1">
      <c r="AI756" s="37"/>
      <c r="AR756" s="61"/>
      <c r="AY756" s="146"/>
    </row>
    <row r="757" ht="31.5" customHeight="1">
      <c r="AI757" s="37"/>
      <c r="AR757" s="61"/>
      <c r="AY757" s="146"/>
    </row>
    <row r="758" ht="31.5" customHeight="1">
      <c r="AI758" s="37"/>
      <c r="AR758" s="61"/>
      <c r="AY758" s="146"/>
    </row>
    <row r="759" ht="31.5" customHeight="1">
      <c r="AI759" s="37"/>
      <c r="AR759" s="61"/>
      <c r="AY759" s="146"/>
    </row>
    <row r="760" ht="31.5" customHeight="1">
      <c r="AI760" s="37"/>
      <c r="AR760" s="61"/>
      <c r="AY760" s="146"/>
    </row>
    <row r="761" ht="31.5" customHeight="1">
      <c r="AI761" s="37"/>
      <c r="AR761" s="61"/>
      <c r="AY761" s="146"/>
    </row>
    <row r="762" ht="31.5" customHeight="1">
      <c r="AI762" s="37"/>
      <c r="AR762" s="61"/>
      <c r="AY762" s="146"/>
    </row>
    <row r="763" ht="31.5" customHeight="1">
      <c r="AI763" s="37"/>
      <c r="AR763" s="61"/>
      <c r="AY763" s="146"/>
    </row>
    <row r="764" ht="31.5" customHeight="1">
      <c r="AI764" s="37"/>
      <c r="AR764" s="61"/>
      <c r="AY764" s="146"/>
    </row>
    <row r="765" ht="31.5" customHeight="1">
      <c r="AI765" s="37"/>
      <c r="AR765" s="61"/>
      <c r="AY765" s="146"/>
    </row>
    <row r="766" ht="31.5" customHeight="1">
      <c r="AI766" s="37"/>
      <c r="AR766" s="61"/>
      <c r="AY766" s="146"/>
    </row>
    <row r="767" ht="31.5" customHeight="1">
      <c r="AI767" s="37"/>
      <c r="AR767" s="61"/>
      <c r="AY767" s="146"/>
    </row>
    <row r="768" ht="31.5" customHeight="1">
      <c r="AI768" s="37"/>
      <c r="AR768" s="61"/>
      <c r="AY768" s="146"/>
    </row>
    <row r="769" ht="31.5" customHeight="1">
      <c r="AI769" s="37"/>
      <c r="AR769" s="61"/>
      <c r="AY769" s="146"/>
    </row>
    <row r="770" ht="31.5" customHeight="1">
      <c r="AI770" s="37"/>
      <c r="AR770" s="61"/>
      <c r="AY770" s="146"/>
    </row>
    <row r="771" ht="31.5" customHeight="1">
      <c r="AI771" s="37"/>
      <c r="AR771" s="61"/>
      <c r="AY771" s="146"/>
    </row>
    <row r="772" ht="31.5" customHeight="1">
      <c r="AI772" s="37"/>
      <c r="AR772" s="61"/>
      <c r="AY772" s="146"/>
    </row>
    <row r="773" ht="31.5" customHeight="1">
      <c r="AI773" s="37"/>
      <c r="AR773" s="61"/>
      <c r="AY773" s="146"/>
    </row>
    <row r="774" ht="31.5" customHeight="1">
      <c r="AI774" s="37"/>
      <c r="AR774" s="61"/>
      <c r="AY774" s="146"/>
    </row>
    <row r="775" ht="31.5" customHeight="1">
      <c r="AI775" s="37"/>
      <c r="AR775" s="61"/>
      <c r="AY775" s="146"/>
    </row>
    <row r="776" ht="31.5" customHeight="1">
      <c r="AI776" s="37"/>
      <c r="AR776" s="61"/>
      <c r="AY776" s="146"/>
    </row>
    <row r="777" ht="31.5" customHeight="1">
      <c r="AI777" s="37"/>
      <c r="AR777" s="61"/>
      <c r="AY777" s="146"/>
    </row>
    <row r="778" ht="31.5" customHeight="1">
      <c r="AI778" s="37"/>
      <c r="AR778" s="61"/>
      <c r="AY778" s="146"/>
    </row>
    <row r="779" ht="31.5" customHeight="1">
      <c r="AI779" s="37"/>
      <c r="AR779" s="61"/>
      <c r="AY779" s="146"/>
    </row>
    <row r="780" ht="31.5" customHeight="1">
      <c r="AI780" s="37"/>
      <c r="AR780" s="61"/>
      <c r="AY780" s="146"/>
    </row>
    <row r="781" ht="31.5" customHeight="1">
      <c r="AI781" s="37"/>
      <c r="AR781" s="61"/>
      <c r="AY781" s="146"/>
    </row>
    <row r="782" ht="31.5" customHeight="1">
      <c r="AI782" s="37"/>
      <c r="AR782" s="61"/>
      <c r="AY782" s="146"/>
    </row>
    <row r="783" ht="31.5" customHeight="1">
      <c r="AI783" s="37"/>
      <c r="AR783" s="61"/>
      <c r="AY783" s="146"/>
    </row>
    <row r="784" ht="31.5" customHeight="1">
      <c r="AI784" s="37"/>
      <c r="AR784" s="61"/>
      <c r="AY784" s="146"/>
    </row>
    <row r="785" ht="31.5" customHeight="1">
      <c r="AI785" s="37"/>
      <c r="AR785" s="61"/>
      <c r="AY785" s="146"/>
    </row>
    <row r="786" ht="31.5" customHeight="1">
      <c r="AI786" s="37"/>
      <c r="AR786" s="61"/>
      <c r="AY786" s="146"/>
    </row>
    <row r="787" ht="31.5" customHeight="1">
      <c r="AI787" s="37"/>
      <c r="AR787" s="61"/>
      <c r="AY787" s="146"/>
    </row>
    <row r="788" ht="31.5" customHeight="1">
      <c r="AI788" s="37"/>
      <c r="AR788" s="61"/>
      <c r="AY788" s="146"/>
    </row>
    <row r="789" ht="31.5" customHeight="1">
      <c r="AI789" s="37"/>
      <c r="AR789" s="61"/>
      <c r="AY789" s="146"/>
    </row>
    <row r="790" ht="31.5" customHeight="1">
      <c r="AI790" s="37"/>
      <c r="AR790" s="61"/>
      <c r="AY790" s="146"/>
    </row>
    <row r="791" ht="31.5" customHeight="1">
      <c r="AI791" s="37"/>
      <c r="AR791" s="61"/>
      <c r="AY791" s="146"/>
    </row>
    <row r="792" ht="31.5" customHeight="1">
      <c r="AI792" s="37"/>
      <c r="AR792" s="61"/>
      <c r="AY792" s="146"/>
    </row>
    <row r="793" ht="31.5" customHeight="1">
      <c r="AI793" s="37"/>
      <c r="AR793" s="61"/>
      <c r="AY793" s="146"/>
    </row>
    <row r="794" ht="31.5" customHeight="1">
      <c r="AI794" s="37"/>
      <c r="AR794" s="61"/>
      <c r="AY794" s="146"/>
    </row>
    <row r="795" ht="31.5" customHeight="1">
      <c r="AI795" s="37"/>
      <c r="AR795" s="61"/>
      <c r="AY795" s="146"/>
    </row>
    <row r="796" ht="31.5" customHeight="1">
      <c r="AI796" s="37"/>
      <c r="AR796" s="61"/>
      <c r="AY796" s="146"/>
    </row>
    <row r="797" ht="31.5" customHeight="1">
      <c r="AI797" s="37"/>
      <c r="AR797" s="61"/>
      <c r="AY797" s="146"/>
    </row>
    <row r="798" ht="31.5" customHeight="1">
      <c r="AI798" s="37"/>
      <c r="AR798" s="61"/>
      <c r="AY798" s="146"/>
    </row>
    <row r="799" ht="31.5" customHeight="1">
      <c r="AI799" s="37"/>
      <c r="AR799" s="61"/>
      <c r="AY799" s="146"/>
    </row>
    <row r="800" ht="31.5" customHeight="1">
      <c r="AI800" s="37"/>
      <c r="AR800" s="61"/>
      <c r="AY800" s="146"/>
    </row>
    <row r="801" ht="31.5" customHeight="1">
      <c r="AI801" s="37"/>
      <c r="AR801" s="61"/>
      <c r="AY801" s="146"/>
    </row>
    <row r="802" ht="31.5" customHeight="1">
      <c r="AI802" s="37"/>
      <c r="AR802" s="61"/>
      <c r="AY802" s="146"/>
    </row>
    <row r="803" ht="31.5" customHeight="1">
      <c r="AI803" s="37"/>
      <c r="AR803" s="61"/>
      <c r="AY803" s="146"/>
    </row>
    <row r="804" ht="31.5" customHeight="1">
      <c r="AI804" s="37"/>
      <c r="AR804" s="61"/>
      <c r="AY804" s="146"/>
    </row>
    <row r="805" ht="31.5" customHeight="1">
      <c r="AI805" s="37"/>
      <c r="AR805" s="61"/>
      <c r="AY805" s="146"/>
    </row>
    <row r="806" ht="31.5" customHeight="1">
      <c r="AI806" s="37"/>
      <c r="AR806" s="61"/>
      <c r="AY806" s="146"/>
    </row>
    <row r="807" ht="31.5" customHeight="1">
      <c r="AI807" s="37"/>
      <c r="AR807" s="61"/>
      <c r="AY807" s="146"/>
    </row>
    <row r="808" ht="31.5" customHeight="1">
      <c r="AI808" s="37"/>
      <c r="AR808" s="61"/>
      <c r="AY808" s="146"/>
    </row>
    <row r="809" ht="31.5" customHeight="1">
      <c r="AI809" s="37"/>
      <c r="AR809" s="61"/>
      <c r="AY809" s="146"/>
    </row>
    <row r="810" ht="31.5" customHeight="1">
      <c r="AI810" s="37"/>
      <c r="AR810" s="61"/>
      <c r="AY810" s="146"/>
    </row>
    <row r="811" ht="31.5" customHeight="1">
      <c r="AI811" s="37"/>
      <c r="AR811" s="61"/>
      <c r="AY811" s="146"/>
    </row>
    <row r="812" ht="31.5" customHeight="1">
      <c r="AI812" s="37"/>
      <c r="AR812" s="61"/>
      <c r="AY812" s="146"/>
    </row>
    <row r="813" ht="31.5" customHeight="1">
      <c r="AI813" s="37"/>
      <c r="AR813" s="61"/>
      <c r="AY813" s="146"/>
    </row>
    <row r="814" ht="31.5" customHeight="1">
      <c r="AI814" s="37"/>
      <c r="AR814" s="61"/>
      <c r="AY814" s="146"/>
    </row>
    <row r="815" ht="31.5" customHeight="1">
      <c r="AI815" s="37"/>
      <c r="AR815" s="61"/>
      <c r="AY815" s="146"/>
    </row>
    <row r="816" ht="31.5" customHeight="1">
      <c r="AI816" s="37"/>
      <c r="AR816" s="61"/>
      <c r="AY816" s="146"/>
    </row>
    <row r="817" ht="31.5" customHeight="1">
      <c r="AI817" s="37"/>
      <c r="AR817" s="61"/>
      <c r="AY817" s="146"/>
    </row>
    <row r="818" ht="31.5" customHeight="1">
      <c r="AI818" s="37"/>
      <c r="AR818" s="61"/>
      <c r="AY818" s="146"/>
    </row>
    <row r="819" ht="31.5" customHeight="1">
      <c r="AI819" s="37"/>
      <c r="AR819" s="61"/>
      <c r="AY819" s="146"/>
    </row>
    <row r="820" ht="31.5" customHeight="1">
      <c r="AI820" s="37"/>
      <c r="AR820" s="61"/>
      <c r="AY820" s="146"/>
    </row>
    <row r="821" ht="31.5" customHeight="1">
      <c r="AI821" s="37"/>
      <c r="AR821" s="61"/>
      <c r="AY821" s="146"/>
    </row>
    <row r="822" ht="31.5" customHeight="1">
      <c r="AI822" s="37"/>
      <c r="AR822" s="61"/>
      <c r="AY822" s="146"/>
    </row>
    <row r="823" ht="31.5" customHeight="1">
      <c r="AI823" s="37"/>
      <c r="AR823" s="61"/>
      <c r="AY823" s="146"/>
    </row>
    <row r="824" ht="31.5" customHeight="1">
      <c r="AI824" s="37"/>
      <c r="AR824" s="61"/>
      <c r="AY824" s="146"/>
    </row>
    <row r="825" ht="31.5" customHeight="1">
      <c r="AI825" s="37"/>
      <c r="AR825" s="61"/>
      <c r="AY825" s="146"/>
    </row>
    <row r="826" ht="31.5" customHeight="1">
      <c r="AI826" s="37"/>
      <c r="AR826" s="61"/>
      <c r="AY826" s="146"/>
    </row>
    <row r="827" ht="31.5" customHeight="1">
      <c r="AI827" s="37"/>
      <c r="AR827" s="61"/>
      <c r="AY827" s="146"/>
    </row>
    <row r="828" ht="31.5" customHeight="1">
      <c r="AI828" s="37"/>
      <c r="AR828" s="61"/>
      <c r="AY828" s="146"/>
    </row>
    <row r="829" ht="31.5" customHeight="1">
      <c r="AI829" s="37"/>
      <c r="AR829" s="61"/>
      <c r="AY829" s="146"/>
    </row>
    <row r="830" ht="31.5" customHeight="1">
      <c r="AI830" s="37"/>
      <c r="AR830" s="61"/>
      <c r="AY830" s="146"/>
    </row>
    <row r="831" ht="31.5" customHeight="1">
      <c r="AI831" s="37"/>
      <c r="AR831" s="61"/>
      <c r="AY831" s="146"/>
    </row>
    <row r="832" ht="31.5" customHeight="1">
      <c r="AI832" s="37"/>
      <c r="AR832" s="61"/>
      <c r="AY832" s="146"/>
    </row>
    <row r="833" ht="31.5" customHeight="1">
      <c r="AI833" s="37"/>
      <c r="AR833" s="61"/>
      <c r="AY833" s="146"/>
    </row>
    <row r="834" ht="31.5" customHeight="1">
      <c r="AI834" s="37"/>
      <c r="AR834" s="61"/>
      <c r="AY834" s="146"/>
    </row>
    <row r="835" ht="31.5" customHeight="1">
      <c r="AI835" s="37"/>
      <c r="AR835" s="61"/>
      <c r="AY835" s="146"/>
    </row>
    <row r="836" ht="31.5" customHeight="1">
      <c r="AI836" s="37"/>
      <c r="AR836" s="61"/>
      <c r="AY836" s="146"/>
    </row>
    <row r="837" ht="31.5" customHeight="1">
      <c r="AI837" s="37"/>
      <c r="AR837" s="61"/>
      <c r="AY837" s="146"/>
    </row>
    <row r="838" ht="31.5" customHeight="1">
      <c r="AI838" s="37"/>
      <c r="AR838" s="61"/>
      <c r="AY838" s="146"/>
    </row>
    <row r="839" ht="31.5" customHeight="1">
      <c r="AI839" s="37"/>
      <c r="AR839" s="61"/>
      <c r="AY839" s="146"/>
    </row>
    <row r="840" ht="31.5" customHeight="1">
      <c r="AI840" s="37"/>
      <c r="AR840" s="61"/>
      <c r="AY840" s="146"/>
    </row>
    <row r="841" ht="31.5" customHeight="1">
      <c r="AI841" s="37"/>
      <c r="AR841" s="61"/>
      <c r="AY841" s="146"/>
    </row>
    <row r="842" ht="31.5" customHeight="1">
      <c r="AI842" s="37"/>
      <c r="AR842" s="61"/>
      <c r="AY842" s="146"/>
    </row>
    <row r="843" ht="31.5" customHeight="1">
      <c r="AI843" s="37"/>
      <c r="AR843" s="61"/>
      <c r="AY843" s="146"/>
    </row>
    <row r="844" ht="31.5" customHeight="1">
      <c r="AI844" s="37"/>
      <c r="AR844" s="61"/>
      <c r="AY844" s="146"/>
    </row>
    <row r="845" ht="31.5" customHeight="1">
      <c r="AI845" s="37"/>
      <c r="AR845" s="61"/>
      <c r="AY845" s="146"/>
    </row>
    <row r="846" ht="31.5" customHeight="1">
      <c r="AI846" s="37"/>
      <c r="AR846" s="61"/>
      <c r="AY846" s="146"/>
    </row>
    <row r="847" ht="31.5" customHeight="1">
      <c r="AI847" s="37"/>
      <c r="AR847" s="61"/>
      <c r="AY847" s="146"/>
    </row>
    <row r="848" ht="31.5" customHeight="1">
      <c r="AI848" s="37"/>
      <c r="AR848" s="61"/>
      <c r="AY848" s="146"/>
    </row>
    <row r="849" ht="31.5" customHeight="1">
      <c r="AI849" s="37"/>
      <c r="AR849" s="61"/>
      <c r="AY849" s="146"/>
    </row>
    <row r="850" ht="31.5" customHeight="1">
      <c r="AI850" s="37"/>
      <c r="AR850" s="61"/>
      <c r="AY850" s="146"/>
    </row>
    <row r="851" ht="31.5" customHeight="1">
      <c r="AI851" s="37"/>
      <c r="AR851" s="61"/>
      <c r="AY851" s="146"/>
    </row>
    <row r="852" ht="31.5" customHeight="1">
      <c r="AI852" s="37"/>
      <c r="AR852" s="61"/>
      <c r="AY852" s="146"/>
    </row>
    <row r="853" ht="31.5" customHeight="1">
      <c r="AI853" s="37"/>
      <c r="AR853" s="61"/>
      <c r="AY853" s="146"/>
    </row>
    <row r="854" ht="31.5" customHeight="1">
      <c r="AI854" s="37"/>
      <c r="AR854" s="61"/>
      <c r="AY854" s="146"/>
    </row>
    <row r="855" ht="31.5" customHeight="1">
      <c r="AI855" s="37"/>
      <c r="AR855" s="61"/>
      <c r="AY855" s="146"/>
    </row>
    <row r="856" ht="31.5" customHeight="1">
      <c r="AI856" s="37"/>
      <c r="AR856" s="61"/>
      <c r="AY856" s="146"/>
    </row>
    <row r="857" ht="31.5" customHeight="1">
      <c r="AI857" s="37"/>
      <c r="AR857" s="61"/>
      <c r="AY857" s="146"/>
    </row>
    <row r="858" ht="31.5" customHeight="1">
      <c r="AI858" s="37"/>
      <c r="AR858" s="61"/>
      <c r="AY858" s="146"/>
    </row>
    <row r="859" ht="31.5" customHeight="1">
      <c r="AI859" s="37"/>
      <c r="AR859" s="61"/>
      <c r="AY859" s="146"/>
    </row>
    <row r="860" ht="31.5" customHeight="1">
      <c r="AI860" s="37"/>
      <c r="AR860" s="61"/>
      <c r="AY860" s="146"/>
    </row>
    <row r="861" ht="31.5" customHeight="1">
      <c r="AI861" s="37"/>
      <c r="AR861" s="61"/>
      <c r="AY861" s="146"/>
    </row>
    <row r="862" ht="31.5" customHeight="1">
      <c r="AI862" s="37"/>
      <c r="AR862" s="61"/>
      <c r="AY862" s="146"/>
    </row>
    <row r="863" ht="31.5" customHeight="1">
      <c r="AI863" s="37"/>
      <c r="AR863" s="61"/>
      <c r="AY863" s="146"/>
    </row>
    <row r="864" ht="31.5" customHeight="1">
      <c r="AI864" s="37"/>
      <c r="AR864" s="61"/>
      <c r="AY864" s="146"/>
    </row>
    <row r="865" ht="31.5" customHeight="1">
      <c r="AI865" s="37"/>
      <c r="AR865" s="61"/>
      <c r="AY865" s="146"/>
    </row>
    <row r="866" ht="31.5" customHeight="1">
      <c r="AI866" s="37"/>
      <c r="AR866" s="61"/>
      <c r="AY866" s="146"/>
    </row>
    <row r="867" ht="31.5" customHeight="1">
      <c r="AI867" s="37"/>
      <c r="AR867" s="61"/>
      <c r="AY867" s="146"/>
    </row>
    <row r="868" ht="31.5" customHeight="1">
      <c r="AI868" s="37"/>
      <c r="AR868" s="61"/>
      <c r="AY868" s="146"/>
    </row>
    <row r="869" ht="31.5" customHeight="1">
      <c r="AI869" s="37"/>
      <c r="AR869" s="61"/>
      <c r="AY869" s="146"/>
    </row>
    <row r="870" ht="31.5" customHeight="1">
      <c r="AI870" s="37"/>
      <c r="AR870" s="61"/>
      <c r="AY870" s="146"/>
    </row>
    <row r="871" ht="31.5" customHeight="1">
      <c r="AI871" s="37"/>
      <c r="AR871" s="61"/>
      <c r="AY871" s="146"/>
    </row>
    <row r="872" ht="31.5" customHeight="1">
      <c r="AI872" s="37"/>
      <c r="AR872" s="61"/>
      <c r="AY872" s="146"/>
    </row>
    <row r="873" ht="31.5" customHeight="1">
      <c r="AI873" s="37"/>
      <c r="AR873" s="61"/>
      <c r="AY873" s="146"/>
    </row>
    <row r="874" ht="31.5" customHeight="1">
      <c r="AI874" s="37"/>
      <c r="AR874" s="61"/>
      <c r="AY874" s="146"/>
    </row>
    <row r="875" ht="31.5" customHeight="1">
      <c r="AI875" s="37"/>
      <c r="AR875" s="61"/>
      <c r="AY875" s="146"/>
    </row>
    <row r="876" ht="31.5" customHeight="1">
      <c r="AI876" s="37"/>
      <c r="AR876" s="61"/>
      <c r="AY876" s="146"/>
    </row>
    <row r="877" ht="31.5" customHeight="1">
      <c r="AI877" s="37"/>
      <c r="AR877" s="61"/>
      <c r="AY877" s="146"/>
    </row>
    <row r="878" ht="31.5" customHeight="1">
      <c r="AI878" s="37"/>
      <c r="AR878" s="61"/>
      <c r="AY878" s="146"/>
    </row>
    <row r="879" ht="31.5" customHeight="1">
      <c r="AI879" s="37"/>
      <c r="AR879" s="61"/>
      <c r="AY879" s="146"/>
    </row>
    <row r="880" ht="31.5" customHeight="1">
      <c r="AI880" s="37"/>
      <c r="AR880" s="61"/>
      <c r="AY880" s="146"/>
    </row>
    <row r="881" ht="31.5" customHeight="1">
      <c r="AI881" s="37"/>
      <c r="AR881" s="61"/>
      <c r="AY881" s="146"/>
    </row>
    <row r="882" ht="31.5" customHeight="1">
      <c r="AI882" s="37"/>
      <c r="AR882" s="61"/>
      <c r="AY882" s="146"/>
    </row>
    <row r="883" ht="31.5" customHeight="1">
      <c r="AI883" s="37"/>
      <c r="AR883" s="61"/>
      <c r="AY883" s="146"/>
    </row>
    <row r="884" ht="31.5" customHeight="1">
      <c r="AI884" s="37"/>
      <c r="AR884" s="61"/>
      <c r="AY884" s="146"/>
    </row>
    <row r="885" ht="31.5" customHeight="1">
      <c r="AI885" s="37"/>
      <c r="AR885" s="61"/>
      <c r="AY885" s="146"/>
    </row>
    <row r="886" ht="31.5" customHeight="1">
      <c r="AI886" s="37"/>
      <c r="AR886" s="61"/>
      <c r="AY886" s="146"/>
    </row>
    <row r="887" ht="31.5" customHeight="1">
      <c r="AI887" s="37"/>
      <c r="AR887" s="61"/>
      <c r="AY887" s="146"/>
    </row>
    <row r="888" ht="31.5" customHeight="1">
      <c r="AI888" s="37"/>
      <c r="AR888" s="61"/>
      <c r="AY888" s="146"/>
    </row>
    <row r="889" ht="31.5" customHeight="1">
      <c r="AI889" s="37"/>
      <c r="AR889" s="61"/>
      <c r="AY889" s="146"/>
    </row>
    <row r="890" ht="31.5" customHeight="1">
      <c r="AI890" s="37"/>
      <c r="AR890" s="61"/>
      <c r="AY890" s="146"/>
    </row>
    <row r="891" ht="31.5" customHeight="1">
      <c r="AI891" s="37"/>
      <c r="AR891" s="61"/>
      <c r="AY891" s="146"/>
    </row>
    <row r="892" ht="31.5" customHeight="1">
      <c r="AI892" s="37"/>
      <c r="AR892" s="61"/>
      <c r="AY892" s="146"/>
    </row>
    <row r="893" ht="31.5" customHeight="1">
      <c r="AI893" s="37"/>
      <c r="AR893" s="61"/>
      <c r="AY893" s="146"/>
    </row>
    <row r="894" ht="31.5" customHeight="1">
      <c r="AI894" s="37"/>
      <c r="AR894" s="61"/>
      <c r="AY894" s="146"/>
    </row>
    <row r="895" ht="31.5" customHeight="1">
      <c r="AI895" s="37"/>
      <c r="AR895" s="61"/>
      <c r="AY895" s="146"/>
    </row>
    <row r="896" ht="31.5" customHeight="1">
      <c r="AI896" s="37"/>
      <c r="AR896" s="61"/>
      <c r="AY896" s="146"/>
    </row>
    <row r="897" ht="31.5" customHeight="1">
      <c r="AI897" s="37"/>
      <c r="AR897" s="61"/>
      <c r="AY897" s="146"/>
    </row>
    <row r="898" ht="31.5" customHeight="1">
      <c r="AI898" s="37"/>
      <c r="AR898" s="61"/>
      <c r="AY898" s="146"/>
    </row>
    <row r="899" ht="31.5" customHeight="1">
      <c r="AI899" s="37"/>
      <c r="AR899" s="61"/>
      <c r="AY899" s="146"/>
    </row>
    <row r="900" ht="31.5" customHeight="1">
      <c r="AI900" s="37"/>
      <c r="AR900" s="61"/>
      <c r="AY900" s="146"/>
    </row>
    <row r="901" ht="31.5" customHeight="1">
      <c r="AI901" s="37"/>
      <c r="AR901" s="61"/>
      <c r="AY901" s="146"/>
    </row>
    <row r="902" ht="31.5" customHeight="1">
      <c r="AI902" s="37"/>
      <c r="AR902" s="61"/>
      <c r="AY902" s="146"/>
    </row>
    <row r="903" ht="31.5" customHeight="1">
      <c r="AI903" s="37"/>
      <c r="AR903" s="61"/>
      <c r="AY903" s="146"/>
    </row>
    <row r="904" ht="31.5" customHeight="1">
      <c r="AI904" s="37"/>
      <c r="AR904" s="61"/>
      <c r="AY904" s="146"/>
    </row>
    <row r="905" ht="31.5" customHeight="1">
      <c r="AI905" s="37"/>
      <c r="AR905" s="61"/>
      <c r="AY905" s="146"/>
    </row>
    <row r="906" ht="31.5" customHeight="1">
      <c r="AI906" s="37"/>
      <c r="AR906" s="61"/>
      <c r="AY906" s="146"/>
    </row>
    <row r="907" ht="31.5" customHeight="1">
      <c r="AI907" s="37"/>
      <c r="AR907" s="61"/>
      <c r="AY907" s="146"/>
    </row>
    <row r="908" ht="31.5" customHeight="1">
      <c r="AI908" s="37"/>
      <c r="AR908" s="61"/>
      <c r="AY908" s="146"/>
    </row>
    <row r="909" ht="31.5" customHeight="1">
      <c r="AI909" s="37"/>
      <c r="AR909" s="61"/>
      <c r="AY909" s="146"/>
    </row>
    <row r="910" ht="31.5" customHeight="1">
      <c r="AI910" s="37"/>
      <c r="AR910" s="61"/>
      <c r="AY910" s="146"/>
    </row>
    <row r="911" ht="31.5" customHeight="1">
      <c r="AI911" s="37"/>
      <c r="AR911" s="61"/>
      <c r="AY911" s="146"/>
    </row>
    <row r="912" ht="31.5" customHeight="1">
      <c r="AI912" s="37"/>
      <c r="AR912" s="61"/>
      <c r="AY912" s="146"/>
    </row>
    <row r="913" ht="31.5" customHeight="1">
      <c r="AI913" s="37"/>
      <c r="AR913" s="61"/>
      <c r="AY913" s="146"/>
    </row>
    <row r="914" ht="31.5" customHeight="1">
      <c r="AI914" s="37"/>
      <c r="AR914" s="61"/>
      <c r="AY914" s="146"/>
    </row>
    <row r="915" ht="31.5" customHeight="1">
      <c r="AI915" s="37"/>
      <c r="AR915" s="61"/>
      <c r="AY915" s="146"/>
    </row>
    <row r="916" ht="31.5" customHeight="1">
      <c r="AI916" s="37"/>
      <c r="AR916" s="61"/>
      <c r="AY916" s="146"/>
    </row>
    <row r="917" ht="31.5" customHeight="1">
      <c r="AI917" s="37"/>
      <c r="AR917" s="61"/>
      <c r="AY917" s="146"/>
    </row>
    <row r="918" ht="31.5" customHeight="1">
      <c r="AI918" s="37"/>
      <c r="AR918" s="61"/>
      <c r="AY918" s="146"/>
    </row>
    <row r="919" ht="31.5" customHeight="1">
      <c r="AI919" s="37"/>
      <c r="AR919" s="61"/>
      <c r="AY919" s="146"/>
    </row>
    <row r="920" ht="31.5" customHeight="1">
      <c r="AI920" s="37"/>
      <c r="AR920" s="61"/>
      <c r="AY920" s="146"/>
    </row>
    <row r="921" ht="31.5" customHeight="1">
      <c r="AI921" s="37"/>
      <c r="AR921" s="61"/>
      <c r="AY921" s="146"/>
    </row>
    <row r="922" ht="31.5" customHeight="1">
      <c r="AI922" s="37"/>
      <c r="AR922" s="61"/>
      <c r="AY922" s="146"/>
    </row>
    <row r="923" ht="31.5" customHeight="1">
      <c r="AI923" s="37"/>
      <c r="AR923" s="61"/>
      <c r="AY923" s="146"/>
    </row>
    <row r="924" ht="31.5" customHeight="1">
      <c r="AI924" s="37"/>
      <c r="AR924" s="61"/>
      <c r="AY924" s="146"/>
    </row>
    <row r="925" ht="31.5" customHeight="1">
      <c r="AI925" s="37"/>
      <c r="AR925" s="61"/>
      <c r="AY925" s="146"/>
    </row>
    <row r="926" ht="31.5" customHeight="1">
      <c r="AI926" s="37"/>
      <c r="AR926" s="61"/>
      <c r="AY926" s="146"/>
    </row>
    <row r="927" ht="31.5" customHeight="1">
      <c r="AI927" s="37"/>
      <c r="AR927" s="61"/>
      <c r="AY927" s="146"/>
    </row>
    <row r="928" ht="31.5" customHeight="1">
      <c r="AI928" s="37"/>
      <c r="AR928" s="61"/>
      <c r="AY928" s="146"/>
    </row>
    <row r="929" ht="31.5" customHeight="1">
      <c r="AI929" s="37"/>
      <c r="AR929" s="61"/>
      <c r="AY929" s="146"/>
    </row>
    <row r="930" ht="31.5" customHeight="1">
      <c r="AI930" s="37"/>
      <c r="AR930" s="61"/>
      <c r="AY930" s="146"/>
    </row>
    <row r="931" ht="31.5" customHeight="1">
      <c r="AI931" s="37"/>
      <c r="AR931" s="61"/>
      <c r="AY931" s="146"/>
    </row>
    <row r="932" ht="31.5" customHeight="1">
      <c r="AI932" s="37"/>
      <c r="AR932" s="61"/>
      <c r="AY932" s="146"/>
    </row>
    <row r="933" ht="31.5" customHeight="1">
      <c r="AI933" s="37"/>
      <c r="AR933" s="61"/>
      <c r="AY933" s="146"/>
    </row>
    <row r="934" ht="31.5" customHeight="1">
      <c r="AI934" s="37"/>
      <c r="AR934" s="61"/>
      <c r="AY934" s="146"/>
    </row>
    <row r="935" ht="31.5" customHeight="1">
      <c r="AI935" s="37"/>
      <c r="AR935" s="61"/>
      <c r="AY935" s="146"/>
    </row>
    <row r="936" ht="31.5" customHeight="1">
      <c r="AI936" s="37"/>
      <c r="AR936" s="61"/>
      <c r="AY936" s="146"/>
    </row>
    <row r="937" ht="31.5" customHeight="1">
      <c r="AI937" s="37"/>
      <c r="AR937" s="61"/>
      <c r="AY937" s="146"/>
    </row>
    <row r="938" ht="31.5" customHeight="1">
      <c r="AI938" s="37"/>
      <c r="AR938" s="61"/>
      <c r="AY938" s="146"/>
    </row>
    <row r="939" ht="31.5" customHeight="1">
      <c r="AI939" s="37"/>
      <c r="AR939" s="61"/>
      <c r="AY939" s="146"/>
    </row>
    <row r="940" ht="31.5" customHeight="1">
      <c r="AI940" s="37"/>
      <c r="AR940" s="61"/>
      <c r="AY940" s="146"/>
    </row>
    <row r="941" ht="31.5" customHeight="1">
      <c r="AI941" s="37"/>
      <c r="AR941" s="61"/>
      <c r="AY941" s="146"/>
    </row>
    <row r="942" ht="31.5" customHeight="1">
      <c r="AI942" s="37"/>
      <c r="AR942" s="61"/>
      <c r="AY942" s="146"/>
    </row>
    <row r="943" ht="31.5" customHeight="1">
      <c r="AI943" s="37"/>
      <c r="AR943" s="61"/>
      <c r="AY943" s="146"/>
    </row>
    <row r="944" ht="31.5" customHeight="1">
      <c r="AI944" s="37"/>
      <c r="AR944" s="61"/>
      <c r="AY944" s="146"/>
    </row>
    <row r="945" ht="31.5" customHeight="1">
      <c r="AI945" s="37"/>
      <c r="AR945" s="61"/>
      <c r="AY945" s="146"/>
    </row>
    <row r="946" ht="31.5" customHeight="1">
      <c r="AI946" s="37"/>
      <c r="AR946" s="61"/>
      <c r="AY946" s="146"/>
    </row>
    <row r="947" ht="31.5" customHeight="1">
      <c r="AI947" s="37"/>
      <c r="AR947" s="61"/>
      <c r="AY947" s="146"/>
    </row>
    <row r="948" ht="31.5" customHeight="1">
      <c r="AI948" s="37"/>
      <c r="AR948" s="61"/>
      <c r="AY948" s="146"/>
    </row>
    <row r="949" ht="31.5" customHeight="1">
      <c r="AI949" s="37"/>
      <c r="AR949" s="61"/>
      <c r="AY949" s="146"/>
    </row>
    <row r="950" ht="31.5" customHeight="1">
      <c r="AI950" s="37"/>
      <c r="AR950" s="61"/>
      <c r="AY950" s="146"/>
    </row>
    <row r="951" ht="31.5" customHeight="1">
      <c r="AI951" s="37"/>
      <c r="AR951" s="61"/>
      <c r="AY951" s="146"/>
    </row>
    <row r="952" ht="31.5" customHeight="1">
      <c r="AI952" s="37"/>
      <c r="AR952" s="61"/>
      <c r="AY952" s="146"/>
    </row>
    <row r="953" ht="31.5" customHeight="1">
      <c r="AI953" s="37"/>
      <c r="AR953" s="61"/>
      <c r="AY953" s="146"/>
    </row>
    <row r="954" ht="31.5" customHeight="1">
      <c r="AI954" s="37"/>
      <c r="AR954" s="61"/>
      <c r="AY954" s="146"/>
    </row>
    <row r="955" ht="31.5" customHeight="1">
      <c r="AI955" s="37"/>
      <c r="AR955" s="61"/>
      <c r="AY955" s="146"/>
    </row>
    <row r="956" ht="31.5" customHeight="1">
      <c r="AI956" s="37"/>
      <c r="AR956" s="61"/>
      <c r="AY956" s="146"/>
    </row>
    <row r="957" ht="31.5" customHeight="1">
      <c r="AI957" s="37"/>
      <c r="AR957" s="61"/>
      <c r="AY957" s="146"/>
    </row>
    <row r="958" ht="31.5" customHeight="1">
      <c r="AI958" s="37"/>
      <c r="AR958" s="61"/>
      <c r="AY958" s="146"/>
    </row>
    <row r="959" ht="31.5" customHeight="1">
      <c r="AI959" s="37"/>
      <c r="AR959" s="61"/>
      <c r="AY959" s="146"/>
    </row>
    <row r="960" ht="31.5" customHeight="1">
      <c r="AI960" s="37"/>
      <c r="AR960" s="61"/>
      <c r="AY960" s="146"/>
    </row>
    <row r="961" ht="31.5" customHeight="1">
      <c r="AI961" s="37"/>
      <c r="AR961" s="61"/>
      <c r="AY961" s="146"/>
    </row>
    <row r="962" ht="31.5" customHeight="1">
      <c r="AI962" s="37"/>
      <c r="AR962" s="61"/>
      <c r="AY962" s="146"/>
    </row>
    <row r="963" ht="31.5" customHeight="1">
      <c r="AI963" s="37"/>
      <c r="AR963" s="61"/>
      <c r="AY963" s="146"/>
    </row>
    <row r="964" ht="31.5" customHeight="1">
      <c r="AI964" s="37"/>
      <c r="AR964" s="61"/>
      <c r="AY964" s="146"/>
    </row>
    <row r="965" ht="31.5" customHeight="1">
      <c r="AI965" s="37"/>
      <c r="AR965" s="61"/>
      <c r="AY965" s="146"/>
    </row>
    <row r="966" ht="31.5" customHeight="1">
      <c r="AI966" s="37"/>
      <c r="AR966" s="61"/>
      <c r="AY966" s="146"/>
    </row>
    <row r="967" ht="31.5" customHeight="1">
      <c r="AI967" s="37"/>
      <c r="AR967" s="61"/>
      <c r="AY967" s="146"/>
    </row>
    <row r="968" ht="31.5" customHeight="1">
      <c r="AI968" s="37"/>
      <c r="AR968" s="61"/>
      <c r="AY968" s="146"/>
    </row>
    <row r="969" ht="31.5" customHeight="1">
      <c r="AI969" s="37"/>
      <c r="AR969" s="61"/>
      <c r="AY969" s="146"/>
    </row>
    <row r="970" ht="31.5" customHeight="1">
      <c r="AI970" s="37"/>
      <c r="AR970" s="61"/>
      <c r="AY970" s="146"/>
    </row>
    <row r="971" ht="31.5" customHeight="1">
      <c r="AI971" s="37"/>
      <c r="AR971" s="61"/>
      <c r="AY971" s="146"/>
    </row>
    <row r="972" ht="31.5" customHeight="1">
      <c r="AI972" s="37"/>
      <c r="AR972" s="61"/>
      <c r="AY972" s="146"/>
    </row>
    <row r="973" ht="31.5" customHeight="1">
      <c r="AI973" s="37"/>
      <c r="AR973" s="61"/>
      <c r="AY973" s="146"/>
    </row>
    <row r="974" ht="31.5" customHeight="1">
      <c r="AI974" s="37"/>
      <c r="AR974" s="61"/>
      <c r="AY974" s="146"/>
    </row>
    <row r="975" ht="31.5" customHeight="1">
      <c r="AI975" s="37"/>
      <c r="AR975" s="61"/>
      <c r="AY975" s="146"/>
    </row>
    <row r="976" ht="31.5" customHeight="1">
      <c r="AI976" s="37"/>
      <c r="AR976" s="61"/>
      <c r="AY976" s="146"/>
    </row>
    <row r="977" ht="31.5" customHeight="1">
      <c r="AI977" s="37"/>
      <c r="AR977" s="61"/>
      <c r="AY977" s="146"/>
    </row>
    <row r="978" ht="31.5" customHeight="1">
      <c r="AI978" s="37"/>
      <c r="AR978" s="61"/>
      <c r="AY978" s="146"/>
    </row>
    <row r="979" ht="31.5" customHeight="1">
      <c r="AI979" s="37"/>
      <c r="AR979" s="61"/>
      <c r="AY979" s="146"/>
    </row>
    <row r="980" ht="31.5" customHeight="1">
      <c r="AI980" s="37"/>
      <c r="AR980" s="61"/>
      <c r="AY980" s="146"/>
    </row>
    <row r="981" ht="31.5" customHeight="1">
      <c r="AI981" s="37"/>
      <c r="AR981" s="61"/>
      <c r="AY981" s="146"/>
    </row>
    <row r="982" ht="31.5" customHeight="1">
      <c r="AI982" s="37"/>
      <c r="AR982" s="61"/>
      <c r="AY982" s="146"/>
    </row>
    <row r="983" ht="31.5" customHeight="1">
      <c r="AI983" s="37"/>
      <c r="AR983" s="61"/>
      <c r="AY983" s="146"/>
    </row>
    <row r="984" ht="31.5" customHeight="1">
      <c r="AI984" s="37"/>
      <c r="AR984" s="61"/>
      <c r="AY984" s="146"/>
    </row>
    <row r="985" ht="31.5" customHeight="1">
      <c r="AI985" s="37"/>
      <c r="AR985" s="61"/>
      <c r="AY985" s="146"/>
    </row>
    <row r="986" ht="31.5" customHeight="1">
      <c r="AI986" s="37"/>
      <c r="AR986" s="61"/>
      <c r="AY986" s="146"/>
    </row>
    <row r="987" ht="31.5" customHeight="1">
      <c r="AI987" s="37"/>
      <c r="AR987" s="61"/>
      <c r="AY987" s="146"/>
    </row>
    <row r="988" ht="31.5" customHeight="1">
      <c r="AI988" s="37"/>
      <c r="AR988" s="61"/>
      <c r="AY988" s="146"/>
    </row>
    <row r="989" ht="31.5" customHeight="1">
      <c r="AI989" s="37"/>
      <c r="AR989" s="61"/>
      <c r="AY989" s="146"/>
    </row>
    <row r="990" ht="31.5" customHeight="1">
      <c r="AI990" s="37"/>
      <c r="AR990" s="61"/>
      <c r="AY990" s="146"/>
    </row>
    <row r="991" ht="31.5" customHeight="1">
      <c r="AI991" s="37"/>
      <c r="AR991" s="61"/>
      <c r="AY991" s="146"/>
    </row>
    <row r="992" ht="31.5" customHeight="1">
      <c r="AI992" s="37"/>
      <c r="AR992" s="61"/>
      <c r="AY992" s="146"/>
    </row>
    <row r="993" ht="31.5" customHeight="1">
      <c r="AI993" s="37"/>
      <c r="AR993" s="61"/>
      <c r="AY993" s="146"/>
    </row>
    <row r="994" ht="31.5" customHeight="1">
      <c r="AI994" s="37"/>
      <c r="AR994" s="61"/>
      <c r="AY994" s="146"/>
    </row>
    <row r="995" ht="31.5" customHeight="1">
      <c r="AI995" s="37"/>
      <c r="AR995" s="61"/>
      <c r="AY995" s="146"/>
    </row>
    <row r="996" ht="31.5" customHeight="1">
      <c r="AI996" s="37"/>
      <c r="AR996" s="61"/>
      <c r="AY996" s="146"/>
    </row>
    <row r="997" ht="31.5" customHeight="1">
      <c r="AI997" s="37"/>
      <c r="AR997" s="61"/>
      <c r="AY997" s="146"/>
    </row>
    <row r="998" ht="31.5" customHeight="1">
      <c r="AI998" s="37"/>
      <c r="AR998" s="61"/>
      <c r="AY998" s="146"/>
    </row>
    <row r="999" ht="31.5" customHeight="1">
      <c r="AI999" s="37"/>
      <c r="AR999" s="61"/>
      <c r="AY999" s="146"/>
    </row>
    <row r="1000" ht="31.5" customHeight="1">
      <c r="AI1000" s="37"/>
      <c r="AR1000" s="61"/>
      <c r="AY1000" s="146"/>
    </row>
    <row r="1001" ht="31.5" customHeight="1">
      <c r="AI1001" s="37"/>
      <c r="AR1001" s="61"/>
      <c r="AY1001" s="146"/>
    </row>
    <row r="1002" ht="31.5" customHeight="1">
      <c r="AI1002" s="37"/>
      <c r="AR1002" s="61"/>
      <c r="AY1002" s="146"/>
    </row>
    <row r="1003" ht="31.5" customHeight="1">
      <c r="AI1003" s="37"/>
      <c r="AR1003" s="61"/>
      <c r="AY1003" s="146"/>
    </row>
    <row r="1004" ht="31.5" customHeight="1">
      <c r="AI1004" s="37"/>
      <c r="AR1004" s="61"/>
      <c r="AY1004" s="146"/>
    </row>
    <row r="1005" ht="31.5" customHeight="1">
      <c r="AI1005" s="37"/>
      <c r="AR1005" s="61"/>
      <c r="AY1005" s="146"/>
    </row>
    <row r="1006" ht="31.5" customHeight="1">
      <c r="AI1006" s="37"/>
      <c r="AR1006" s="61"/>
      <c r="AY1006" s="146"/>
    </row>
    <row r="1007" ht="31.5" customHeight="1">
      <c r="AI1007" s="37"/>
      <c r="AR1007" s="61"/>
      <c r="AY1007" s="146"/>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5:AX23">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2" max="2" width="24.25"/>
    <col customWidth="1" min="3" max="3" width="11.63"/>
    <col customWidth="1" min="4" max="4" width="10.63"/>
    <col customWidth="1" min="5" max="5" width="10.5"/>
    <col customWidth="1" min="6" max="6" width="7.88"/>
    <col customWidth="1" min="7" max="7" width="10.5"/>
    <col customWidth="1" min="8" max="8" width="9.38"/>
    <col customWidth="1" min="9" max="9" width="10.0"/>
    <col customWidth="1" min="10" max="10" width="7.88"/>
    <col customWidth="1" min="11" max="11" width="9.13"/>
    <col customWidth="1" min="12" max="12" width="6.0"/>
    <col customWidth="1" min="13" max="13" width="9.25"/>
    <col customWidth="1" min="14" max="14" width="5.63"/>
    <col customWidth="1" min="15" max="15" width="7.25"/>
    <col customWidth="1" min="16" max="16" width="8.63"/>
    <col customWidth="1" min="17" max="17" width="9.5"/>
    <col customWidth="1" min="18" max="18" width="8.88"/>
    <col customWidth="1" min="19" max="19" width="9.0"/>
    <col customWidth="1" min="20" max="20" width="11.13"/>
    <col customWidth="1" min="21" max="21" width="8.5"/>
    <col customWidth="1" min="22" max="22" width="5.5"/>
    <col customWidth="1" min="23" max="23" width="11.13"/>
    <col customWidth="1" min="24" max="24" width="10.75"/>
    <col customWidth="1" min="26" max="44" width="13.63"/>
    <col customWidth="1" min="46" max="46" width="14.0"/>
    <col customWidth="1" min="51" max="51" width="114.0"/>
  </cols>
  <sheetData>
    <row r="1" ht="15.75" customHeight="1">
      <c r="A1" s="36" t="s">
        <v>209</v>
      </c>
      <c r="B1" s="37"/>
      <c r="C1" s="38"/>
      <c r="D1" s="38"/>
      <c r="E1" s="38"/>
      <c r="F1" s="38"/>
      <c r="G1" s="39"/>
      <c r="H1" s="39"/>
      <c r="I1" s="39"/>
      <c r="J1" s="39"/>
      <c r="K1" s="39"/>
      <c r="L1" s="39"/>
      <c r="M1" s="9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40"/>
    </row>
    <row r="2" ht="15.75" customHeight="1">
      <c r="A2" s="40"/>
      <c r="B2" s="37"/>
      <c r="C2" s="38"/>
      <c r="D2" s="38"/>
      <c r="E2" s="38"/>
      <c r="F2" s="38"/>
      <c r="G2" s="39"/>
      <c r="H2" s="39"/>
      <c r="I2" s="39"/>
      <c r="J2" s="39"/>
      <c r="K2" s="39"/>
      <c r="L2" s="39"/>
      <c r="M2" s="9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40"/>
    </row>
    <row r="3" ht="15.75" customHeight="1">
      <c r="A3" s="42" t="s">
        <v>60</v>
      </c>
      <c r="B3" s="43" t="s">
        <v>61</v>
      </c>
      <c r="C3" s="44" t="s">
        <v>62</v>
      </c>
      <c r="D3" s="45"/>
      <c r="E3" s="45"/>
      <c r="F3" s="46"/>
      <c r="G3" s="47" t="s">
        <v>63</v>
      </c>
      <c r="H3" s="45"/>
      <c r="I3" s="45"/>
      <c r="J3" s="46"/>
      <c r="K3" s="48" t="s">
        <v>64</v>
      </c>
      <c r="L3" s="45"/>
      <c r="M3" s="45"/>
      <c r="N3" s="46"/>
      <c r="O3" s="49" t="s">
        <v>296</v>
      </c>
      <c r="P3" s="45"/>
      <c r="Q3" s="45"/>
      <c r="R3" s="46"/>
      <c r="S3" s="50" t="s">
        <v>66</v>
      </c>
      <c r="T3" s="45"/>
      <c r="U3" s="45"/>
      <c r="V3" s="46"/>
      <c r="W3" s="51" t="s">
        <v>67</v>
      </c>
      <c r="X3" s="45"/>
      <c r="Y3" s="45"/>
      <c r="Z3" s="46"/>
      <c r="AA3" s="52" t="s">
        <v>68</v>
      </c>
      <c r="AB3" s="45"/>
      <c r="AC3" s="45"/>
      <c r="AD3" s="46"/>
      <c r="AE3" s="53" t="s">
        <v>69</v>
      </c>
      <c r="AF3" s="45"/>
      <c r="AG3" s="45"/>
      <c r="AH3" s="46"/>
      <c r="AI3" s="54" t="s">
        <v>70</v>
      </c>
      <c r="AJ3" s="45"/>
      <c r="AK3" s="45"/>
      <c r="AL3" s="46"/>
      <c r="AM3" s="55" t="s">
        <v>71</v>
      </c>
      <c r="AN3" s="45"/>
      <c r="AO3" s="45"/>
      <c r="AP3" s="46"/>
      <c r="AQ3" s="56"/>
      <c r="AR3" s="57" t="s">
        <v>72</v>
      </c>
      <c r="AS3" s="43" t="s">
        <v>73</v>
      </c>
      <c r="AT3" s="43" t="s">
        <v>74</v>
      </c>
      <c r="AU3" s="42" t="s">
        <v>75</v>
      </c>
      <c r="AV3" s="42" t="s">
        <v>76</v>
      </c>
      <c r="AW3" s="42" t="s">
        <v>77</v>
      </c>
      <c r="AX3" s="42" t="s">
        <v>210</v>
      </c>
      <c r="AY3" s="42" t="s">
        <v>79</v>
      </c>
    </row>
    <row r="4" ht="15.75" customHeight="1">
      <c r="A4" s="42"/>
      <c r="B4" s="43"/>
      <c r="C4" s="56" t="s">
        <v>80</v>
      </c>
      <c r="D4" s="56" t="s">
        <v>81</v>
      </c>
      <c r="E4" s="56" t="s">
        <v>82</v>
      </c>
      <c r="F4" s="56" t="s">
        <v>83</v>
      </c>
      <c r="G4" s="56" t="s">
        <v>80</v>
      </c>
      <c r="H4" s="56" t="s">
        <v>81</v>
      </c>
      <c r="I4" s="56" t="s">
        <v>82</v>
      </c>
      <c r="J4" s="56" t="s">
        <v>83</v>
      </c>
      <c r="K4" s="56" t="s">
        <v>80</v>
      </c>
      <c r="L4" s="56" t="s">
        <v>81</v>
      </c>
      <c r="M4" s="57" t="s">
        <v>82</v>
      </c>
      <c r="N4" s="56" t="s">
        <v>83</v>
      </c>
      <c r="O4" s="56" t="s">
        <v>80</v>
      </c>
      <c r="P4" s="56" t="s">
        <v>81</v>
      </c>
      <c r="Q4" s="56" t="s">
        <v>82</v>
      </c>
      <c r="R4" s="56" t="s">
        <v>83</v>
      </c>
      <c r="S4" s="56" t="s">
        <v>80</v>
      </c>
      <c r="T4" s="56" t="s">
        <v>81</v>
      </c>
      <c r="U4" s="56" t="s">
        <v>82</v>
      </c>
      <c r="V4" s="56" t="s">
        <v>83</v>
      </c>
      <c r="W4" s="56" t="s">
        <v>80</v>
      </c>
      <c r="X4" s="56" t="s">
        <v>81</v>
      </c>
      <c r="Y4" s="56" t="s">
        <v>82</v>
      </c>
      <c r="Z4" s="56" t="s">
        <v>83</v>
      </c>
      <c r="AA4" s="58" t="s">
        <v>80</v>
      </c>
      <c r="AB4" s="59" t="s">
        <v>81</v>
      </c>
      <c r="AC4" s="59" t="s">
        <v>82</v>
      </c>
      <c r="AD4" s="59" t="s">
        <v>83</v>
      </c>
      <c r="AE4" s="58" t="s">
        <v>80</v>
      </c>
      <c r="AF4" s="59" t="s">
        <v>81</v>
      </c>
      <c r="AG4" s="59" t="s">
        <v>82</v>
      </c>
      <c r="AH4" s="59" t="s">
        <v>83</v>
      </c>
      <c r="AI4" s="58" t="s">
        <v>80</v>
      </c>
      <c r="AJ4" s="59" t="s">
        <v>81</v>
      </c>
      <c r="AK4" s="59" t="s">
        <v>82</v>
      </c>
      <c r="AL4" s="59" t="s">
        <v>83</v>
      </c>
      <c r="AM4" s="58" t="s">
        <v>80</v>
      </c>
      <c r="AN4" s="59" t="s">
        <v>81</v>
      </c>
      <c r="AO4" s="59" t="s">
        <v>82</v>
      </c>
      <c r="AP4" s="59" t="s">
        <v>83</v>
      </c>
      <c r="AQ4" s="60"/>
      <c r="AR4" s="61"/>
      <c r="AS4" s="43"/>
      <c r="AT4" s="43"/>
      <c r="AU4" s="42"/>
      <c r="AV4" s="42"/>
      <c r="AW4" s="42"/>
      <c r="AX4" s="42"/>
      <c r="AY4" s="42"/>
    </row>
    <row r="5" ht="27.75" customHeight="1">
      <c r="A5" s="96">
        <v>1.0</v>
      </c>
      <c r="B5" s="151" t="s">
        <v>297</v>
      </c>
      <c r="C5" s="152">
        <v>19.0</v>
      </c>
      <c r="D5" s="152">
        <v>22.0</v>
      </c>
      <c r="E5" s="153">
        <f t="shared" ref="E5:E27" si="1">C5+D5</f>
        <v>41</v>
      </c>
      <c r="F5" s="164" t="str">
        <f t="shared" ref="F5:F27" si="2">VLOOKUP(E5,$B$39:$C$47,2)</f>
        <v>E</v>
      </c>
      <c r="G5" s="152">
        <v>24.0</v>
      </c>
      <c r="H5" s="152">
        <v>35.0</v>
      </c>
      <c r="I5" s="153">
        <f t="shared" ref="I5:I27" si="3">G5+H5</f>
        <v>59</v>
      </c>
      <c r="J5" s="153" t="str">
        <f t="shared" ref="J5:J27" si="4">VLOOKUP(I5,$B$39:$C$47,2)</f>
        <v>D</v>
      </c>
      <c r="K5" s="152">
        <v>25.0</v>
      </c>
      <c r="L5" s="152">
        <v>39.0</v>
      </c>
      <c r="M5" s="161">
        <f t="shared" ref="M5:M27" si="5">K5+L5</f>
        <v>64</v>
      </c>
      <c r="N5" s="153" t="str">
        <f t="shared" ref="N5:N27" si="6">VLOOKUP(M5,$B$39:$C$47,2)</f>
        <v>C</v>
      </c>
      <c r="O5" s="152">
        <v>31.0</v>
      </c>
      <c r="P5" s="152">
        <v>47.0</v>
      </c>
      <c r="Q5" s="153">
        <f t="shared" ref="Q5:Q27" si="7">O5+P5</f>
        <v>78</v>
      </c>
      <c r="R5" s="153" t="str">
        <f t="shared" ref="R5:R27" si="8">VLOOKUP(Q5,$B$39:$C$47,2)</f>
        <v>B</v>
      </c>
      <c r="S5" s="152">
        <v>27.0</v>
      </c>
      <c r="T5" s="152">
        <v>41.0</v>
      </c>
      <c r="U5" s="153">
        <f t="shared" ref="U5:U27" si="9">S5+T5</f>
        <v>68</v>
      </c>
      <c r="V5" s="153" t="str">
        <f t="shared" ref="V5:V27" si="10">VLOOKUP(U5,$B$39:$C$47,2)</f>
        <v>C</v>
      </c>
      <c r="W5" s="152">
        <v>27.0</v>
      </c>
      <c r="X5" s="152">
        <v>45.0</v>
      </c>
      <c r="Y5" s="153">
        <f t="shared" ref="Y5:Y27" si="11">W5+X5</f>
        <v>72</v>
      </c>
      <c r="Z5" s="153" t="str">
        <f t="shared" ref="Z5:Z27" si="12">VLOOKUP(Y5,$B$39:$C$47,2)</f>
        <v>B</v>
      </c>
      <c r="AA5" s="155">
        <v>22.0</v>
      </c>
      <c r="AB5" s="156">
        <v>24.0</v>
      </c>
      <c r="AC5" s="157">
        <f t="shared" ref="AC5:AC10" si="13">AA5+AB5</f>
        <v>46</v>
      </c>
      <c r="AD5" s="153" t="str">
        <f t="shared" ref="AD5:AD27" si="14">VLOOKUP(AC5,$B$39:$C$47,2)</f>
        <v>E</v>
      </c>
      <c r="AE5" s="155">
        <v>29.0</v>
      </c>
      <c r="AF5" s="156">
        <v>49.0</v>
      </c>
      <c r="AG5" s="157">
        <f t="shared" ref="AG5:AG27" si="15">AE5+AF5</f>
        <v>78</v>
      </c>
      <c r="AH5" s="153" t="str">
        <f t="shared" ref="AH5:AH27" si="16">VLOOKUP(AG5,$B$39:$C$47,2)</f>
        <v>B</v>
      </c>
      <c r="AI5" s="177">
        <v>33.0</v>
      </c>
      <c r="AJ5" s="156">
        <v>42.0</v>
      </c>
      <c r="AK5" s="157">
        <f t="shared" ref="AK5:AK27" si="17">AI5+AJ5</f>
        <v>75</v>
      </c>
      <c r="AL5" s="153" t="str">
        <f t="shared" ref="AL5:AL27" si="18">VLOOKUP(AK5,$B$39:$C$47,2)</f>
        <v>B</v>
      </c>
      <c r="AM5" s="155">
        <v>20.0</v>
      </c>
      <c r="AN5" s="156">
        <v>43.0</v>
      </c>
      <c r="AO5" s="157">
        <f t="shared" ref="AO5:AO27" si="19">AM5+AN5</f>
        <v>63</v>
      </c>
      <c r="AP5" s="153" t="str">
        <f t="shared" ref="AP5:AP27" si="20">VLOOKUP(AO5,$B$39:$C$47,2)</f>
        <v>C</v>
      </c>
      <c r="AQ5" s="157"/>
      <c r="AR5" s="161">
        <f t="shared" ref="AR5:AR27" si="21">AVERAGE(E5,I5,M5,Q5,U5,Y5,AC5,AG5,AK5,AO5)</f>
        <v>64.4</v>
      </c>
      <c r="AS5" s="162">
        <f t="shared" ref="AS5:AS27" si="22">RANK(AR5,$AR$5:$AR$27)</f>
        <v>10</v>
      </c>
      <c r="AT5" s="134" t="s">
        <v>90</v>
      </c>
      <c r="AU5" s="134" t="s">
        <v>87</v>
      </c>
      <c r="AV5" s="134" t="s">
        <v>90</v>
      </c>
      <c r="AW5" s="134" t="s">
        <v>90</v>
      </c>
      <c r="AX5" s="134" t="s">
        <v>90</v>
      </c>
      <c r="AY5" s="178" t="s">
        <v>298</v>
      </c>
    </row>
    <row r="6" ht="24.0" customHeight="1">
      <c r="A6" s="96">
        <v>2.0</v>
      </c>
      <c r="B6" s="167" t="s">
        <v>299</v>
      </c>
      <c r="C6" s="152">
        <v>18.0</v>
      </c>
      <c r="D6" s="152">
        <v>31.0</v>
      </c>
      <c r="E6" s="153">
        <f t="shared" si="1"/>
        <v>49</v>
      </c>
      <c r="F6" s="164" t="str">
        <f t="shared" si="2"/>
        <v>E</v>
      </c>
      <c r="G6" s="152">
        <v>10.0</v>
      </c>
      <c r="H6" s="152">
        <v>35.0</v>
      </c>
      <c r="I6" s="153">
        <f t="shared" si="3"/>
        <v>45</v>
      </c>
      <c r="J6" s="153" t="str">
        <f t="shared" si="4"/>
        <v>E</v>
      </c>
      <c r="K6" s="152">
        <v>29.0</v>
      </c>
      <c r="L6" s="152">
        <v>30.0</v>
      </c>
      <c r="M6" s="161">
        <f t="shared" si="5"/>
        <v>59</v>
      </c>
      <c r="N6" s="153" t="str">
        <f t="shared" si="6"/>
        <v>D</v>
      </c>
      <c r="O6" s="153"/>
      <c r="P6" s="152">
        <v>32.0</v>
      </c>
      <c r="Q6" s="153">
        <f t="shared" si="7"/>
        <v>32</v>
      </c>
      <c r="R6" s="153" t="str">
        <f t="shared" si="8"/>
        <v>F</v>
      </c>
      <c r="S6" s="152">
        <v>29.0</v>
      </c>
      <c r="T6" s="152">
        <v>47.0</v>
      </c>
      <c r="U6" s="153">
        <f t="shared" si="9"/>
        <v>76</v>
      </c>
      <c r="V6" s="153" t="str">
        <f t="shared" si="10"/>
        <v>B</v>
      </c>
      <c r="W6" s="152">
        <v>18.0</v>
      </c>
      <c r="X6" s="152">
        <v>39.0</v>
      </c>
      <c r="Y6" s="153">
        <f t="shared" si="11"/>
        <v>57</v>
      </c>
      <c r="Z6" s="153" t="str">
        <f t="shared" si="12"/>
        <v>D</v>
      </c>
      <c r="AA6" s="155">
        <v>35.0</v>
      </c>
      <c r="AB6" s="156">
        <v>31.0</v>
      </c>
      <c r="AC6" s="157">
        <f t="shared" si="13"/>
        <v>66</v>
      </c>
      <c r="AD6" s="153" t="str">
        <f t="shared" si="14"/>
        <v>C</v>
      </c>
      <c r="AE6" s="155">
        <v>29.0</v>
      </c>
      <c r="AF6" s="156">
        <v>28.0</v>
      </c>
      <c r="AG6" s="157">
        <f t="shared" si="15"/>
        <v>57</v>
      </c>
      <c r="AH6" s="153" t="str">
        <f t="shared" si="16"/>
        <v>D</v>
      </c>
      <c r="AI6" s="179">
        <v>33.0</v>
      </c>
      <c r="AJ6" s="156">
        <v>47.0</v>
      </c>
      <c r="AK6" s="157">
        <f t="shared" si="17"/>
        <v>80</v>
      </c>
      <c r="AL6" s="153" t="str">
        <f t="shared" si="18"/>
        <v>A</v>
      </c>
      <c r="AM6" s="155">
        <v>0.0</v>
      </c>
      <c r="AN6" s="156">
        <v>39.0</v>
      </c>
      <c r="AO6" s="157">
        <f t="shared" si="19"/>
        <v>39</v>
      </c>
      <c r="AP6" s="153" t="str">
        <f t="shared" si="20"/>
        <v>F</v>
      </c>
      <c r="AQ6" s="157"/>
      <c r="AR6" s="161">
        <f t="shared" si="21"/>
        <v>56</v>
      </c>
      <c r="AS6" s="162">
        <f t="shared" si="22"/>
        <v>20</v>
      </c>
      <c r="AT6" s="134" t="s">
        <v>90</v>
      </c>
      <c r="AU6" s="134" t="s">
        <v>93</v>
      </c>
      <c r="AV6" s="134" t="s">
        <v>93</v>
      </c>
      <c r="AW6" s="134" t="s">
        <v>146</v>
      </c>
      <c r="AX6" s="134" t="s">
        <v>93</v>
      </c>
      <c r="AY6" s="178" t="s">
        <v>300</v>
      </c>
    </row>
    <row r="7" ht="38.25" customHeight="1">
      <c r="A7" s="42">
        <v>3.0</v>
      </c>
      <c r="B7" s="94" t="s">
        <v>301</v>
      </c>
      <c r="C7" s="66">
        <v>20.0</v>
      </c>
      <c r="D7" s="66">
        <v>27.0</v>
      </c>
      <c r="E7" s="56">
        <f t="shared" si="1"/>
        <v>47</v>
      </c>
      <c r="F7" s="164" t="str">
        <f t="shared" si="2"/>
        <v>E</v>
      </c>
      <c r="G7" s="66">
        <v>26.0</v>
      </c>
      <c r="H7" s="66">
        <v>33.0</v>
      </c>
      <c r="I7" s="56">
        <f t="shared" si="3"/>
        <v>59</v>
      </c>
      <c r="J7" s="153" t="str">
        <f t="shared" si="4"/>
        <v>D</v>
      </c>
      <c r="K7" s="66">
        <v>27.0</v>
      </c>
      <c r="L7" s="66">
        <v>34.0</v>
      </c>
      <c r="M7" s="57">
        <f t="shared" si="5"/>
        <v>61</v>
      </c>
      <c r="N7" s="153" t="str">
        <f t="shared" si="6"/>
        <v>C</v>
      </c>
      <c r="O7" s="66">
        <v>24.0</v>
      </c>
      <c r="P7" s="66">
        <v>36.0</v>
      </c>
      <c r="Q7" s="56">
        <f t="shared" si="7"/>
        <v>60</v>
      </c>
      <c r="R7" s="153" t="str">
        <f t="shared" si="8"/>
        <v>C</v>
      </c>
      <c r="S7" s="66">
        <v>33.0</v>
      </c>
      <c r="T7" s="66">
        <v>35.0</v>
      </c>
      <c r="U7" s="56">
        <f t="shared" si="9"/>
        <v>68</v>
      </c>
      <c r="V7" s="153" t="str">
        <f t="shared" si="10"/>
        <v>C</v>
      </c>
      <c r="W7" s="66">
        <v>20.0</v>
      </c>
      <c r="X7" s="66">
        <v>43.0</v>
      </c>
      <c r="Y7" s="56">
        <f t="shared" si="11"/>
        <v>63</v>
      </c>
      <c r="Z7" s="153" t="str">
        <f t="shared" si="12"/>
        <v>C</v>
      </c>
      <c r="AA7" s="67">
        <v>26.0</v>
      </c>
      <c r="AB7" s="68">
        <v>30.0</v>
      </c>
      <c r="AC7" s="59">
        <f t="shared" si="13"/>
        <v>56</v>
      </c>
      <c r="AD7" s="153" t="str">
        <f t="shared" si="14"/>
        <v>D</v>
      </c>
      <c r="AE7" s="67">
        <v>26.0</v>
      </c>
      <c r="AF7" s="68">
        <v>36.0</v>
      </c>
      <c r="AG7" s="59">
        <f t="shared" si="15"/>
        <v>62</v>
      </c>
      <c r="AH7" s="153" t="str">
        <f t="shared" si="16"/>
        <v>C</v>
      </c>
      <c r="AI7" s="78">
        <v>30.0</v>
      </c>
      <c r="AJ7" s="68">
        <v>36.0</v>
      </c>
      <c r="AK7" s="59">
        <f t="shared" si="17"/>
        <v>66</v>
      </c>
      <c r="AL7" s="153" t="str">
        <f t="shared" si="18"/>
        <v>C</v>
      </c>
      <c r="AM7" s="67">
        <v>28.0</v>
      </c>
      <c r="AN7" s="68">
        <v>40.0</v>
      </c>
      <c r="AO7" s="59">
        <f t="shared" si="19"/>
        <v>68</v>
      </c>
      <c r="AP7" s="153" t="str">
        <f t="shared" si="20"/>
        <v>C</v>
      </c>
      <c r="AQ7" s="59"/>
      <c r="AR7" s="57">
        <f t="shared" si="21"/>
        <v>61</v>
      </c>
      <c r="AS7" s="72">
        <f t="shared" si="22"/>
        <v>14</v>
      </c>
      <c r="AT7" s="134" t="s">
        <v>90</v>
      </c>
      <c r="AU7" s="134" t="s">
        <v>93</v>
      </c>
      <c r="AV7" s="134" t="s">
        <v>93</v>
      </c>
      <c r="AW7" s="134" t="s">
        <v>93</v>
      </c>
      <c r="AX7" s="134" t="s">
        <v>93</v>
      </c>
      <c r="AY7" s="178" t="s">
        <v>302</v>
      </c>
    </row>
    <row r="8" ht="27.75" customHeight="1">
      <c r="A8" s="42">
        <v>4.0</v>
      </c>
      <c r="B8" s="94" t="s">
        <v>303</v>
      </c>
      <c r="C8" s="66">
        <v>18.0</v>
      </c>
      <c r="D8" s="66">
        <v>39.0</v>
      </c>
      <c r="E8" s="56">
        <f t="shared" si="1"/>
        <v>57</v>
      </c>
      <c r="F8" s="153" t="str">
        <f t="shared" si="2"/>
        <v>D</v>
      </c>
      <c r="G8" s="66">
        <v>18.0</v>
      </c>
      <c r="H8" s="66">
        <v>40.0</v>
      </c>
      <c r="I8" s="56">
        <f t="shared" si="3"/>
        <v>58</v>
      </c>
      <c r="J8" s="153" t="str">
        <f t="shared" si="4"/>
        <v>D</v>
      </c>
      <c r="K8" s="66">
        <v>29.5</v>
      </c>
      <c r="L8" s="66">
        <v>32.0</v>
      </c>
      <c r="M8" s="57">
        <f t="shared" si="5"/>
        <v>61.5</v>
      </c>
      <c r="N8" s="153" t="str">
        <f t="shared" si="6"/>
        <v>C</v>
      </c>
      <c r="O8" s="66">
        <v>30.0</v>
      </c>
      <c r="P8" s="66">
        <v>41.0</v>
      </c>
      <c r="Q8" s="56">
        <f t="shared" si="7"/>
        <v>71</v>
      </c>
      <c r="R8" s="153" t="str">
        <f t="shared" si="8"/>
        <v>B</v>
      </c>
      <c r="S8" s="66">
        <v>26.0</v>
      </c>
      <c r="T8" s="66">
        <v>47.0</v>
      </c>
      <c r="U8" s="56">
        <f t="shared" si="9"/>
        <v>73</v>
      </c>
      <c r="V8" s="153" t="str">
        <f t="shared" si="10"/>
        <v>B</v>
      </c>
      <c r="W8" s="66">
        <v>35.0</v>
      </c>
      <c r="X8" s="66">
        <v>50.0</v>
      </c>
      <c r="Y8" s="56">
        <f t="shared" si="11"/>
        <v>85</v>
      </c>
      <c r="Z8" s="153" t="str">
        <f t="shared" si="12"/>
        <v>A</v>
      </c>
      <c r="AA8" s="67">
        <v>32.0</v>
      </c>
      <c r="AB8" s="68">
        <v>42.0</v>
      </c>
      <c r="AC8" s="59">
        <f t="shared" si="13"/>
        <v>74</v>
      </c>
      <c r="AD8" s="153" t="str">
        <f t="shared" si="14"/>
        <v>B</v>
      </c>
      <c r="AE8" s="67">
        <v>29.0</v>
      </c>
      <c r="AF8" s="68">
        <v>39.0</v>
      </c>
      <c r="AG8" s="59">
        <f t="shared" si="15"/>
        <v>68</v>
      </c>
      <c r="AH8" s="153" t="str">
        <f t="shared" si="16"/>
        <v>C</v>
      </c>
      <c r="AI8" s="78">
        <v>33.0</v>
      </c>
      <c r="AJ8" s="68">
        <v>48.0</v>
      </c>
      <c r="AK8" s="59">
        <f t="shared" si="17"/>
        <v>81</v>
      </c>
      <c r="AL8" s="153" t="str">
        <f t="shared" si="18"/>
        <v>A</v>
      </c>
      <c r="AM8" s="67">
        <v>24.0</v>
      </c>
      <c r="AN8" s="68">
        <v>41.0</v>
      </c>
      <c r="AO8" s="59">
        <f t="shared" si="19"/>
        <v>65</v>
      </c>
      <c r="AP8" s="153" t="str">
        <f t="shared" si="20"/>
        <v>C</v>
      </c>
      <c r="AQ8" s="59"/>
      <c r="AR8" s="57">
        <f t="shared" si="21"/>
        <v>69.35</v>
      </c>
      <c r="AS8" s="72">
        <f t="shared" si="22"/>
        <v>5</v>
      </c>
      <c r="AT8" s="134" t="s">
        <v>90</v>
      </c>
      <c r="AU8" s="134" t="s">
        <v>87</v>
      </c>
      <c r="AV8" s="134" t="s">
        <v>90</v>
      </c>
      <c r="AW8" s="134" t="s">
        <v>90</v>
      </c>
      <c r="AX8" s="134" t="s">
        <v>93</v>
      </c>
      <c r="AY8" s="178" t="s">
        <v>304</v>
      </c>
    </row>
    <row r="9" ht="27.0" customHeight="1">
      <c r="A9" s="42">
        <v>5.0</v>
      </c>
      <c r="B9" s="94" t="s">
        <v>305</v>
      </c>
      <c r="C9" s="66">
        <v>24.0</v>
      </c>
      <c r="D9" s="66">
        <v>38.0</v>
      </c>
      <c r="E9" s="56">
        <f t="shared" si="1"/>
        <v>62</v>
      </c>
      <c r="F9" s="153" t="str">
        <f t="shared" si="2"/>
        <v>C</v>
      </c>
      <c r="G9" s="66">
        <v>32.0</v>
      </c>
      <c r="H9" s="66">
        <v>42.0</v>
      </c>
      <c r="I9" s="56">
        <f t="shared" si="3"/>
        <v>74</v>
      </c>
      <c r="J9" s="153" t="str">
        <f t="shared" si="4"/>
        <v>B</v>
      </c>
      <c r="K9" s="66">
        <v>31.0</v>
      </c>
      <c r="L9" s="66">
        <v>43.0</v>
      </c>
      <c r="M9" s="57">
        <f t="shared" si="5"/>
        <v>74</v>
      </c>
      <c r="N9" s="153" t="str">
        <f t="shared" si="6"/>
        <v>B</v>
      </c>
      <c r="O9" s="66">
        <v>35.0</v>
      </c>
      <c r="P9" s="66">
        <v>31.5</v>
      </c>
      <c r="Q9" s="56">
        <f t="shared" si="7"/>
        <v>66.5</v>
      </c>
      <c r="R9" s="153" t="str">
        <f t="shared" si="8"/>
        <v>C</v>
      </c>
      <c r="S9" s="66">
        <v>26.0</v>
      </c>
      <c r="T9" s="66">
        <v>51.0</v>
      </c>
      <c r="U9" s="56">
        <f t="shared" si="9"/>
        <v>77</v>
      </c>
      <c r="V9" s="153" t="str">
        <f t="shared" si="10"/>
        <v>B</v>
      </c>
      <c r="W9" s="66">
        <v>38.0</v>
      </c>
      <c r="X9" s="66">
        <v>47.0</v>
      </c>
      <c r="Y9" s="56">
        <f t="shared" si="11"/>
        <v>85</v>
      </c>
      <c r="Z9" s="153" t="str">
        <f t="shared" si="12"/>
        <v>A</v>
      </c>
      <c r="AA9" s="67">
        <v>38.0</v>
      </c>
      <c r="AB9" s="68">
        <v>51.0</v>
      </c>
      <c r="AC9" s="59">
        <f t="shared" si="13"/>
        <v>89</v>
      </c>
      <c r="AD9" s="153" t="str">
        <f t="shared" si="14"/>
        <v>A</v>
      </c>
      <c r="AE9" s="67">
        <v>34.0</v>
      </c>
      <c r="AF9" s="68">
        <v>52.0</v>
      </c>
      <c r="AG9" s="59">
        <f t="shared" si="15"/>
        <v>86</v>
      </c>
      <c r="AH9" s="153" t="str">
        <f t="shared" si="16"/>
        <v>A</v>
      </c>
      <c r="AI9" s="78">
        <v>35.0</v>
      </c>
      <c r="AJ9" s="68">
        <v>53.0</v>
      </c>
      <c r="AK9" s="59">
        <f t="shared" si="17"/>
        <v>88</v>
      </c>
      <c r="AL9" s="153" t="str">
        <f t="shared" si="18"/>
        <v>A</v>
      </c>
      <c r="AM9" s="67">
        <v>24.0</v>
      </c>
      <c r="AN9" s="68">
        <v>40.0</v>
      </c>
      <c r="AO9" s="59">
        <f t="shared" si="19"/>
        <v>64</v>
      </c>
      <c r="AP9" s="153" t="str">
        <f t="shared" si="20"/>
        <v>C</v>
      </c>
      <c r="AQ9" s="59"/>
      <c r="AR9" s="57">
        <f t="shared" si="21"/>
        <v>76.55</v>
      </c>
      <c r="AS9" s="72">
        <f t="shared" si="22"/>
        <v>3</v>
      </c>
      <c r="AT9" s="134" t="s">
        <v>87</v>
      </c>
      <c r="AU9" s="134" t="s">
        <v>87</v>
      </c>
      <c r="AV9" s="134" t="s">
        <v>90</v>
      </c>
      <c r="AW9" s="134" t="s">
        <v>90</v>
      </c>
      <c r="AX9" s="134" t="s">
        <v>90</v>
      </c>
      <c r="AY9" s="178" t="s">
        <v>306</v>
      </c>
    </row>
    <row r="10" ht="27.75" customHeight="1">
      <c r="A10" s="42">
        <v>6.0</v>
      </c>
      <c r="B10" s="94" t="s">
        <v>307</v>
      </c>
      <c r="C10" s="66">
        <v>31.0</v>
      </c>
      <c r="D10" s="66">
        <v>42.0</v>
      </c>
      <c r="E10" s="56">
        <f t="shared" si="1"/>
        <v>73</v>
      </c>
      <c r="F10" s="153" t="str">
        <f t="shared" si="2"/>
        <v>B</v>
      </c>
      <c r="G10" s="66">
        <v>34.0</v>
      </c>
      <c r="H10" s="66">
        <v>40.0</v>
      </c>
      <c r="I10" s="56">
        <f t="shared" si="3"/>
        <v>74</v>
      </c>
      <c r="J10" s="153" t="str">
        <f t="shared" si="4"/>
        <v>B</v>
      </c>
      <c r="K10" s="66">
        <v>29.5</v>
      </c>
      <c r="L10" s="66">
        <v>38.4</v>
      </c>
      <c r="M10" s="57">
        <f t="shared" si="5"/>
        <v>67.9</v>
      </c>
      <c r="N10" s="153" t="str">
        <f t="shared" si="6"/>
        <v>C</v>
      </c>
      <c r="O10" s="66">
        <v>35.0</v>
      </c>
      <c r="P10" s="66">
        <v>31.5</v>
      </c>
      <c r="Q10" s="56">
        <f t="shared" si="7"/>
        <v>66.5</v>
      </c>
      <c r="R10" s="153" t="str">
        <f t="shared" si="8"/>
        <v>C</v>
      </c>
      <c r="S10" s="66">
        <v>32.0</v>
      </c>
      <c r="T10" s="66">
        <v>53.0</v>
      </c>
      <c r="U10" s="56">
        <f t="shared" si="9"/>
        <v>85</v>
      </c>
      <c r="V10" s="153" t="str">
        <f t="shared" si="10"/>
        <v>A</v>
      </c>
      <c r="W10" s="66">
        <v>35.0</v>
      </c>
      <c r="X10" s="66">
        <v>46.0</v>
      </c>
      <c r="Y10" s="56">
        <f t="shared" si="11"/>
        <v>81</v>
      </c>
      <c r="Z10" s="153" t="str">
        <f t="shared" si="12"/>
        <v>A</v>
      </c>
      <c r="AA10" s="67">
        <v>38.0</v>
      </c>
      <c r="AB10" s="68">
        <v>57.0</v>
      </c>
      <c r="AC10" s="59">
        <f t="shared" si="13"/>
        <v>95</v>
      </c>
      <c r="AD10" s="153" t="str">
        <f t="shared" si="14"/>
        <v>A*</v>
      </c>
      <c r="AE10" s="67">
        <v>37.0</v>
      </c>
      <c r="AF10" s="68">
        <v>56.0</v>
      </c>
      <c r="AG10" s="59">
        <f t="shared" si="15"/>
        <v>93</v>
      </c>
      <c r="AH10" s="153" t="str">
        <f t="shared" si="16"/>
        <v>A*</v>
      </c>
      <c r="AI10" s="78">
        <v>38.0</v>
      </c>
      <c r="AJ10" s="68">
        <v>54.0</v>
      </c>
      <c r="AK10" s="59">
        <f t="shared" si="17"/>
        <v>92</v>
      </c>
      <c r="AL10" s="153" t="str">
        <f t="shared" si="18"/>
        <v>A*</v>
      </c>
      <c r="AM10" s="67">
        <v>20.0</v>
      </c>
      <c r="AN10" s="68">
        <v>41.0</v>
      </c>
      <c r="AO10" s="59">
        <f t="shared" si="19"/>
        <v>61</v>
      </c>
      <c r="AP10" s="153" t="str">
        <f t="shared" si="20"/>
        <v>C</v>
      </c>
      <c r="AQ10" s="59"/>
      <c r="AR10" s="57">
        <f t="shared" si="21"/>
        <v>78.84</v>
      </c>
      <c r="AS10" s="72">
        <f t="shared" si="22"/>
        <v>1</v>
      </c>
      <c r="AT10" s="134" t="s">
        <v>85</v>
      </c>
      <c r="AU10" s="134" t="s">
        <v>85</v>
      </c>
      <c r="AV10" s="134" t="s">
        <v>87</v>
      </c>
      <c r="AW10" s="134" t="s">
        <v>87</v>
      </c>
      <c r="AX10" s="134" t="s">
        <v>87</v>
      </c>
      <c r="AY10" s="180" t="s">
        <v>308</v>
      </c>
    </row>
    <row r="11" ht="29.25" customHeight="1">
      <c r="A11" s="42">
        <v>7.0</v>
      </c>
      <c r="B11" s="94" t="s">
        <v>309</v>
      </c>
      <c r="C11" s="66">
        <v>7.0</v>
      </c>
      <c r="D11" s="66">
        <v>37.0</v>
      </c>
      <c r="E11" s="56">
        <f t="shared" si="1"/>
        <v>44</v>
      </c>
      <c r="F11" s="164" t="str">
        <f t="shared" si="2"/>
        <v>E</v>
      </c>
      <c r="G11" s="66">
        <v>35.0</v>
      </c>
      <c r="H11" s="66">
        <v>57.0</v>
      </c>
      <c r="I11" s="56">
        <f t="shared" si="3"/>
        <v>92</v>
      </c>
      <c r="J11" s="153" t="str">
        <f t="shared" si="4"/>
        <v>A*</v>
      </c>
      <c r="K11" s="66">
        <v>0.0</v>
      </c>
      <c r="L11" s="66">
        <v>35.0</v>
      </c>
      <c r="M11" s="57">
        <f t="shared" si="5"/>
        <v>35</v>
      </c>
      <c r="N11" s="153" t="str">
        <f t="shared" si="6"/>
        <v>F</v>
      </c>
      <c r="O11" s="66">
        <v>18.0</v>
      </c>
      <c r="P11" s="66">
        <v>32.0</v>
      </c>
      <c r="Q11" s="56">
        <f t="shared" si="7"/>
        <v>50</v>
      </c>
      <c r="R11" s="153" t="str">
        <f t="shared" si="8"/>
        <v>D</v>
      </c>
      <c r="S11" s="66">
        <v>11.0</v>
      </c>
      <c r="T11" s="66">
        <v>39.0</v>
      </c>
      <c r="U11" s="56">
        <f t="shared" si="9"/>
        <v>50</v>
      </c>
      <c r="V11" s="153" t="str">
        <f t="shared" si="10"/>
        <v>D</v>
      </c>
      <c r="W11" s="66">
        <v>19.0</v>
      </c>
      <c r="X11" s="66">
        <v>26.0</v>
      </c>
      <c r="Y11" s="56">
        <f t="shared" si="11"/>
        <v>45</v>
      </c>
      <c r="Z11" s="153" t="str">
        <f t="shared" si="12"/>
        <v>E</v>
      </c>
      <c r="AA11" s="67">
        <v>22.0</v>
      </c>
      <c r="AB11" s="68">
        <v>42.0</v>
      </c>
      <c r="AC11" s="68">
        <v>42.0</v>
      </c>
      <c r="AD11" s="153" t="str">
        <f t="shared" si="14"/>
        <v>E</v>
      </c>
      <c r="AE11" s="67">
        <v>25.0</v>
      </c>
      <c r="AF11" s="68">
        <v>44.0</v>
      </c>
      <c r="AG11" s="59">
        <f t="shared" si="15"/>
        <v>69</v>
      </c>
      <c r="AH11" s="153" t="str">
        <f t="shared" si="16"/>
        <v>C</v>
      </c>
      <c r="AI11" s="78">
        <v>37.0</v>
      </c>
      <c r="AJ11" s="68">
        <v>53.0</v>
      </c>
      <c r="AK11" s="59">
        <f t="shared" si="17"/>
        <v>90</v>
      </c>
      <c r="AL11" s="153" t="str">
        <f t="shared" si="18"/>
        <v>A*</v>
      </c>
      <c r="AM11" s="67">
        <v>0.0</v>
      </c>
      <c r="AN11" s="68">
        <v>39.0</v>
      </c>
      <c r="AO11" s="59">
        <f t="shared" si="19"/>
        <v>39</v>
      </c>
      <c r="AP11" s="153" t="str">
        <f t="shared" si="20"/>
        <v>F</v>
      </c>
      <c r="AQ11" s="59"/>
      <c r="AR11" s="57">
        <f t="shared" si="21"/>
        <v>55.6</v>
      </c>
      <c r="AS11" s="72">
        <f t="shared" si="22"/>
        <v>21</v>
      </c>
      <c r="AT11" s="134" t="s">
        <v>90</v>
      </c>
      <c r="AU11" s="134" t="s">
        <v>90</v>
      </c>
      <c r="AV11" s="134" t="s">
        <v>90</v>
      </c>
      <c r="AW11" s="134" t="s">
        <v>93</v>
      </c>
      <c r="AX11" s="134" t="s">
        <v>93</v>
      </c>
      <c r="AY11" s="178" t="s">
        <v>310</v>
      </c>
    </row>
    <row r="12" ht="24.0" customHeight="1">
      <c r="A12" s="96">
        <v>8.0</v>
      </c>
      <c r="B12" s="167" t="s">
        <v>311</v>
      </c>
      <c r="C12" s="152">
        <v>18.0</v>
      </c>
      <c r="D12" s="152">
        <v>38.0</v>
      </c>
      <c r="E12" s="153">
        <f t="shared" si="1"/>
        <v>56</v>
      </c>
      <c r="F12" s="153" t="str">
        <f t="shared" si="2"/>
        <v>D</v>
      </c>
      <c r="G12" s="152">
        <v>16.0</v>
      </c>
      <c r="H12" s="152">
        <v>21.0</v>
      </c>
      <c r="I12" s="153">
        <f t="shared" si="3"/>
        <v>37</v>
      </c>
      <c r="J12" s="153" t="str">
        <f t="shared" si="4"/>
        <v>F</v>
      </c>
      <c r="K12" s="152">
        <v>27.0</v>
      </c>
      <c r="L12" s="152">
        <v>22.0</v>
      </c>
      <c r="M12" s="161">
        <f t="shared" si="5"/>
        <v>49</v>
      </c>
      <c r="N12" s="153" t="str">
        <f t="shared" si="6"/>
        <v>E</v>
      </c>
      <c r="O12" s="152">
        <v>29.0</v>
      </c>
      <c r="P12" s="152">
        <v>31.0</v>
      </c>
      <c r="Q12" s="153">
        <f t="shared" si="7"/>
        <v>60</v>
      </c>
      <c r="R12" s="153" t="str">
        <f t="shared" si="8"/>
        <v>C</v>
      </c>
      <c r="S12" s="152">
        <v>19.0</v>
      </c>
      <c r="T12" s="152">
        <v>13.0</v>
      </c>
      <c r="U12" s="153">
        <f t="shared" si="9"/>
        <v>32</v>
      </c>
      <c r="V12" s="153" t="str">
        <f t="shared" si="10"/>
        <v>F</v>
      </c>
      <c r="W12" s="152">
        <v>19.0</v>
      </c>
      <c r="X12" s="152">
        <v>32.0</v>
      </c>
      <c r="Y12" s="153">
        <f t="shared" si="11"/>
        <v>51</v>
      </c>
      <c r="Z12" s="153" t="str">
        <f t="shared" si="12"/>
        <v>D</v>
      </c>
      <c r="AA12" s="155">
        <v>26.0</v>
      </c>
      <c r="AB12" s="156">
        <v>49.0</v>
      </c>
      <c r="AC12" s="157">
        <f t="shared" ref="AC12:AC27" si="23">AA12+AB12</f>
        <v>75</v>
      </c>
      <c r="AD12" s="153" t="str">
        <f t="shared" si="14"/>
        <v>B</v>
      </c>
      <c r="AE12" s="155">
        <v>27.0</v>
      </c>
      <c r="AF12" s="156">
        <v>43.0</v>
      </c>
      <c r="AG12" s="157">
        <f t="shared" si="15"/>
        <v>70</v>
      </c>
      <c r="AH12" s="153" t="str">
        <f t="shared" si="16"/>
        <v>B</v>
      </c>
      <c r="AI12" s="179">
        <v>31.0</v>
      </c>
      <c r="AJ12" s="156">
        <v>45.0</v>
      </c>
      <c r="AK12" s="157">
        <f t="shared" si="17"/>
        <v>76</v>
      </c>
      <c r="AL12" s="153" t="str">
        <f t="shared" si="18"/>
        <v>B</v>
      </c>
      <c r="AM12" s="155">
        <v>24.0</v>
      </c>
      <c r="AN12" s="156">
        <v>42.0</v>
      </c>
      <c r="AO12" s="157">
        <f t="shared" si="19"/>
        <v>66</v>
      </c>
      <c r="AP12" s="153" t="str">
        <f t="shared" si="20"/>
        <v>C</v>
      </c>
      <c r="AQ12" s="157"/>
      <c r="AR12" s="161">
        <f t="shared" si="21"/>
        <v>57.2</v>
      </c>
      <c r="AS12" s="162">
        <f t="shared" si="22"/>
        <v>19</v>
      </c>
      <c r="AT12" s="134" t="s">
        <v>90</v>
      </c>
      <c r="AU12" s="134" t="s">
        <v>90</v>
      </c>
      <c r="AV12" s="134" t="s">
        <v>90</v>
      </c>
      <c r="AW12" s="134" t="s">
        <v>90</v>
      </c>
      <c r="AX12" s="134" t="s">
        <v>93</v>
      </c>
      <c r="AY12" s="178" t="s">
        <v>312</v>
      </c>
    </row>
    <row r="13" ht="42.0" customHeight="1">
      <c r="A13" s="42">
        <v>9.0</v>
      </c>
      <c r="B13" s="94" t="s">
        <v>313</v>
      </c>
      <c r="C13" s="66">
        <v>15.0</v>
      </c>
      <c r="D13" s="66">
        <v>35.0</v>
      </c>
      <c r="E13" s="56">
        <f t="shared" si="1"/>
        <v>50</v>
      </c>
      <c r="F13" s="153" t="str">
        <f t="shared" si="2"/>
        <v>D</v>
      </c>
      <c r="G13" s="66">
        <v>25.0</v>
      </c>
      <c r="H13" s="66">
        <v>29.0</v>
      </c>
      <c r="I13" s="56">
        <f t="shared" si="3"/>
        <v>54</v>
      </c>
      <c r="J13" s="153" t="str">
        <f t="shared" si="4"/>
        <v>D</v>
      </c>
      <c r="K13" s="66">
        <v>23.0</v>
      </c>
      <c r="L13" s="66">
        <v>31.0</v>
      </c>
      <c r="M13" s="57">
        <f t="shared" si="5"/>
        <v>54</v>
      </c>
      <c r="N13" s="153" t="str">
        <f t="shared" si="6"/>
        <v>D</v>
      </c>
      <c r="O13" s="66">
        <v>24.0</v>
      </c>
      <c r="P13" s="66">
        <v>41.0</v>
      </c>
      <c r="Q13" s="56">
        <f t="shared" si="7"/>
        <v>65</v>
      </c>
      <c r="R13" s="153" t="str">
        <f t="shared" si="8"/>
        <v>C</v>
      </c>
      <c r="S13" s="66">
        <v>22.0</v>
      </c>
      <c r="T13" s="66">
        <v>46.0</v>
      </c>
      <c r="U13" s="56">
        <f t="shared" si="9"/>
        <v>68</v>
      </c>
      <c r="V13" s="153" t="str">
        <f t="shared" si="10"/>
        <v>C</v>
      </c>
      <c r="W13" s="66">
        <v>31.0</v>
      </c>
      <c r="X13" s="66">
        <v>46.0</v>
      </c>
      <c r="Y13" s="56">
        <f t="shared" si="11"/>
        <v>77</v>
      </c>
      <c r="Z13" s="153" t="str">
        <f t="shared" si="12"/>
        <v>B</v>
      </c>
      <c r="AA13" s="67">
        <v>32.0</v>
      </c>
      <c r="AB13" s="68">
        <v>33.0</v>
      </c>
      <c r="AC13" s="59">
        <f t="shared" si="23"/>
        <v>65</v>
      </c>
      <c r="AD13" s="153" t="str">
        <f t="shared" si="14"/>
        <v>C</v>
      </c>
      <c r="AE13" s="67">
        <v>24.0</v>
      </c>
      <c r="AF13" s="68">
        <v>39.0</v>
      </c>
      <c r="AG13" s="59">
        <f t="shared" si="15"/>
        <v>63</v>
      </c>
      <c r="AH13" s="153" t="str">
        <f t="shared" si="16"/>
        <v>C</v>
      </c>
      <c r="AI13" s="78">
        <v>32.0</v>
      </c>
      <c r="AJ13" s="68">
        <v>42.0</v>
      </c>
      <c r="AK13" s="59">
        <f t="shared" si="17"/>
        <v>74</v>
      </c>
      <c r="AL13" s="153" t="str">
        <f t="shared" si="18"/>
        <v>B</v>
      </c>
      <c r="AM13" s="67">
        <v>24.0</v>
      </c>
      <c r="AN13" s="68">
        <v>43.0</v>
      </c>
      <c r="AO13" s="59">
        <f t="shared" si="19"/>
        <v>67</v>
      </c>
      <c r="AP13" s="153" t="str">
        <f t="shared" si="20"/>
        <v>C</v>
      </c>
      <c r="AQ13" s="59"/>
      <c r="AR13" s="57">
        <f t="shared" si="21"/>
        <v>63.7</v>
      </c>
      <c r="AS13" s="72">
        <f t="shared" si="22"/>
        <v>11</v>
      </c>
      <c r="AT13" s="134" t="s">
        <v>90</v>
      </c>
      <c r="AU13" s="134" t="s">
        <v>90</v>
      </c>
      <c r="AV13" s="134" t="s">
        <v>90</v>
      </c>
      <c r="AW13" s="134" t="s">
        <v>93</v>
      </c>
      <c r="AX13" s="134" t="s">
        <v>93</v>
      </c>
      <c r="AY13" s="180" t="s">
        <v>314</v>
      </c>
    </row>
    <row r="14" ht="27.0" customHeight="1">
      <c r="A14" s="42">
        <v>10.0</v>
      </c>
      <c r="B14" s="94" t="s">
        <v>315</v>
      </c>
      <c r="C14" s="66">
        <v>21.0</v>
      </c>
      <c r="D14" s="66">
        <v>40.0</v>
      </c>
      <c r="E14" s="56">
        <f t="shared" si="1"/>
        <v>61</v>
      </c>
      <c r="F14" s="153" t="str">
        <f t="shared" si="2"/>
        <v>C</v>
      </c>
      <c r="G14" s="66">
        <v>7.0</v>
      </c>
      <c r="H14" s="66">
        <v>35.0</v>
      </c>
      <c r="I14" s="56">
        <f t="shared" si="3"/>
        <v>42</v>
      </c>
      <c r="J14" s="153" t="str">
        <f t="shared" si="4"/>
        <v>E</v>
      </c>
      <c r="K14" s="66">
        <v>30.0</v>
      </c>
      <c r="L14" s="66">
        <v>34.0</v>
      </c>
      <c r="M14" s="57">
        <f t="shared" si="5"/>
        <v>64</v>
      </c>
      <c r="N14" s="153" t="str">
        <f t="shared" si="6"/>
        <v>C</v>
      </c>
      <c r="O14" s="66">
        <v>31.0</v>
      </c>
      <c r="P14" s="66">
        <v>44.0</v>
      </c>
      <c r="Q14" s="56">
        <f t="shared" si="7"/>
        <v>75</v>
      </c>
      <c r="R14" s="153" t="str">
        <f t="shared" si="8"/>
        <v>B</v>
      </c>
      <c r="S14" s="66">
        <v>25.0</v>
      </c>
      <c r="T14" s="66">
        <v>32.0</v>
      </c>
      <c r="U14" s="56">
        <f t="shared" si="9"/>
        <v>57</v>
      </c>
      <c r="V14" s="153" t="str">
        <f t="shared" si="10"/>
        <v>D</v>
      </c>
      <c r="W14" s="66">
        <v>26.0</v>
      </c>
      <c r="X14" s="66">
        <v>44.0</v>
      </c>
      <c r="Y14" s="56">
        <f t="shared" si="11"/>
        <v>70</v>
      </c>
      <c r="Z14" s="153" t="str">
        <f t="shared" si="12"/>
        <v>B</v>
      </c>
      <c r="AA14" s="67">
        <v>21.0</v>
      </c>
      <c r="AB14" s="68">
        <v>44.0</v>
      </c>
      <c r="AC14" s="59">
        <f t="shared" si="23"/>
        <v>65</v>
      </c>
      <c r="AD14" s="153" t="str">
        <f t="shared" si="14"/>
        <v>C</v>
      </c>
      <c r="AE14" s="67">
        <v>16.0</v>
      </c>
      <c r="AF14" s="68">
        <v>46.0</v>
      </c>
      <c r="AG14" s="59">
        <f t="shared" si="15"/>
        <v>62</v>
      </c>
      <c r="AH14" s="153" t="str">
        <f t="shared" si="16"/>
        <v>C</v>
      </c>
      <c r="AI14" s="78">
        <v>34.0</v>
      </c>
      <c r="AJ14" s="68">
        <v>45.0</v>
      </c>
      <c r="AK14" s="59">
        <f t="shared" si="17"/>
        <v>79</v>
      </c>
      <c r="AL14" s="153" t="str">
        <f t="shared" si="18"/>
        <v>B</v>
      </c>
      <c r="AM14" s="67">
        <v>20.0</v>
      </c>
      <c r="AN14" s="68">
        <v>41.0</v>
      </c>
      <c r="AO14" s="59">
        <f t="shared" si="19"/>
        <v>61</v>
      </c>
      <c r="AP14" s="153" t="str">
        <f t="shared" si="20"/>
        <v>C</v>
      </c>
      <c r="AQ14" s="59"/>
      <c r="AR14" s="57">
        <f t="shared" si="21"/>
        <v>63.6</v>
      </c>
      <c r="AS14" s="72">
        <f t="shared" si="22"/>
        <v>12</v>
      </c>
      <c r="AT14" s="134" t="s">
        <v>87</v>
      </c>
      <c r="AU14" s="134" t="s">
        <v>85</v>
      </c>
      <c r="AV14" s="134" t="s">
        <v>87</v>
      </c>
      <c r="AW14" s="134" t="s">
        <v>87</v>
      </c>
      <c r="AX14" s="134" t="s">
        <v>87</v>
      </c>
      <c r="AY14" s="178" t="s">
        <v>316</v>
      </c>
    </row>
    <row r="15" ht="27.0" customHeight="1">
      <c r="A15" s="42">
        <v>11.0</v>
      </c>
      <c r="B15" s="94" t="s">
        <v>317</v>
      </c>
      <c r="C15" s="66">
        <v>22.0</v>
      </c>
      <c r="D15" s="66">
        <v>33.0</v>
      </c>
      <c r="E15" s="56">
        <f t="shared" si="1"/>
        <v>55</v>
      </c>
      <c r="F15" s="153" t="str">
        <f t="shared" si="2"/>
        <v>D</v>
      </c>
      <c r="G15" s="66">
        <v>11.0</v>
      </c>
      <c r="H15" s="66">
        <v>19.0</v>
      </c>
      <c r="I15" s="56">
        <f t="shared" si="3"/>
        <v>30</v>
      </c>
      <c r="J15" s="153" t="str">
        <f t="shared" si="4"/>
        <v>F</v>
      </c>
      <c r="K15" s="66">
        <v>29.0</v>
      </c>
      <c r="L15" s="66">
        <v>26.0</v>
      </c>
      <c r="M15" s="57">
        <f t="shared" si="5"/>
        <v>55</v>
      </c>
      <c r="N15" s="153" t="str">
        <f t="shared" si="6"/>
        <v>D</v>
      </c>
      <c r="O15" s="66">
        <v>28.0</v>
      </c>
      <c r="P15" s="66">
        <v>29.0</v>
      </c>
      <c r="Q15" s="56">
        <f t="shared" si="7"/>
        <v>57</v>
      </c>
      <c r="R15" s="153" t="str">
        <f t="shared" si="8"/>
        <v>D</v>
      </c>
      <c r="S15" s="66">
        <v>29.0</v>
      </c>
      <c r="T15" s="66">
        <v>25.0</v>
      </c>
      <c r="U15" s="56">
        <f t="shared" si="9"/>
        <v>54</v>
      </c>
      <c r="V15" s="153" t="str">
        <f t="shared" si="10"/>
        <v>D</v>
      </c>
      <c r="W15" s="66">
        <v>27.0</v>
      </c>
      <c r="X15" s="66">
        <v>41.0</v>
      </c>
      <c r="Y15" s="56">
        <f t="shared" si="11"/>
        <v>68</v>
      </c>
      <c r="Z15" s="153" t="str">
        <f t="shared" si="12"/>
        <v>C</v>
      </c>
      <c r="AA15" s="67">
        <v>31.0</v>
      </c>
      <c r="AB15" s="68">
        <v>47.0</v>
      </c>
      <c r="AC15" s="59">
        <f t="shared" si="23"/>
        <v>78</v>
      </c>
      <c r="AD15" s="153" t="str">
        <f t="shared" si="14"/>
        <v>B</v>
      </c>
      <c r="AE15" s="67">
        <v>31.0</v>
      </c>
      <c r="AF15" s="68">
        <v>40.0</v>
      </c>
      <c r="AG15" s="59">
        <f t="shared" si="15"/>
        <v>71</v>
      </c>
      <c r="AH15" s="153" t="str">
        <f t="shared" si="16"/>
        <v>B</v>
      </c>
      <c r="AI15" s="78">
        <v>31.0</v>
      </c>
      <c r="AJ15" s="68">
        <v>43.0</v>
      </c>
      <c r="AK15" s="59">
        <f t="shared" si="17"/>
        <v>74</v>
      </c>
      <c r="AL15" s="153" t="str">
        <f t="shared" si="18"/>
        <v>B</v>
      </c>
      <c r="AM15" s="67">
        <v>16.0</v>
      </c>
      <c r="AN15" s="68">
        <v>41.0</v>
      </c>
      <c r="AO15" s="59">
        <f t="shared" si="19"/>
        <v>57</v>
      </c>
      <c r="AP15" s="153" t="str">
        <f t="shared" si="20"/>
        <v>D</v>
      </c>
      <c r="AQ15" s="59"/>
      <c r="AR15" s="57">
        <f t="shared" si="21"/>
        <v>59.9</v>
      </c>
      <c r="AS15" s="72">
        <f t="shared" si="22"/>
        <v>15</v>
      </c>
      <c r="AT15" s="134" t="s">
        <v>90</v>
      </c>
      <c r="AU15" s="134" t="s">
        <v>90</v>
      </c>
      <c r="AV15" s="134" t="s">
        <v>93</v>
      </c>
      <c r="AW15" s="134" t="s">
        <v>90</v>
      </c>
      <c r="AX15" s="134" t="s">
        <v>93</v>
      </c>
      <c r="AY15" s="178" t="s">
        <v>318</v>
      </c>
    </row>
    <row r="16" ht="39.75" customHeight="1">
      <c r="A16" s="42">
        <v>12.0</v>
      </c>
      <c r="B16" s="94" t="s">
        <v>319</v>
      </c>
      <c r="C16" s="66">
        <v>36.0</v>
      </c>
      <c r="D16" s="66">
        <v>48.0</v>
      </c>
      <c r="E16" s="56">
        <f t="shared" si="1"/>
        <v>84</v>
      </c>
      <c r="F16" s="153" t="str">
        <f t="shared" si="2"/>
        <v>A</v>
      </c>
      <c r="G16" s="66">
        <v>21.0</v>
      </c>
      <c r="H16" s="66">
        <v>44.0</v>
      </c>
      <c r="I16" s="56">
        <f t="shared" si="3"/>
        <v>65</v>
      </c>
      <c r="J16" s="153" t="str">
        <f t="shared" si="4"/>
        <v>C</v>
      </c>
      <c r="K16" s="66">
        <v>17.0</v>
      </c>
      <c r="L16" s="66">
        <v>52.0</v>
      </c>
      <c r="M16" s="57">
        <f t="shared" si="5"/>
        <v>69</v>
      </c>
      <c r="N16" s="153" t="str">
        <f t="shared" si="6"/>
        <v>C</v>
      </c>
      <c r="O16" s="66">
        <v>31.0</v>
      </c>
      <c r="P16" s="66">
        <v>40.0</v>
      </c>
      <c r="Q16" s="56">
        <f t="shared" si="7"/>
        <v>71</v>
      </c>
      <c r="R16" s="153" t="str">
        <f t="shared" si="8"/>
        <v>B</v>
      </c>
      <c r="S16" s="66">
        <v>31.0</v>
      </c>
      <c r="T16" s="66">
        <v>46.0</v>
      </c>
      <c r="U16" s="56">
        <f t="shared" si="9"/>
        <v>77</v>
      </c>
      <c r="V16" s="153" t="str">
        <f t="shared" si="10"/>
        <v>B</v>
      </c>
      <c r="W16" s="66">
        <v>36.0</v>
      </c>
      <c r="X16" s="66">
        <v>57.0</v>
      </c>
      <c r="Y16" s="56">
        <f t="shared" si="11"/>
        <v>93</v>
      </c>
      <c r="Z16" s="153" t="str">
        <f t="shared" si="12"/>
        <v>A*</v>
      </c>
      <c r="AA16" s="67">
        <v>32.0</v>
      </c>
      <c r="AB16" s="129">
        <v>41.0</v>
      </c>
      <c r="AC16" s="59">
        <f t="shared" si="23"/>
        <v>73</v>
      </c>
      <c r="AD16" s="153" t="str">
        <f t="shared" si="14"/>
        <v>B</v>
      </c>
      <c r="AE16" s="67">
        <v>36.0</v>
      </c>
      <c r="AF16" s="68">
        <v>59.0</v>
      </c>
      <c r="AG16" s="59">
        <f t="shared" si="15"/>
        <v>95</v>
      </c>
      <c r="AH16" s="153" t="str">
        <f t="shared" si="16"/>
        <v>A*</v>
      </c>
      <c r="AI16" s="78">
        <v>36.0</v>
      </c>
      <c r="AJ16" s="68">
        <v>51.0</v>
      </c>
      <c r="AK16" s="59">
        <f t="shared" si="17"/>
        <v>87</v>
      </c>
      <c r="AL16" s="153" t="str">
        <f t="shared" si="18"/>
        <v>A</v>
      </c>
      <c r="AM16" s="67">
        <v>20.0</v>
      </c>
      <c r="AN16" s="68">
        <v>42.0</v>
      </c>
      <c r="AO16" s="59">
        <f t="shared" si="19"/>
        <v>62</v>
      </c>
      <c r="AP16" s="153" t="str">
        <f t="shared" si="20"/>
        <v>C</v>
      </c>
      <c r="AQ16" s="59"/>
      <c r="AR16" s="57">
        <f t="shared" si="21"/>
        <v>77.6</v>
      </c>
      <c r="AS16" s="72">
        <f t="shared" si="22"/>
        <v>2</v>
      </c>
      <c r="AT16" s="134" t="s">
        <v>87</v>
      </c>
      <c r="AU16" s="134" t="s">
        <v>87</v>
      </c>
      <c r="AV16" s="134" t="s">
        <v>90</v>
      </c>
      <c r="AW16" s="134" t="s">
        <v>87</v>
      </c>
      <c r="AX16" s="134" t="s">
        <v>90</v>
      </c>
      <c r="AY16" s="180" t="s">
        <v>320</v>
      </c>
    </row>
    <row r="17" ht="27.75" customHeight="1">
      <c r="A17" s="42">
        <v>13.0</v>
      </c>
      <c r="B17" s="94" t="s">
        <v>321</v>
      </c>
      <c r="C17" s="66">
        <v>21.0</v>
      </c>
      <c r="D17" s="66">
        <v>32.0</v>
      </c>
      <c r="E17" s="56">
        <f t="shared" si="1"/>
        <v>53</v>
      </c>
      <c r="F17" s="153" t="str">
        <f t="shared" si="2"/>
        <v>D</v>
      </c>
      <c r="G17" s="66">
        <v>28.0</v>
      </c>
      <c r="H17" s="66">
        <v>31.0</v>
      </c>
      <c r="I17" s="56">
        <f t="shared" si="3"/>
        <v>59</v>
      </c>
      <c r="J17" s="153" t="str">
        <f t="shared" si="4"/>
        <v>D</v>
      </c>
      <c r="K17" s="66">
        <v>29.0</v>
      </c>
      <c r="L17" s="66">
        <v>27.0</v>
      </c>
      <c r="M17" s="57">
        <f t="shared" si="5"/>
        <v>56</v>
      </c>
      <c r="N17" s="153" t="str">
        <f t="shared" si="6"/>
        <v>D</v>
      </c>
      <c r="O17" s="66">
        <v>30.0</v>
      </c>
      <c r="P17" s="66">
        <v>42.0</v>
      </c>
      <c r="Q17" s="56">
        <f t="shared" si="7"/>
        <v>72</v>
      </c>
      <c r="R17" s="153" t="str">
        <f t="shared" si="8"/>
        <v>B</v>
      </c>
      <c r="S17" s="66">
        <v>31.0</v>
      </c>
      <c r="T17" s="66">
        <v>40.0</v>
      </c>
      <c r="U17" s="56">
        <f t="shared" si="9"/>
        <v>71</v>
      </c>
      <c r="V17" s="153" t="str">
        <f t="shared" si="10"/>
        <v>B</v>
      </c>
      <c r="W17" s="66">
        <v>22.0</v>
      </c>
      <c r="X17" s="66">
        <v>41.0</v>
      </c>
      <c r="Y17" s="56">
        <f t="shared" si="11"/>
        <v>63</v>
      </c>
      <c r="Z17" s="153" t="str">
        <f t="shared" si="12"/>
        <v>C</v>
      </c>
      <c r="AA17" s="67">
        <v>33.0</v>
      </c>
      <c r="AB17" s="68">
        <v>50.0</v>
      </c>
      <c r="AC17" s="59">
        <f t="shared" si="23"/>
        <v>83</v>
      </c>
      <c r="AD17" s="153" t="str">
        <f t="shared" si="14"/>
        <v>A</v>
      </c>
      <c r="AE17" s="67">
        <v>33.0</v>
      </c>
      <c r="AF17" s="68">
        <v>46.0</v>
      </c>
      <c r="AG17" s="59">
        <f t="shared" si="15"/>
        <v>79</v>
      </c>
      <c r="AH17" s="153" t="str">
        <f t="shared" si="16"/>
        <v>B</v>
      </c>
      <c r="AI17" s="78">
        <v>32.0</v>
      </c>
      <c r="AJ17" s="68">
        <v>53.0</v>
      </c>
      <c r="AK17" s="59">
        <f t="shared" si="17"/>
        <v>85</v>
      </c>
      <c r="AL17" s="153" t="str">
        <f t="shared" si="18"/>
        <v>A</v>
      </c>
      <c r="AM17" s="67">
        <v>24.0</v>
      </c>
      <c r="AN17" s="68">
        <v>40.0</v>
      </c>
      <c r="AO17" s="59">
        <f t="shared" si="19"/>
        <v>64</v>
      </c>
      <c r="AP17" s="153" t="str">
        <f t="shared" si="20"/>
        <v>C</v>
      </c>
      <c r="AQ17" s="59"/>
      <c r="AR17" s="57">
        <f t="shared" si="21"/>
        <v>68.5</v>
      </c>
      <c r="AS17" s="72">
        <f t="shared" si="22"/>
        <v>6</v>
      </c>
      <c r="AT17" s="134" t="s">
        <v>87</v>
      </c>
      <c r="AU17" s="134" t="s">
        <v>87</v>
      </c>
      <c r="AV17" s="134" t="s">
        <v>90</v>
      </c>
      <c r="AW17" s="134" t="s">
        <v>90</v>
      </c>
      <c r="AX17" s="134" t="s">
        <v>90</v>
      </c>
      <c r="AY17" s="178" t="s">
        <v>322</v>
      </c>
    </row>
    <row r="18" ht="29.25" customHeight="1">
      <c r="A18" s="42">
        <v>14.0</v>
      </c>
      <c r="B18" s="94" t="s">
        <v>323</v>
      </c>
      <c r="C18" s="66">
        <v>23.0</v>
      </c>
      <c r="D18" s="66">
        <v>31.0</v>
      </c>
      <c r="E18" s="56">
        <f t="shared" si="1"/>
        <v>54</v>
      </c>
      <c r="F18" s="153" t="str">
        <f t="shared" si="2"/>
        <v>D</v>
      </c>
      <c r="G18" s="66">
        <v>26.0</v>
      </c>
      <c r="H18" s="66">
        <v>38.0</v>
      </c>
      <c r="I18" s="56">
        <f t="shared" si="3"/>
        <v>64</v>
      </c>
      <c r="J18" s="153" t="str">
        <f t="shared" si="4"/>
        <v>C</v>
      </c>
      <c r="K18" s="66">
        <v>28.0</v>
      </c>
      <c r="L18" s="66">
        <v>38.0</v>
      </c>
      <c r="M18" s="57">
        <f t="shared" si="5"/>
        <v>66</v>
      </c>
      <c r="N18" s="153" t="str">
        <f t="shared" si="6"/>
        <v>C</v>
      </c>
      <c r="O18" s="66">
        <v>33.0</v>
      </c>
      <c r="P18" s="66">
        <v>33.0</v>
      </c>
      <c r="Q18" s="56">
        <f t="shared" si="7"/>
        <v>66</v>
      </c>
      <c r="R18" s="153" t="str">
        <f t="shared" si="8"/>
        <v>C</v>
      </c>
      <c r="S18" s="66">
        <v>27.0</v>
      </c>
      <c r="T18" s="66">
        <v>40.0</v>
      </c>
      <c r="U18" s="56">
        <f t="shared" si="9"/>
        <v>67</v>
      </c>
      <c r="V18" s="153" t="str">
        <f t="shared" si="10"/>
        <v>C</v>
      </c>
      <c r="W18" s="66">
        <v>25.0</v>
      </c>
      <c r="X18" s="66">
        <v>37.0</v>
      </c>
      <c r="Y18" s="56">
        <f t="shared" si="11"/>
        <v>62</v>
      </c>
      <c r="Z18" s="153" t="str">
        <f t="shared" si="12"/>
        <v>C</v>
      </c>
      <c r="AA18" s="67">
        <v>24.0</v>
      </c>
      <c r="AB18" s="68">
        <v>46.0</v>
      </c>
      <c r="AC18" s="59">
        <f t="shared" si="23"/>
        <v>70</v>
      </c>
      <c r="AD18" s="153" t="str">
        <f t="shared" si="14"/>
        <v>B</v>
      </c>
      <c r="AE18" s="67">
        <v>27.0</v>
      </c>
      <c r="AF18" s="68">
        <v>48.0</v>
      </c>
      <c r="AG18" s="59">
        <f t="shared" si="15"/>
        <v>75</v>
      </c>
      <c r="AH18" s="153" t="str">
        <f t="shared" si="16"/>
        <v>B</v>
      </c>
      <c r="AI18" s="78">
        <v>32.0</v>
      </c>
      <c r="AJ18" s="68">
        <v>42.0</v>
      </c>
      <c r="AK18" s="59">
        <f t="shared" si="17"/>
        <v>74</v>
      </c>
      <c r="AL18" s="153" t="str">
        <f t="shared" si="18"/>
        <v>B</v>
      </c>
      <c r="AM18" s="67">
        <v>28.0</v>
      </c>
      <c r="AN18" s="68">
        <v>37.0</v>
      </c>
      <c r="AO18" s="59">
        <f t="shared" si="19"/>
        <v>65</v>
      </c>
      <c r="AP18" s="153" t="str">
        <f t="shared" si="20"/>
        <v>C</v>
      </c>
      <c r="AQ18" s="59"/>
      <c r="AR18" s="57">
        <f t="shared" si="21"/>
        <v>66.3</v>
      </c>
      <c r="AS18" s="72">
        <f t="shared" si="22"/>
        <v>7</v>
      </c>
      <c r="AT18" s="134" t="s">
        <v>90</v>
      </c>
      <c r="AU18" s="134" t="s">
        <v>90</v>
      </c>
      <c r="AV18" s="134" t="s">
        <v>90</v>
      </c>
      <c r="AW18" s="134" t="s">
        <v>93</v>
      </c>
      <c r="AX18" s="134" t="s">
        <v>93</v>
      </c>
      <c r="AY18" s="178" t="s">
        <v>324</v>
      </c>
    </row>
    <row r="19" ht="28.5" customHeight="1">
      <c r="A19" s="42">
        <v>15.0</v>
      </c>
      <c r="B19" s="94" t="s">
        <v>325</v>
      </c>
      <c r="C19" s="66">
        <v>22.0</v>
      </c>
      <c r="D19" s="66">
        <v>30.0</v>
      </c>
      <c r="E19" s="56">
        <f t="shared" si="1"/>
        <v>52</v>
      </c>
      <c r="F19" s="153" t="str">
        <f t="shared" si="2"/>
        <v>D</v>
      </c>
      <c r="G19" s="66">
        <v>22.0</v>
      </c>
      <c r="H19" s="66">
        <v>30.0</v>
      </c>
      <c r="I19" s="56">
        <f t="shared" si="3"/>
        <v>52</v>
      </c>
      <c r="J19" s="153" t="str">
        <f t="shared" si="4"/>
        <v>D</v>
      </c>
      <c r="K19" s="66">
        <v>23.0</v>
      </c>
      <c r="L19" s="66">
        <v>25.0</v>
      </c>
      <c r="M19" s="57">
        <f t="shared" si="5"/>
        <v>48</v>
      </c>
      <c r="N19" s="153" t="str">
        <f t="shared" si="6"/>
        <v>E</v>
      </c>
      <c r="O19" s="66">
        <v>25.0</v>
      </c>
      <c r="P19" s="66">
        <v>32.0</v>
      </c>
      <c r="Q19" s="56">
        <f t="shared" si="7"/>
        <v>57</v>
      </c>
      <c r="R19" s="153" t="str">
        <f t="shared" si="8"/>
        <v>D</v>
      </c>
      <c r="S19" s="66">
        <v>21.0</v>
      </c>
      <c r="T19" s="66">
        <v>15.0</v>
      </c>
      <c r="U19" s="56">
        <f t="shared" si="9"/>
        <v>36</v>
      </c>
      <c r="V19" s="153" t="str">
        <f t="shared" si="10"/>
        <v>F</v>
      </c>
      <c r="W19" s="66">
        <v>19.0</v>
      </c>
      <c r="X19" s="66">
        <v>37.0</v>
      </c>
      <c r="Y19" s="56">
        <f t="shared" si="11"/>
        <v>56</v>
      </c>
      <c r="Z19" s="153" t="str">
        <f t="shared" si="12"/>
        <v>D</v>
      </c>
      <c r="AA19" s="67">
        <v>26.0</v>
      </c>
      <c r="AB19" s="68">
        <v>17.0</v>
      </c>
      <c r="AC19" s="59">
        <f t="shared" si="23"/>
        <v>43</v>
      </c>
      <c r="AD19" s="153" t="str">
        <f t="shared" si="14"/>
        <v>E</v>
      </c>
      <c r="AE19" s="67">
        <v>26.0</v>
      </c>
      <c r="AF19" s="68">
        <v>35.0</v>
      </c>
      <c r="AG19" s="59">
        <f t="shared" si="15"/>
        <v>61</v>
      </c>
      <c r="AH19" s="153" t="str">
        <f t="shared" si="16"/>
        <v>C</v>
      </c>
      <c r="AI19" s="78">
        <v>32.0</v>
      </c>
      <c r="AJ19" s="68">
        <v>43.0</v>
      </c>
      <c r="AK19" s="59">
        <f t="shared" si="17"/>
        <v>75</v>
      </c>
      <c r="AL19" s="153" t="str">
        <f t="shared" si="18"/>
        <v>B</v>
      </c>
      <c r="AM19" s="67">
        <v>24.0</v>
      </c>
      <c r="AN19" s="68">
        <v>36.0</v>
      </c>
      <c r="AO19" s="59">
        <f t="shared" si="19"/>
        <v>60</v>
      </c>
      <c r="AP19" s="153" t="str">
        <f t="shared" si="20"/>
        <v>C</v>
      </c>
      <c r="AQ19" s="59"/>
      <c r="AR19" s="57">
        <f t="shared" si="21"/>
        <v>54</v>
      </c>
      <c r="AS19" s="72">
        <f t="shared" si="22"/>
        <v>22</v>
      </c>
      <c r="AT19" s="134" t="s">
        <v>87</v>
      </c>
      <c r="AU19" s="134" t="s">
        <v>85</v>
      </c>
      <c r="AV19" s="134" t="s">
        <v>90</v>
      </c>
      <c r="AW19" s="134" t="s">
        <v>87</v>
      </c>
      <c r="AX19" s="134" t="s">
        <v>87</v>
      </c>
      <c r="AY19" s="181" t="s">
        <v>326</v>
      </c>
    </row>
    <row r="20" ht="27.75" customHeight="1">
      <c r="A20" s="42">
        <v>16.0</v>
      </c>
      <c r="B20" s="94" t="s">
        <v>327</v>
      </c>
      <c r="C20" s="66">
        <v>21.0</v>
      </c>
      <c r="D20" s="66">
        <v>31.0</v>
      </c>
      <c r="E20" s="56">
        <f t="shared" si="1"/>
        <v>52</v>
      </c>
      <c r="F20" s="153" t="str">
        <f t="shared" si="2"/>
        <v>D</v>
      </c>
      <c r="G20" s="66">
        <v>25.0</v>
      </c>
      <c r="H20" s="66">
        <v>31.0</v>
      </c>
      <c r="I20" s="56">
        <f t="shared" si="3"/>
        <v>56</v>
      </c>
      <c r="J20" s="153" t="str">
        <f t="shared" si="4"/>
        <v>D</v>
      </c>
      <c r="K20" s="66">
        <v>22.5</v>
      </c>
      <c r="L20" s="66">
        <v>28.0</v>
      </c>
      <c r="M20" s="57">
        <f t="shared" si="5"/>
        <v>50.5</v>
      </c>
      <c r="N20" s="153" t="str">
        <f t="shared" si="6"/>
        <v>D</v>
      </c>
      <c r="O20" s="66">
        <v>30.0</v>
      </c>
      <c r="P20" s="66">
        <v>38.0</v>
      </c>
      <c r="Q20" s="56">
        <f t="shared" si="7"/>
        <v>68</v>
      </c>
      <c r="R20" s="153" t="str">
        <f t="shared" si="8"/>
        <v>C</v>
      </c>
      <c r="S20" s="66">
        <v>27.0</v>
      </c>
      <c r="T20" s="66">
        <v>28.0</v>
      </c>
      <c r="U20" s="56">
        <f t="shared" si="9"/>
        <v>55</v>
      </c>
      <c r="V20" s="153" t="str">
        <f t="shared" si="10"/>
        <v>D</v>
      </c>
      <c r="W20" s="66">
        <v>27.0</v>
      </c>
      <c r="X20" s="66">
        <v>27.0</v>
      </c>
      <c r="Y20" s="56">
        <f t="shared" si="11"/>
        <v>54</v>
      </c>
      <c r="Z20" s="153" t="str">
        <f t="shared" si="12"/>
        <v>D</v>
      </c>
      <c r="AA20" s="67">
        <v>25.0</v>
      </c>
      <c r="AB20" s="68">
        <v>35.0</v>
      </c>
      <c r="AC20" s="59">
        <f t="shared" si="23"/>
        <v>60</v>
      </c>
      <c r="AD20" s="153" t="str">
        <f t="shared" si="14"/>
        <v>C</v>
      </c>
      <c r="AE20" s="67">
        <v>24.0</v>
      </c>
      <c r="AF20" s="68">
        <v>46.0</v>
      </c>
      <c r="AG20" s="59">
        <f t="shared" si="15"/>
        <v>70</v>
      </c>
      <c r="AH20" s="153" t="str">
        <f t="shared" si="16"/>
        <v>B</v>
      </c>
      <c r="AI20" s="78">
        <v>30.0</v>
      </c>
      <c r="AJ20" s="68">
        <v>45.0</v>
      </c>
      <c r="AK20" s="59">
        <f t="shared" si="17"/>
        <v>75</v>
      </c>
      <c r="AL20" s="153" t="str">
        <f t="shared" si="18"/>
        <v>B</v>
      </c>
      <c r="AM20" s="67">
        <v>20.0</v>
      </c>
      <c r="AN20" s="68">
        <v>37.0</v>
      </c>
      <c r="AO20" s="59">
        <f t="shared" si="19"/>
        <v>57</v>
      </c>
      <c r="AP20" s="153" t="str">
        <f t="shared" si="20"/>
        <v>D</v>
      </c>
      <c r="AQ20" s="59"/>
      <c r="AR20" s="57">
        <f t="shared" si="21"/>
        <v>59.75</v>
      </c>
      <c r="AS20" s="72">
        <f t="shared" si="22"/>
        <v>16</v>
      </c>
      <c r="AT20" s="134" t="s">
        <v>90</v>
      </c>
      <c r="AU20" s="134" t="s">
        <v>87</v>
      </c>
      <c r="AV20" s="134" t="s">
        <v>90</v>
      </c>
      <c r="AW20" s="134" t="s">
        <v>90</v>
      </c>
      <c r="AX20" s="134" t="s">
        <v>90</v>
      </c>
      <c r="AY20" s="178" t="s">
        <v>328</v>
      </c>
    </row>
    <row r="21" ht="28.5" customHeight="1">
      <c r="A21" s="42">
        <v>17.0</v>
      </c>
      <c r="B21" s="94" t="s">
        <v>329</v>
      </c>
      <c r="C21" s="66">
        <v>14.0</v>
      </c>
      <c r="D21" s="66">
        <v>23.0</v>
      </c>
      <c r="E21" s="56">
        <f t="shared" si="1"/>
        <v>37</v>
      </c>
      <c r="F21" s="164" t="str">
        <f t="shared" si="2"/>
        <v>F</v>
      </c>
      <c r="G21" s="66">
        <v>14.0</v>
      </c>
      <c r="H21" s="66">
        <v>19.0</v>
      </c>
      <c r="I21" s="56">
        <f t="shared" si="3"/>
        <v>33</v>
      </c>
      <c r="J21" s="153" t="str">
        <f t="shared" si="4"/>
        <v>F</v>
      </c>
      <c r="K21" s="56"/>
      <c r="L21" s="66">
        <v>10.0</v>
      </c>
      <c r="M21" s="57">
        <f t="shared" si="5"/>
        <v>10</v>
      </c>
      <c r="N21" s="153" t="str">
        <f t="shared" si="6"/>
        <v>U</v>
      </c>
      <c r="O21" s="66">
        <v>7.0</v>
      </c>
      <c r="P21" s="66">
        <v>10.0</v>
      </c>
      <c r="Q21" s="56">
        <f t="shared" si="7"/>
        <v>17</v>
      </c>
      <c r="R21" s="153" t="str">
        <f t="shared" si="8"/>
        <v>U</v>
      </c>
      <c r="S21" s="66">
        <v>26.0</v>
      </c>
      <c r="T21" s="66">
        <v>29.0</v>
      </c>
      <c r="U21" s="56">
        <f t="shared" si="9"/>
        <v>55</v>
      </c>
      <c r="V21" s="153" t="str">
        <f t="shared" si="10"/>
        <v>D</v>
      </c>
      <c r="W21" s="66">
        <v>24.0</v>
      </c>
      <c r="X21" s="66">
        <v>20.0</v>
      </c>
      <c r="Y21" s="56">
        <f t="shared" si="11"/>
        <v>44</v>
      </c>
      <c r="Z21" s="153" t="str">
        <f t="shared" si="12"/>
        <v>E</v>
      </c>
      <c r="AA21" s="67">
        <v>12.0</v>
      </c>
      <c r="AB21" s="68">
        <v>22.0</v>
      </c>
      <c r="AC21" s="59">
        <f t="shared" si="23"/>
        <v>34</v>
      </c>
      <c r="AD21" s="153" t="str">
        <f t="shared" si="14"/>
        <v>F</v>
      </c>
      <c r="AE21" s="67">
        <v>29.0</v>
      </c>
      <c r="AF21" s="68">
        <v>38.0</v>
      </c>
      <c r="AG21" s="59">
        <f t="shared" si="15"/>
        <v>67</v>
      </c>
      <c r="AH21" s="153" t="str">
        <f t="shared" si="16"/>
        <v>C</v>
      </c>
      <c r="AI21" s="78">
        <v>14.0</v>
      </c>
      <c r="AJ21" s="68">
        <v>43.0</v>
      </c>
      <c r="AK21" s="59">
        <f t="shared" si="17"/>
        <v>57</v>
      </c>
      <c r="AL21" s="153" t="str">
        <f t="shared" si="18"/>
        <v>D</v>
      </c>
      <c r="AM21" s="67">
        <v>28.0</v>
      </c>
      <c r="AN21" s="68">
        <v>40.0</v>
      </c>
      <c r="AO21" s="59">
        <f t="shared" si="19"/>
        <v>68</v>
      </c>
      <c r="AP21" s="153" t="str">
        <f t="shared" si="20"/>
        <v>C</v>
      </c>
      <c r="AQ21" s="59"/>
      <c r="AR21" s="57">
        <f t="shared" si="21"/>
        <v>42.2</v>
      </c>
      <c r="AS21" s="72">
        <f t="shared" si="22"/>
        <v>23</v>
      </c>
      <c r="AT21" s="134" t="s">
        <v>93</v>
      </c>
      <c r="AU21" s="134" t="s">
        <v>90</v>
      </c>
      <c r="AV21" s="134" t="s">
        <v>93</v>
      </c>
      <c r="AW21" s="134" t="s">
        <v>93</v>
      </c>
      <c r="AX21" s="134" t="s">
        <v>93</v>
      </c>
      <c r="AY21" s="178" t="s">
        <v>330</v>
      </c>
    </row>
    <row r="22" ht="39.0" customHeight="1">
      <c r="A22" s="42">
        <v>18.0</v>
      </c>
      <c r="B22" s="94" t="s">
        <v>331</v>
      </c>
      <c r="C22" s="66">
        <v>20.0</v>
      </c>
      <c r="D22" s="66">
        <v>28.0</v>
      </c>
      <c r="E22" s="56">
        <f t="shared" si="1"/>
        <v>48</v>
      </c>
      <c r="F22" s="164" t="str">
        <f t="shared" si="2"/>
        <v>E</v>
      </c>
      <c r="G22" s="66">
        <v>20.0</v>
      </c>
      <c r="H22" s="66">
        <v>32.0</v>
      </c>
      <c r="I22" s="56">
        <f t="shared" si="3"/>
        <v>52</v>
      </c>
      <c r="J22" s="153" t="str">
        <f t="shared" si="4"/>
        <v>D</v>
      </c>
      <c r="K22" s="66">
        <v>25.0</v>
      </c>
      <c r="L22" s="66">
        <v>26.0</v>
      </c>
      <c r="M22" s="57">
        <f t="shared" si="5"/>
        <v>51</v>
      </c>
      <c r="N22" s="153" t="str">
        <f t="shared" si="6"/>
        <v>D</v>
      </c>
      <c r="O22" s="66">
        <v>25.0</v>
      </c>
      <c r="P22" s="66">
        <v>21.0</v>
      </c>
      <c r="Q22" s="56">
        <f t="shared" si="7"/>
        <v>46</v>
      </c>
      <c r="R22" s="153" t="str">
        <f t="shared" si="8"/>
        <v>E</v>
      </c>
      <c r="S22" s="66">
        <v>19.0</v>
      </c>
      <c r="T22" s="66">
        <v>34.0</v>
      </c>
      <c r="U22" s="56">
        <f t="shared" si="9"/>
        <v>53</v>
      </c>
      <c r="V22" s="153" t="str">
        <f t="shared" si="10"/>
        <v>D</v>
      </c>
      <c r="W22" s="66">
        <v>19.0</v>
      </c>
      <c r="X22" s="66">
        <v>30.0</v>
      </c>
      <c r="Y22" s="56">
        <f t="shared" si="11"/>
        <v>49</v>
      </c>
      <c r="Z22" s="153" t="str">
        <f t="shared" si="12"/>
        <v>E</v>
      </c>
      <c r="AA22" s="67">
        <v>25.0</v>
      </c>
      <c r="AB22" s="68">
        <v>35.0</v>
      </c>
      <c r="AC22" s="59">
        <f t="shared" si="23"/>
        <v>60</v>
      </c>
      <c r="AD22" s="153" t="str">
        <f t="shared" si="14"/>
        <v>C</v>
      </c>
      <c r="AE22" s="67">
        <v>33.0</v>
      </c>
      <c r="AF22" s="68">
        <v>47.0</v>
      </c>
      <c r="AG22" s="59">
        <f t="shared" si="15"/>
        <v>80</v>
      </c>
      <c r="AH22" s="153" t="str">
        <f t="shared" si="16"/>
        <v>A</v>
      </c>
      <c r="AI22" s="78">
        <v>30.0</v>
      </c>
      <c r="AJ22" s="68">
        <v>45.0</v>
      </c>
      <c r="AK22" s="59">
        <f t="shared" si="17"/>
        <v>75</v>
      </c>
      <c r="AL22" s="153" t="str">
        <f t="shared" si="18"/>
        <v>B</v>
      </c>
      <c r="AM22" s="67">
        <v>20.0</v>
      </c>
      <c r="AN22" s="68">
        <v>39.0</v>
      </c>
      <c r="AO22" s="59">
        <f t="shared" si="19"/>
        <v>59</v>
      </c>
      <c r="AP22" s="153" t="str">
        <f t="shared" si="20"/>
        <v>D</v>
      </c>
      <c r="AQ22" s="59"/>
      <c r="AR22" s="57">
        <f t="shared" si="21"/>
        <v>57.3</v>
      </c>
      <c r="AS22" s="72">
        <f t="shared" si="22"/>
        <v>18</v>
      </c>
      <c r="AT22" s="134" t="s">
        <v>93</v>
      </c>
      <c r="AU22" s="134" t="s">
        <v>90</v>
      </c>
      <c r="AV22" s="134" t="s">
        <v>93</v>
      </c>
      <c r="AW22" s="134" t="s">
        <v>93</v>
      </c>
      <c r="AX22" s="134" t="s">
        <v>93</v>
      </c>
      <c r="AY22" s="178" t="s">
        <v>332</v>
      </c>
    </row>
    <row r="23" ht="27.0" customHeight="1">
      <c r="A23" s="42">
        <v>19.0</v>
      </c>
      <c r="B23" s="94" t="s">
        <v>333</v>
      </c>
      <c r="C23" s="66">
        <v>21.0</v>
      </c>
      <c r="D23" s="66">
        <v>35.0</v>
      </c>
      <c r="E23" s="56">
        <f t="shared" si="1"/>
        <v>56</v>
      </c>
      <c r="F23" s="153" t="str">
        <f t="shared" si="2"/>
        <v>D</v>
      </c>
      <c r="G23" s="66">
        <v>21.0</v>
      </c>
      <c r="H23" s="66">
        <v>46.0</v>
      </c>
      <c r="I23" s="56">
        <f t="shared" si="3"/>
        <v>67</v>
      </c>
      <c r="J23" s="153" t="str">
        <f t="shared" si="4"/>
        <v>C</v>
      </c>
      <c r="K23" s="66">
        <v>30.5</v>
      </c>
      <c r="L23" s="66">
        <v>45.0</v>
      </c>
      <c r="M23" s="57">
        <f t="shared" si="5"/>
        <v>75.5</v>
      </c>
      <c r="N23" s="153" t="str">
        <f t="shared" si="6"/>
        <v>B</v>
      </c>
      <c r="O23" s="66">
        <v>25.0</v>
      </c>
      <c r="P23" s="66">
        <v>34.0</v>
      </c>
      <c r="Q23" s="56">
        <f t="shared" si="7"/>
        <v>59</v>
      </c>
      <c r="R23" s="153" t="str">
        <f t="shared" si="8"/>
        <v>D</v>
      </c>
      <c r="S23" s="66">
        <v>27.0</v>
      </c>
      <c r="T23" s="66">
        <v>37.0</v>
      </c>
      <c r="U23" s="56">
        <f t="shared" si="9"/>
        <v>64</v>
      </c>
      <c r="V23" s="153" t="str">
        <f t="shared" si="10"/>
        <v>C</v>
      </c>
      <c r="W23" s="66">
        <v>25.0</v>
      </c>
      <c r="X23" s="66">
        <v>45.0</v>
      </c>
      <c r="Y23" s="56">
        <f t="shared" si="11"/>
        <v>70</v>
      </c>
      <c r="Z23" s="153" t="str">
        <f t="shared" si="12"/>
        <v>B</v>
      </c>
      <c r="AA23" s="67">
        <v>32.0</v>
      </c>
      <c r="AB23" s="68">
        <v>21.0</v>
      </c>
      <c r="AC23" s="59">
        <f t="shared" si="23"/>
        <v>53</v>
      </c>
      <c r="AD23" s="153" t="str">
        <f t="shared" si="14"/>
        <v>D</v>
      </c>
      <c r="AE23" s="67">
        <v>28.0</v>
      </c>
      <c r="AF23" s="68">
        <v>48.0</v>
      </c>
      <c r="AG23" s="59">
        <f t="shared" si="15"/>
        <v>76</v>
      </c>
      <c r="AH23" s="153" t="str">
        <f t="shared" si="16"/>
        <v>B</v>
      </c>
      <c r="AI23" s="78">
        <v>32.0</v>
      </c>
      <c r="AJ23" s="68">
        <v>48.0</v>
      </c>
      <c r="AK23" s="59">
        <f t="shared" si="17"/>
        <v>80</v>
      </c>
      <c r="AL23" s="153" t="str">
        <f t="shared" si="18"/>
        <v>A</v>
      </c>
      <c r="AM23" s="67">
        <v>20.0</v>
      </c>
      <c r="AN23" s="68">
        <v>40.0</v>
      </c>
      <c r="AO23" s="59">
        <f t="shared" si="19"/>
        <v>60</v>
      </c>
      <c r="AP23" s="153" t="str">
        <f t="shared" si="20"/>
        <v>C</v>
      </c>
      <c r="AQ23" s="59"/>
      <c r="AR23" s="57">
        <f t="shared" si="21"/>
        <v>66.05</v>
      </c>
      <c r="AS23" s="72">
        <f t="shared" si="22"/>
        <v>8</v>
      </c>
      <c r="AT23" s="134" t="s">
        <v>90</v>
      </c>
      <c r="AU23" s="134" t="s">
        <v>90</v>
      </c>
      <c r="AV23" s="134" t="s">
        <v>93</v>
      </c>
      <c r="AW23" s="134" t="s">
        <v>90</v>
      </c>
      <c r="AX23" s="134" t="s">
        <v>90</v>
      </c>
      <c r="AY23" s="178" t="s">
        <v>334</v>
      </c>
    </row>
    <row r="24" ht="24.75" customHeight="1">
      <c r="A24" s="42">
        <v>20.0</v>
      </c>
      <c r="B24" s="94" t="s">
        <v>335</v>
      </c>
      <c r="C24" s="66">
        <v>21.0</v>
      </c>
      <c r="D24" s="66">
        <v>40.0</v>
      </c>
      <c r="E24" s="56">
        <f t="shared" si="1"/>
        <v>61</v>
      </c>
      <c r="F24" s="153" t="str">
        <f t="shared" si="2"/>
        <v>C</v>
      </c>
      <c r="G24" s="66">
        <v>16.0</v>
      </c>
      <c r="H24" s="66">
        <v>30.0</v>
      </c>
      <c r="I24" s="56">
        <f t="shared" si="3"/>
        <v>46</v>
      </c>
      <c r="J24" s="153" t="str">
        <f t="shared" si="4"/>
        <v>E</v>
      </c>
      <c r="K24" s="66">
        <v>20.5</v>
      </c>
      <c r="L24" s="66">
        <v>20.0</v>
      </c>
      <c r="M24" s="57">
        <f t="shared" si="5"/>
        <v>40.5</v>
      </c>
      <c r="N24" s="153" t="str">
        <f t="shared" si="6"/>
        <v>E</v>
      </c>
      <c r="O24" s="66">
        <v>26.0</v>
      </c>
      <c r="P24" s="66">
        <v>31.0</v>
      </c>
      <c r="Q24" s="56">
        <f t="shared" si="7"/>
        <v>57</v>
      </c>
      <c r="R24" s="153" t="str">
        <f t="shared" si="8"/>
        <v>D</v>
      </c>
      <c r="S24" s="66">
        <v>23.0</v>
      </c>
      <c r="T24" s="66">
        <v>43.0</v>
      </c>
      <c r="U24" s="56">
        <f t="shared" si="9"/>
        <v>66</v>
      </c>
      <c r="V24" s="153" t="str">
        <f t="shared" si="10"/>
        <v>C</v>
      </c>
      <c r="W24" s="66">
        <v>30.0</v>
      </c>
      <c r="X24" s="66">
        <v>50.0</v>
      </c>
      <c r="Y24" s="56">
        <f t="shared" si="11"/>
        <v>80</v>
      </c>
      <c r="Z24" s="153" t="str">
        <f t="shared" si="12"/>
        <v>A</v>
      </c>
      <c r="AA24" s="67">
        <v>29.0</v>
      </c>
      <c r="AB24" s="68">
        <v>35.0</v>
      </c>
      <c r="AC24" s="59">
        <f t="shared" si="23"/>
        <v>64</v>
      </c>
      <c r="AD24" s="153" t="str">
        <f t="shared" si="14"/>
        <v>C</v>
      </c>
      <c r="AE24" s="67">
        <v>28.0</v>
      </c>
      <c r="AF24" s="68">
        <v>42.0</v>
      </c>
      <c r="AG24" s="59">
        <f t="shared" si="15"/>
        <v>70</v>
      </c>
      <c r="AH24" s="153" t="str">
        <f t="shared" si="16"/>
        <v>B</v>
      </c>
      <c r="AI24" s="78">
        <v>37.0</v>
      </c>
      <c r="AJ24" s="68">
        <v>47.0</v>
      </c>
      <c r="AK24" s="59">
        <f t="shared" si="17"/>
        <v>84</v>
      </c>
      <c r="AL24" s="153" t="str">
        <f t="shared" si="18"/>
        <v>A</v>
      </c>
      <c r="AM24" s="67">
        <v>20.0</v>
      </c>
      <c r="AN24" s="68">
        <v>41.0</v>
      </c>
      <c r="AO24" s="59">
        <f t="shared" si="19"/>
        <v>61</v>
      </c>
      <c r="AP24" s="153" t="str">
        <f t="shared" si="20"/>
        <v>C</v>
      </c>
      <c r="AQ24" s="59"/>
      <c r="AR24" s="57">
        <f t="shared" si="21"/>
        <v>62.95</v>
      </c>
      <c r="AS24" s="72">
        <f t="shared" si="22"/>
        <v>13</v>
      </c>
      <c r="AT24" s="134" t="s">
        <v>90</v>
      </c>
      <c r="AU24" s="134" t="s">
        <v>90</v>
      </c>
      <c r="AV24" s="134" t="s">
        <v>93</v>
      </c>
      <c r="AW24" s="134" t="s">
        <v>93</v>
      </c>
      <c r="AX24" s="134" t="s">
        <v>93</v>
      </c>
      <c r="AY24" s="181" t="s">
        <v>336</v>
      </c>
    </row>
    <row r="25" ht="27.75" customHeight="1">
      <c r="A25" s="42">
        <v>21.0</v>
      </c>
      <c r="B25" s="94" t="s">
        <v>337</v>
      </c>
      <c r="C25" s="66">
        <v>26.0</v>
      </c>
      <c r="D25" s="66">
        <v>34.0</v>
      </c>
      <c r="E25" s="56">
        <f t="shared" si="1"/>
        <v>60</v>
      </c>
      <c r="F25" s="153" t="str">
        <f t="shared" si="2"/>
        <v>C</v>
      </c>
      <c r="G25" s="66">
        <v>13.0</v>
      </c>
      <c r="H25" s="66">
        <v>17.0</v>
      </c>
      <c r="I25" s="56">
        <f t="shared" si="3"/>
        <v>30</v>
      </c>
      <c r="J25" s="153" t="str">
        <f t="shared" si="4"/>
        <v>F</v>
      </c>
      <c r="K25" s="66">
        <v>0.0</v>
      </c>
      <c r="L25" s="66">
        <v>36.0</v>
      </c>
      <c r="M25" s="57">
        <f t="shared" si="5"/>
        <v>36</v>
      </c>
      <c r="N25" s="153" t="str">
        <f t="shared" si="6"/>
        <v>F</v>
      </c>
      <c r="O25" s="66">
        <v>33.0</v>
      </c>
      <c r="P25" s="66">
        <v>26.0</v>
      </c>
      <c r="Q25" s="56">
        <f t="shared" si="7"/>
        <v>59</v>
      </c>
      <c r="R25" s="153" t="str">
        <f t="shared" si="8"/>
        <v>D</v>
      </c>
      <c r="S25" s="66">
        <v>26.0</v>
      </c>
      <c r="T25" s="66">
        <v>25.0</v>
      </c>
      <c r="U25" s="56">
        <f t="shared" si="9"/>
        <v>51</v>
      </c>
      <c r="V25" s="153" t="str">
        <f t="shared" si="10"/>
        <v>D</v>
      </c>
      <c r="W25" s="66">
        <v>33.0</v>
      </c>
      <c r="X25" s="66">
        <v>34.0</v>
      </c>
      <c r="Y25" s="56">
        <f t="shared" si="11"/>
        <v>67</v>
      </c>
      <c r="Z25" s="153" t="str">
        <f t="shared" si="12"/>
        <v>C</v>
      </c>
      <c r="AA25" s="67">
        <v>30.0</v>
      </c>
      <c r="AB25" s="68">
        <v>26.0</v>
      </c>
      <c r="AC25" s="59">
        <f t="shared" si="23"/>
        <v>56</v>
      </c>
      <c r="AD25" s="153" t="str">
        <f t="shared" si="14"/>
        <v>D</v>
      </c>
      <c r="AE25" s="67">
        <v>34.0</v>
      </c>
      <c r="AF25" s="68">
        <v>44.0</v>
      </c>
      <c r="AG25" s="59">
        <f t="shared" si="15"/>
        <v>78</v>
      </c>
      <c r="AH25" s="153" t="str">
        <f t="shared" si="16"/>
        <v>B</v>
      </c>
      <c r="AI25" s="78">
        <v>31.0</v>
      </c>
      <c r="AJ25" s="68">
        <v>47.0</v>
      </c>
      <c r="AK25" s="59">
        <f t="shared" si="17"/>
        <v>78</v>
      </c>
      <c r="AL25" s="153" t="str">
        <f t="shared" si="18"/>
        <v>B</v>
      </c>
      <c r="AM25" s="67">
        <v>20.0</v>
      </c>
      <c r="AN25" s="68">
        <v>42.0</v>
      </c>
      <c r="AO25" s="59">
        <f t="shared" si="19"/>
        <v>62</v>
      </c>
      <c r="AP25" s="153" t="str">
        <f t="shared" si="20"/>
        <v>C</v>
      </c>
      <c r="AQ25" s="59"/>
      <c r="AR25" s="57">
        <f t="shared" si="21"/>
        <v>57.7</v>
      </c>
      <c r="AS25" s="72">
        <f t="shared" si="22"/>
        <v>17</v>
      </c>
      <c r="AT25" s="134" t="s">
        <v>90</v>
      </c>
      <c r="AU25" s="134" t="s">
        <v>87</v>
      </c>
      <c r="AV25" s="134" t="s">
        <v>90</v>
      </c>
      <c r="AW25" s="134" t="s">
        <v>90</v>
      </c>
      <c r="AX25" s="134" t="s">
        <v>90</v>
      </c>
      <c r="AY25" s="178" t="s">
        <v>338</v>
      </c>
    </row>
    <row r="26" ht="27.75" customHeight="1">
      <c r="A26" s="42">
        <v>22.0</v>
      </c>
      <c r="B26" s="94" t="s">
        <v>339</v>
      </c>
      <c r="C26" s="66">
        <v>24.0</v>
      </c>
      <c r="D26" s="66">
        <v>31.0</v>
      </c>
      <c r="E26" s="56">
        <f t="shared" si="1"/>
        <v>55</v>
      </c>
      <c r="F26" s="153" t="str">
        <f t="shared" si="2"/>
        <v>D</v>
      </c>
      <c r="G26" s="66">
        <v>18.0</v>
      </c>
      <c r="H26" s="66">
        <v>23.0</v>
      </c>
      <c r="I26" s="56">
        <f t="shared" si="3"/>
        <v>41</v>
      </c>
      <c r="J26" s="153" t="str">
        <f t="shared" si="4"/>
        <v>E</v>
      </c>
      <c r="K26" s="66">
        <v>32.5</v>
      </c>
      <c r="L26" s="66">
        <v>40.0</v>
      </c>
      <c r="M26" s="57">
        <f t="shared" si="5"/>
        <v>72.5</v>
      </c>
      <c r="N26" s="153" t="str">
        <f t="shared" si="6"/>
        <v>B</v>
      </c>
      <c r="O26" s="66">
        <v>26.0</v>
      </c>
      <c r="P26" s="66">
        <v>38.0</v>
      </c>
      <c r="Q26" s="56">
        <f t="shared" si="7"/>
        <v>64</v>
      </c>
      <c r="R26" s="153" t="str">
        <f t="shared" si="8"/>
        <v>C</v>
      </c>
      <c r="S26" s="66">
        <v>30.0</v>
      </c>
      <c r="T26" s="66">
        <v>33.0</v>
      </c>
      <c r="U26" s="56">
        <f t="shared" si="9"/>
        <v>63</v>
      </c>
      <c r="V26" s="153" t="str">
        <f t="shared" si="10"/>
        <v>C</v>
      </c>
      <c r="W26" s="66">
        <v>24.0</v>
      </c>
      <c r="X26" s="66">
        <v>40.0</v>
      </c>
      <c r="Y26" s="56">
        <f t="shared" si="11"/>
        <v>64</v>
      </c>
      <c r="Z26" s="153" t="str">
        <f t="shared" si="12"/>
        <v>C</v>
      </c>
      <c r="AA26" s="67">
        <v>30.0</v>
      </c>
      <c r="AB26" s="68">
        <v>43.0</v>
      </c>
      <c r="AC26" s="59">
        <f t="shared" si="23"/>
        <v>73</v>
      </c>
      <c r="AD26" s="153" t="str">
        <f t="shared" si="14"/>
        <v>B</v>
      </c>
      <c r="AE26" s="67">
        <v>29.0</v>
      </c>
      <c r="AF26" s="68">
        <v>47.0</v>
      </c>
      <c r="AG26" s="59">
        <f t="shared" si="15"/>
        <v>76</v>
      </c>
      <c r="AH26" s="153" t="str">
        <f t="shared" si="16"/>
        <v>B</v>
      </c>
      <c r="AI26" s="78">
        <v>35.0</v>
      </c>
      <c r="AJ26" s="68">
        <v>43.0</v>
      </c>
      <c r="AK26" s="59">
        <f t="shared" si="17"/>
        <v>78</v>
      </c>
      <c r="AL26" s="153" t="str">
        <f t="shared" si="18"/>
        <v>B</v>
      </c>
      <c r="AM26" s="67">
        <v>24.0</v>
      </c>
      <c r="AN26" s="68">
        <v>41.0</v>
      </c>
      <c r="AO26" s="59">
        <f t="shared" si="19"/>
        <v>65</v>
      </c>
      <c r="AP26" s="153" t="str">
        <f t="shared" si="20"/>
        <v>C</v>
      </c>
      <c r="AQ26" s="59"/>
      <c r="AR26" s="57">
        <f t="shared" si="21"/>
        <v>65.15</v>
      </c>
      <c r="AS26" s="72">
        <f t="shared" si="22"/>
        <v>9</v>
      </c>
      <c r="AT26" s="134" t="s">
        <v>87</v>
      </c>
      <c r="AU26" s="134" t="s">
        <v>90</v>
      </c>
      <c r="AV26" s="134" t="s">
        <v>90</v>
      </c>
      <c r="AW26" s="134" t="s">
        <v>93</v>
      </c>
      <c r="AX26" s="134" t="s">
        <v>93</v>
      </c>
      <c r="AY26" s="182" t="s">
        <v>340</v>
      </c>
    </row>
    <row r="27" ht="15.75" customHeight="1">
      <c r="A27" s="42">
        <v>23.0</v>
      </c>
      <c r="B27" s="129" t="s">
        <v>341</v>
      </c>
      <c r="C27" s="66">
        <v>22.0</v>
      </c>
      <c r="D27" s="66">
        <v>42.0</v>
      </c>
      <c r="E27" s="56">
        <f t="shared" si="1"/>
        <v>64</v>
      </c>
      <c r="F27" s="153" t="str">
        <f t="shared" si="2"/>
        <v>C</v>
      </c>
      <c r="G27" s="66">
        <v>30.0</v>
      </c>
      <c r="H27" s="66">
        <v>32.0</v>
      </c>
      <c r="I27" s="56">
        <f t="shared" si="3"/>
        <v>62</v>
      </c>
      <c r="J27" s="153" t="str">
        <f t="shared" si="4"/>
        <v>C</v>
      </c>
      <c r="K27" s="66">
        <v>32.5</v>
      </c>
      <c r="L27" s="66">
        <v>46.0</v>
      </c>
      <c r="M27" s="57">
        <f t="shared" si="5"/>
        <v>78.5</v>
      </c>
      <c r="N27" s="153" t="str">
        <f t="shared" si="6"/>
        <v>B</v>
      </c>
      <c r="O27" s="66">
        <v>31.0</v>
      </c>
      <c r="P27" s="66">
        <v>33.0</v>
      </c>
      <c r="Q27" s="56">
        <f t="shared" si="7"/>
        <v>64</v>
      </c>
      <c r="R27" s="153" t="str">
        <f t="shared" si="8"/>
        <v>C</v>
      </c>
      <c r="S27" s="66">
        <v>33.0</v>
      </c>
      <c r="T27" s="66">
        <v>48.0</v>
      </c>
      <c r="U27" s="56">
        <f t="shared" si="9"/>
        <v>81</v>
      </c>
      <c r="V27" s="153" t="str">
        <f t="shared" si="10"/>
        <v>A</v>
      </c>
      <c r="W27" s="66">
        <v>33.0</v>
      </c>
      <c r="X27" s="66">
        <v>49.0</v>
      </c>
      <c r="Y27" s="56">
        <f t="shared" si="11"/>
        <v>82</v>
      </c>
      <c r="Z27" s="153" t="str">
        <f t="shared" si="12"/>
        <v>A</v>
      </c>
      <c r="AA27" s="67">
        <v>24.0</v>
      </c>
      <c r="AB27" s="68">
        <v>39.0</v>
      </c>
      <c r="AC27" s="59">
        <f t="shared" si="23"/>
        <v>63</v>
      </c>
      <c r="AD27" s="153" t="str">
        <f t="shared" si="14"/>
        <v>C</v>
      </c>
      <c r="AE27" s="67">
        <v>35.0</v>
      </c>
      <c r="AF27" s="68">
        <v>58.0</v>
      </c>
      <c r="AG27" s="59">
        <f t="shared" si="15"/>
        <v>93</v>
      </c>
      <c r="AH27" s="153" t="str">
        <f t="shared" si="16"/>
        <v>A*</v>
      </c>
      <c r="AI27" s="67">
        <v>31.0</v>
      </c>
      <c r="AJ27" s="68">
        <v>53.0</v>
      </c>
      <c r="AK27" s="59">
        <f t="shared" si="17"/>
        <v>84</v>
      </c>
      <c r="AL27" s="153" t="str">
        <f t="shared" si="18"/>
        <v>A</v>
      </c>
      <c r="AM27" s="67">
        <v>40.0</v>
      </c>
      <c r="AN27" s="68">
        <v>41.0</v>
      </c>
      <c r="AO27" s="59">
        <f t="shared" si="19"/>
        <v>81</v>
      </c>
      <c r="AP27" s="153" t="str">
        <f t="shared" si="20"/>
        <v>A</v>
      </c>
      <c r="AQ27" s="59"/>
      <c r="AR27" s="57">
        <f t="shared" si="21"/>
        <v>75.25</v>
      </c>
      <c r="AS27" s="72">
        <f t="shared" si="22"/>
        <v>4</v>
      </c>
      <c r="AT27" s="134" t="s">
        <v>85</v>
      </c>
      <c r="AU27" s="134" t="s">
        <v>87</v>
      </c>
      <c r="AV27" s="134" t="s">
        <v>87</v>
      </c>
      <c r="AW27" s="134" t="s">
        <v>90</v>
      </c>
      <c r="AX27" s="134" t="s">
        <v>87</v>
      </c>
      <c r="AY27" s="182" t="s">
        <v>342</v>
      </c>
    </row>
    <row r="28" ht="15.75" customHeight="1">
      <c r="A28" s="121"/>
      <c r="B28" s="183"/>
      <c r="C28" s="56"/>
      <c r="D28" s="56"/>
      <c r="E28" s="56"/>
      <c r="F28" s="153"/>
      <c r="G28" s="56"/>
      <c r="H28" s="56"/>
      <c r="I28" s="56"/>
      <c r="J28" s="153"/>
      <c r="K28" s="56"/>
      <c r="L28" s="56"/>
      <c r="M28" s="57"/>
      <c r="N28" s="153"/>
      <c r="O28" s="56"/>
      <c r="P28" s="56"/>
      <c r="Q28" s="56"/>
      <c r="R28" s="153"/>
      <c r="S28" s="56"/>
      <c r="T28" s="56"/>
      <c r="U28" s="56"/>
      <c r="V28" s="153"/>
      <c r="W28" s="56"/>
      <c r="X28" s="56"/>
      <c r="Y28" s="56"/>
      <c r="Z28" s="56"/>
      <c r="AA28" s="145"/>
      <c r="AB28" s="71"/>
      <c r="AC28" s="59"/>
      <c r="AD28" s="59"/>
      <c r="AE28" s="145"/>
      <c r="AF28" s="71"/>
      <c r="AG28" s="71"/>
      <c r="AH28" s="153"/>
      <c r="AI28" s="145"/>
      <c r="AJ28" s="71"/>
      <c r="AK28" s="71"/>
      <c r="AL28" s="153"/>
      <c r="AM28" s="145"/>
      <c r="AN28" s="71"/>
      <c r="AO28" s="71"/>
      <c r="AP28" s="153"/>
      <c r="AQ28" s="59"/>
      <c r="AR28" s="57"/>
      <c r="AS28" s="72"/>
      <c r="AT28" s="176"/>
      <c r="AU28" s="176"/>
      <c r="AV28" s="176"/>
      <c r="AW28" s="176"/>
      <c r="AX28" s="176"/>
      <c r="AY28" s="42"/>
    </row>
    <row r="29" ht="15.75" customHeight="1">
      <c r="A29" s="40"/>
      <c r="B29" s="97"/>
      <c r="C29" s="98"/>
      <c r="D29" s="38"/>
      <c r="E29" s="38"/>
      <c r="F29" s="98"/>
      <c r="G29" s="39"/>
      <c r="H29" s="39"/>
      <c r="I29" s="39"/>
      <c r="J29" s="39"/>
      <c r="K29" s="39"/>
      <c r="L29" s="39"/>
      <c r="M29" s="99"/>
      <c r="N29" s="39"/>
      <c r="O29" s="39"/>
      <c r="P29" s="39"/>
      <c r="Q29" s="39"/>
      <c r="R29" s="39"/>
      <c r="S29" s="39"/>
      <c r="T29" s="39"/>
      <c r="U29" s="37"/>
      <c r="V29" s="37"/>
      <c r="W29" s="40"/>
      <c r="X29" s="40"/>
      <c r="Y29" s="40"/>
      <c r="Z29" s="99"/>
      <c r="AQ29" s="100"/>
      <c r="AR29" s="99"/>
      <c r="AS29" s="39"/>
      <c r="AT29" s="40"/>
      <c r="AU29" s="40"/>
      <c r="AV29" s="40"/>
      <c r="AW29" s="40"/>
      <c r="AX29" s="40"/>
      <c r="AY29" s="40"/>
    </row>
    <row r="30" ht="15.75" customHeight="1">
      <c r="C30" s="98"/>
      <c r="D30" s="38"/>
      <c r="E30" s="38"/>
      <c r="F30" s="98"/>
      <c r="G30" s="39"/>
      <c r="H30" s="39"/>
      <c r="I30" s="39"/>
      <c r="J30" s="39"/>
      <c r="K30" s="39"/>
      <c r="L30" s="39"/>
      <c r="M30" s="99"/>
      <c r="N30" s="39"/>
      <c r="O30" s="39"/>
      <c r="P30" s="39"/>
      <c r="Q30" s="39"/>
      <c r="R30" s="39"/>
      <c r="S30" s="39"/>
      <c r="T30" s="39"/>
      <c r="AR30" s="61"/>
    </row>
    <row r="31" ht="15.75" customHeight="1">
      <c r="B31" s="101" t="s">
        <v>33</v>
      </c>
      <c r="D31" s="103"/>
      <c r="E31" s="33">
        <f>AVERAGE(E5:E27)</f>
        <v>55.26086957</v>
      </c>
      <c r="F31" s="104"/>
      <c r="G31" s="33"/>
      <c r="H31" s="105"/>
      <c r="I31" s="33">
        <f>AVERAGE(I5:I27)</f>
        <v>54.39130435</v>
      </c>
      <c r="J31" s="105"/>
      <c r="K31" s="33"/>
      <c r="L31" s="105"/>
      <c r="M31" s="184">
        <f>AVERAGE(M5:M27)</f>
        <v>56.43043478</v>
      </c>
      <c r="N31" s="105"/>
      <c r="O31" s="33"/>
      <c r="P31" s="105"/>
      <c r="Q31" s="184">
        <f>AVERAGE(Q5:Q27)</f>
        <v>60.04347826</v>
      </c>
      <c r="R31" s="105"/>
      <c r="S31" s="33"/>
      <c r="T31" s="105"/>
      <c r="U31" s="184">
        <f>AVERAGE(U5:U27)</f>
        <v>62.91304348</v>
      </c>
      <c r="V31" s="101"/>
      <c r="W31" s="33"/>
      <c r="X31" s="101"/>
      <c r="Y31" s="184">
        <f>AVERAGE(Y5:Y27)</f>
        <v>66.86956522</v>
      </c>
      <c r="Z31" s="101"/>
      <c r="AA31" s="101"/>
      <c r="AB31" s="101"/>
      <c r="AC31" s="184">
        <f>AVERAGE(AC5:AC27)</f>
        <v>64.47826087</v>
      </c>
      <c r="AD31" s="101"/>
      <c r="AE31" s="101"/>
      <c r="AF31" s="101"/>
      <c r="AG31" s="184">
        <f>AVERAGE(AG5:AG27)</f>
        <v>73.86956522</v>
      </c>
      <c r="AH31" s="101"/>
      <c r="AI31" s="101"/>
      <c r="AJ31" s="101"/>
      <c r="AK31" s="184">
        <f>AVERAGE(AK5:AK27)</f>
        <v>78.56521739</v>
      </c>
      <c r="AL31" s="101"/>
      <c r="AM31" s="101"/>
      <c r="AN31" s="101"/>
      <c r="AO31" s="184">
        <f>AVERAGE(AO5:AO27)</f>
        <v>61.47826087</v>
      </c>
      <c r="AP31" s="101"/>
      <c r="AQ31" s="101"/>
      <c r="AR31" s="106"/>
      <c r="AS31" s="101"/>
      <c r="AT31" s="101"/>
      <c r="AU31" s="101"/>
    </row>
    <row r="32" ht="15.75" customHeight="1">
      <c r="B32" s="101" t="s">
        <v>34</v>
      </c>
      <c r="D32" s="103"/>
      <c r="E32" s="105">
        <f>COUNT(E5:E27)</f>
        <v>23</v>
      </c>
      <c r="F32" s="104"/>
      <c r="G32" s="105"/>
      <c r="H32" s="105"/>
      <c r="I32" s="105">
        <f>COUNT(I5:I27)</f>
        <v>23</v>
      </c>
      <c r="J32" s="105"/>
      <c r="K32" s="105"/>
      <c r="L32" s="105"/>
      <c r="M32" s="184">
        <f>COUNT(M5:M27)</f>
        <v>23</v>
      </c>
      <c r="N32" s="105"/>
      <c r="O32" s="105"/>
      <c r="P32" s="105"/>
      <c r="Q32" s="185">
        <f>COUNT(Q5:Q27)</f>
        <v>23</v>
      </c>
      <c r="R32" s="105"/>
      <c r="S32" s="105"/>
      <c r="T32" s="105"/>
      <c r="U32" s="185">
        <f>COUNT(U5:U27)</f>
        <v>23</v>
      </c>
      <c r="V32" s="101"/>
      <c r="W32" s="105"/>
      <c r="X32" s="101"/>
      <c r="Y32" s="185">
        <f>COUNT(Y5:Y27)</f>
        <v>23</v>
      </c>
      <c r="Z32" s="101"/>
      <c r="AA32" s="101"/>
      <c r="AB32" s="101"/>
      <c r="AC32" s="185">
        <f>COUNT(AC5:AC27)</f>
        <v>23</v>
      </c>
      <c r="AD32" s="101"/>
      <c r="AE32" s="101"/>
      <c r="AF32" s="101"/>
      <c r="AG32" s="185">
        <f>COUNT(AG5:AG27)</f>
        <v>23</v>
      </c>
      <c r="AH32" s="101"/>
      <c r="AI32" s="101"/>
      <c r="AJ32" s="101"/>
      <c r="AK32" s="185">
        <f>COUNT(AK5:AK27)</f>
        <v>23</v>
      </c>
      <c r="AL32" s="101"/>
      <c r="AM32" s="101"/>
      <c r="AN32" s="101"/>
      <c r="AO32" s="185">
        <f>COUNT(AO5:AO27)</f>
        <v>23</v>
      </c>
      <c r="AP32" s="101"/>
      <c r="AQ32" s="101"/>
      <c r="AR32" s="106"/>
      <c r="AS32" s="101"/>
      <c r="AT32" s="101"/>
      <c r="AU32" s="101"/>
    </row>
    <row r="33" ht="15.75" customHeight="1">
      <c r="B33" s="101" t="s">
        <v>35</v>
      </c>
      <c r="D33" s="103"/>
      <c r="E33" s="105">
        <f>COUNTIF(E5:E27,"&gt;49")</f>
        <v>17</v>
      </c>
      <c r="F33" s="104"/>
      <c r="G33" s="105"/>
      <c r="H33" s="105"/>
      <c r="I33" s="105">
        <f>COUNTIF(I5:I27,"&gt;49")</f>
        <v>15</v>
      </c>
      <c r="J33" s="105"/>
      <c r="K33" s="105"/>
      <c r="L33" s="105"/>
      <c r="M33" s="184">
        <f>COUNTIF(M5:M27,"&gt;49")</f>
        <v>17</v>
      </c>
      <c r="N33" s="105"/>
      <c r="O33" s="105"/>
      <c r="P33" s="105"/>
      <c r="Q33" s="185">
        <f>COUNTIF(Q5:Q27,"&gt;49")</f>
        <v>20</v>
      </c>
      <c r="R33" s="105"/>
      <c r="S33" s="105"/>
      <c r="T33" s="105"/>
      <c r="U33" s="185">
        <f>COUNTIF(U5:U27,"&gt;49")</f>
        <v>21</v>
      </c>
      <c r="V33" s="101"/>
      <c r="W33" s="105"/>
      <c r="X33" s="101"/>
      <c r="Y33" s="185">
        <f>COUNTIF(Y5:Y27,"&gt;49")</f>
        <v>20</v>
      </c>
      <c r="Z33" s="101"/>
      <c r="AA33" s="101"/>
      <c r="AB33" s="101"/>
      <c r="AC33" s="185">
        <f>COUNTIF(AC5:AC27,"&gt;49")</f>
        <v>19</v>
      </c>
      <c r="AD33" s="101"/>
      <c r="AE33" s="101"/>
      <c r="AF33" s="101"/>
      <c r="AG33" s="185">
        <f>COUNTIF(AG5:AG27,"&gt;49")</f>
        <v>23</v>
      </c>
      <c r="AH33" s="101"/>
      <c r="AI33" s="101"/>
      <c r="AJ33" s="101"/>
      <c r="AK33" s="185">
        <f>COUNTIF(AK5:AK27,"&gt;49")</f>
        <v>23</v>
      </c>
      <c r="AL33" s="101"/>
      <c r="AM33" s="101"/>
      <c r="AN33" s="101"/>
      <c r="AO33" s="185">
        <f>COUNTIF(AO5:AO27,"&gt;49")</f>
        <v>21</v>
      </c>
      <c r="AP33" s="101"/>
      <c r="AQ33" s="101"/>
      <c r="AR33" s="106"/>
      <c r="AS33" s="101"/>
      <c r="AT33" s="101"/>
      <c r="AU33" s="101"/>
    </row>
    <row r="34" ht="15.75" customHeight="1">
      <c r="B34" s="101" t="s">
        <v>36</v>
      </c>
      <c r="D34" s="103"/>
      <c r="E34" s="105">
        <f>COUNTIF(E5:E27,"&lt;50")</f>
        <v>6</v>
      </c>
      <c r="F34" s="104"/>
      <c r="G34" s="105"/>
      <c r="H34" s="105"/>
      <c r="I34" s="105">
        <f>COUNTIF(I5:I27,"&lt;50")</f>
        <v>8</v>
      </c>
      <c r="J34" s="105"/>
      <c r="K34" s="105"/>
      <c r="L34" s="105"/>
      <c r="M34" s="184">
        <f>COUNTIF(M5:M27,"&lt;50")</f>
        <v>6</v>
      </c>
      <c r="N34" s="105"/>
      <c r="O34" s="105"/>
      <c r="P34" s="105"/>
      <c r="Q34" s="185">
        <f>COUNTIF(Q5:Q27,"&lt;50")</f>
        <v>3</v>
      </c>
      <c r="R34" s="105"/>
      <c r="S34" s="105"/>
      <c r="T34" s="105"/>
      <c r="U34" s="185">
        <f>COUNTIF(U5:U27,"&lt;50")</f>
        <v>2</v>
      </c>
      <c r="V34" s="101"/>
      <c r="W34" s="105"/>
      <c r="X34" s="101"/>
      <c r="Y34" s="185">
        <f>COUNTIF(Y5:Y27,"&lt;50")</f>
        <v>3</v>
      </c>
      <c r="Z34" s="101"/>
      <c r="AA34" s="101"/>
      <c r="AB34" s="101"/>
      <c r="AC34" s="185">
        <f>COUNTIF(AC5:AC27,"&lt;50")</f>
        <v>4</v>
      </c>
      <c r="AD34" s="101"/>
      <c r="AE34" s="101"/>
      <c r="AF34" s="101"/>
      <c r="AG34" s="185">
        <f>COUNTIF(AG5:AG27,"&lt;50")</f>
        <v>0</v>
      </c>
      <c r="AH34" s="101"/>
      <c r="AI34" s="101"/>
      <c r="AJ34" s="101"/>
      <c r="AK34" s="185">
        <f>COUNTIF(AK5:AK27,"&lt;50")</f>
        <v>0</v>
      </c>
      <c r="AL34" s="101"/>
      <c r="AM34" s="101"/>
      <c r="AN34" s="101"/>
      <c r="AO34" s="185">
        <f>COUNTIF(AO5:AO27,"&lt;50")</f>
        <v>2</v>
      </c>
      <c r="AP34" s="101"/>
      <c r="AQ34" s="101"/>
      <c r="AR34" s="106"/>
      <c r="AS34" s="101"/>
      <c r="AT34" s="101"/>
      <c r="AU34" s="101"/>
    </row>
    <row r="35" ht="15.75" customHeight="1">
      <c r="B35" s="31" t="s">
        <v>37</v>
      </c>
      <c r="D35" s="108"/>
      <c r="E35" s="32">
        <f>E33*100/E32</f>
        <v>73.91304348</v>
      </c>
      <c r="F35" s="109"/>
      <c r="G35" s="32"/>
      <c r="H35" s="110"/>
      <c r="I35" s="32">
        <f>I33*100/I32</f>
        <v>65.2173913</v>
      </c>
      <c r="J35" s="110"/>
      <c r="K35" s="32"/>
      <c r="L35" s="110"/>
      <c r="M35" s="186">
        <f>M33*100/M32</f>
        <v>73.91304348</v>
      </c>
      <c r="N35" s="110"/>
      <c r="O35" s="32"/>
      <c r="P35" s="110"/>
      <c r="Q35" s="186">
        <f>Q33*100/Q32</f>
        <v>86.95652174</v>
      </c>
      <c r="R35" s="110"/>
      <c r="S35" s="32"/>
      <c r="T35" s="110"/>
      <c r="U35" s="186">
        <f>U33*100/U32</f>
        <v>91.30434783</v>
      </c>
      <c r="V35" s="31"/>
      <c r="W35" s="32"/>
      <c r="X35" s="31"/>
      <c r="Y35" s="186">
        <f>Y33*100/Y32</f>
        <v>86.95652174</v>
      </c>
      <c r="Z35" s="31"/>
      <c r="AA35" s="31"/>
      <c r="AB35" s="31"/>
      <c r="AC35" s="186">
        <f>AC33*100/AC32</f>
        <v>82.60869565</v>
      </c>
      <c r="AD35" s="31"/>
      <c r="AE35" s="31"/>
      <c r="AF35" s="31"/>
      <c r="AG35" s="186">
        <f>AG33*100/AG32</f>
        <v>100</v>
      </c>
      <c r="AH35" s="31"/>
      <c r="AI35" s="31"/>
      <c r="AJ35" s="31"/>
      <c r="AK35" s="186">
        <f>AK33*100/AK32</f>
        <v>100</v>
      </c>
      <c r="AL35" s="31"/>
      <c r="AM35" s="31"/>
      <c r="AN35" s="31"/>
      <c r="AO35" s="186">
        <f>AO33*100/AO32</f>
        <v>91.30434783</v>
      </c>
      <c r="AP35" s="31"/>
      <c r="AQ35" s="31"/>
      <c r="AR35" s="111"/>
      <c r="AS35" s="31"/>
      <c r="AT35" s="31"/>
      <c r="AU35" s="31"/>
    </row>
    <row r="36" ht="15.75" customHeight="1">
      <c r="C36" s="98"/>
      <c r="D36" s="38"/>
      <c r="E36" s="38"/>
      <c r="F36" s="98"/>
      <c r="G36" s="39"/>
      <c r="H36" s="39"/>
      <c r="I36" s="39"/>
      <c r="J36" s="39"/>
      <c r="K36" s="39"/>
      <c r="L36" s="39"/>
      <c r="M36" s="99"/>
      <c r="N36" s="39"/>
      <c r="O36" s="39"/>
      <c r="P36" s="39"/>
      <c r="Q36" s="39"/>
      <c r="R36" s="39"/>
      <c r="S36" s="39"/>
      <c r="T36" s="39"/>
      <c r="AR36" s="61"/>
    </row>
    <row r="37" ht="15.75" customHeight="1">
      <c r="C37" s="98"/>
      <c r="D37" s="38"/>
      <c r="E37" s="38"/>
      <c r="F37" s="98"/>
      <c r="G37" s="39"/>
      <c r="H37" s="39"/>
      <c r="I37" s="39"/>
      <c r="J37" s="39"/>
      <c r="K37" s="39"/>
      <c r="L37" s="39"/>
      <c r="M37" s="99"/>
      <c r="N37" s="39"/>
      <c r="O37" s="39"/>
      <c r="P37" s="39"/>
      <c r="Q37" s="39"/>
      <c r="R37" s="39"/>
      <c r="S37" s="39"/>
      <c r="T37" s="39"/>
      <c r="AR37" s="61"/>
    </row>
    <row r="38" ht="15.75" customHeight="1">
      <c r="C38" s="98"/>
      <c r="D38" s="38"/>
      <c r="E38" s="38"/>
      <c r="F38" s="98"/>
      <c r="G38" s="39"/>
      <c r="H38" s="39"/>
      <c r="I38" s="39"/>
      <c r="J38" s="39"/>
      <c r="K38" s="39"/>
      <c r="L38" s="39"/>
      <c r="M38" s="99"/>
      <c r="N38" s="39"/>
      <c r="O38" s="39"/>
      <c r="P38" s="39"/>
      <c r="Q38" s="39"/>
      <c r="R38" s="39"/>
      <c r="S38" s="39"/>
      <c r="T38" s="39"/>
      <c r="AR38" s="61"/>
    </row>
    <row r="39" ht="15.75" customHeight="1">
      <c r="A39" s="26" t="s">
        <v>139</v>
      </c>
      <c r="B39" s="26">
        <v>0.0</v>
      </c>
      <c r="C39" s="113" t="s">
        <v>140</v>
      </c>
      <c r="D39" s="38"/>
      <c r="E39" s="38"/>
      <c r="F39" s="98"/>
      <c r="G39" s="39"/>
      <c r="H39" s="39"/>
      <c r="I39" s="39"/>
      <c r="J39" s="39"/>
      <c r="K39" s="39"/>
      <c r="L39" s="39"/>
      <c r="M39" s="99"/>
      <c r="N39" s="39"/>
      <c r="O39" s="39"/>
      <c r="P39" s="39"/>
      <c r="Q39" s="39"/>
      <c r="R39" s="39"/>
      <c r="S39" s="39"/>
      <c r="T39" s="39"/>
      <c r="AR39" s="61"/>
    </row>
    <row r="40" ht="15.75" customHeight="1">
      <c r="A40" s="26" t="s">
        <v>141</v>
      </c>
      <c r="B40" s="26">
        <v>20.0</v>
      </c>
      <c r="C40" s="113" t="s">
        <v>142</v>
      </c>
      <c r="D40" s="38"/>
      <c r="E40" s="38"/>
      <c r="F40" s="98"/>
      <c r="G40" s="39"/>
      <c r="H40" s="39"/>
      <c r="I40" s="39"/>
      <c r="J40" s="39"/>
      <c r="K40" s="39"/>
      <c r="L40" s="39"/>
      <c r="M40" s="99"/>
      <c r="N40" s="39"/>
      <c r="O40" s="39"/>
      <c r="P40" s="39"/>
      <c r="Q40" s="39"/>
      <c r="R40" s="39"/>
      <c r="S40" s="39"/>
      <c r="T40" s="39"/>
      <c r="AR40" s="61"/>
    </row>
    <row r="41" ht="15.75" customHeight="1">
      <c r="A41" s="114" t="s">
        <v>143</v>
      </c>
      <c r="B41" s="115">
        <v>30.0</v>
      </c>
      <c r="C41" s="114" t="s">
        <v>144</v>
      </c>
      <c r="D41" s="38"/>
      <c r="E41" s="38"/>
      <c r="F41" s="98"/>
      <c r="G41" s="39"/>
      <c r="H41" s="39"/>
      <c r="I41" s="39"/>
      <c r="J41" s="39"/>
      <c r="K41" s="39"/>
      <c r="L41" s="39"/>
      <c r="M41" s="99"/>
      <c r="N41" s="39"/>
      <c r="O41" s="39"/>
      <c r="P41" s="39"/>
      <c r="Q41" s="39"/>
      <c r="R41" s="39"/>
      <c r="S41" s="39"/>
      <c r="T41" s="39"/>
      <c r="AR41" s="61"/>
    </row>
    <row r="42" ht="15.75" customHeight="1">
      <c r="A42" s="114" t="s">
        <v>145</v>
      </c>
      <c r="B42" s="115">
        <v>40.0</v>
      </c>
      <c r="C42" s="114" t="s">
        <v>146</v>
      </c>
      <c r="D42" s="38"/>
      <c r="E42" s="38"/>
      <c r="F42" s="98"/>
      <c r="G42" s="39"/>
      <c r="H42" s="39"/>
      <c r="I42" s="39"/>
      <c r="J42" s="39"/>
      <c r="K42" s="39"/>
      <c r="L42" s="39"/>
      <c r="M42" s="99"/>
      <c r="N42" s="39"/>
      <c r="O42" s="39"/>
      <c r="P42" s="39"/>
      <c r="Q42" s="39"/>
      <c r="R42" s="39"/>
      <c r="S42" s="39"/>
      <c r="T42" s="39"/>
      <c r="AR42" s="61"/>
    </row>
    <row r="43" ht="15.75" customHeight="1">
      <c r="A43" s="114" t="s">
        <v>147</v>
      </c>
      <c r="B43" s="115">
        <v>50.0</v>
      </c>
      <c r="C43" s="114" t="s">
        <v>93</v>
      </c>
      <c r="D43" s="38"/>
      <c r="E43" s="38"/>
      <c r="F43" s="98"/>
      <c r="G43" s="39"/>
      <c r="H43" s="39"/>
      <c r="I43" s="39"/>
      <c r="J43" s="39"/>
      <c r="K43" s="39"/>
      <c r="L43" s="39"/>
      <c r="M43" s="99"/>
      <c r="N43" s="39"/>
      <c r="O43" s="39"/>
      <c r="P43" s="39"/>
      <c r="Q43" s="39"/>
      <c r="R43" s="39"/>
      <c r="S43" s="39"/>
      <c r="T43" s="39"/>
      <c r="AR43" s="61"/>
    </row>
    <row r="44" ht="15.75" customHeight="1">
      <c r="A44" s="114" t="s">
        <v>148</v>
      </c>
      <c r="B44" s="115">
        <v>60.0</v>
      </c>
      <c r="C44" s="114" t="s">
        <v>90</v>
      </c>
      <c r="D44" s="38"/>
      <c r="E44" s="38"/>
      <c r="F44" s="98"/>
      <c r="G44" s="39"/>
      <c r="H44" s="39"/>
      <c r="I44" s="39"/>
      <c r="J44" s="39"/>
      <c r="K44" s="39"/>
      <c r="L44" s="39"/>
      <c r="M44" s="99"/>
      <c r="N44" s="39"/>
      <c r="O44" s="39"/>
      <c r="P44" s="39"/>
      <c r="Q44" s="39"/>
      <c r="R44" s="39"/>
      <c r="S44" s="39"/>
      <c r="T44" s="39"/>
      <c r="AR44" s="61"/>
    </row>
    <row r="45" ht="15.75" customHeight="1">
      <c r="A45" s="114" t="s">
        <v>149</v>
      </c>
      <c r="B45" s="115">
        <v>70.0</v>
      </c>
      <c r="C45" s="114" t="s">
        <v>87</v>
      </c>
      <c r="D45" s="38"/>
      <c r="E45" s="38"/>
      <c r="F45" s="98"/>
      <c r="G45" s="39"/>
      <c r="H45" s="39"/>
      <c r="I45" s="39"/>
      <c r="J45" s="39"/>
      <c r="K45" s="39"/>
      <c r="L45" s="39"/>
      <c r="M45" s="99"/>
      <c r="N45" s="39"/>
      <c r="O45" s="39"/>
      <c r="P45" s="39"/>
      <c r="Q45" s="39"/>
      <c r="R45" s="39"/>
      <c r="S45" s="39"/>
      <c r="T45" s="39"/>
      <c r="AR45" s="61"/>
    </row>
    <row r="46" ht="15.75" customHeight="1">
      <c r="A46" s="116" t="s">
        <v>150</v>
      </c>
      <c r="B46" s="117">
        <v>80.0</v>
      </c>
      <c r="C46" s="116" t="s">
        <v>85</v>
      </c>
      <c r="D46" s="38"/>
      <c r="E46" s="38"/>
      <c r="F46" s="98"/>
      <c r="G46" s="39"/>
      <c r="H46" s="39"/>
      <c r="I46" s="39"/>
      <c r="J46" s="39"/>
      <c r="K46" s="39"/>
      <c r="L46" s="39"/>
      <c r="M46" s="99"/>
      <c r="N46" s="39"/>
      <c r="O46" s="39"/>
      <c r="P46" s="39"/>
      <c r="Q46" s="39"/>
      <c r="R46" s="39"/>
      <c r="S46" s="39"/>
      <c r="T46" s="39"/>
      <c r="AR46" s="61"/>
    </row>
    <row r="47" ht="15.75" customHeight="1">
      <c r="A47" s="116" t="s">
        <v>151</v>
      </c>
      <c r="B47" s="117">
        <v>90.0</v>
      </c>
      <c r="C47" s="116" t="s">
        <v>152</v>
      </c>
      <c r="D47" s="38"/>
      <c r="E47" s="38"/>
      <c r="F47" s="98"/>
      <c r="G47" s="39"/>
      <c r="H47" s="39"/>
      <c r="I47" s="39"/>
      <c r="J47" s="39"/>
      <c r="K47" s="39"/>
      <c r="L47" s="39"/>
      <c r="M47" s="99"/>
      <c r="N47" s="39"/>
      <c r="O47" s="39"/>
      <c r="P47" s="39"/>
      <c r="Q47" s="39"/>
      <c r="R47" s="39"/>
      <c r="S47" s="39"/>
      <c r="T47" s="39"/>
      <c r="AR47" s="61"/>
    </row>
    <row r="48" ht="15.75" customHeight="1">
      <c r="C48" s="98"/>
      <c r="D48" s="38"/>
      <c r="E48" s="38"/>
      <c r="F48" s="98"/>
      <c r="G48" s="39"/>
      <c r="H48" s="39"/>
      <c r="I48" s="39"/>
      <c r="J48" s="39"/>
      <c r="K48" s="39"/>
      <c r="L48" s="39"/>
      <c r="M48" s="99"/>
      <c r="N48" s="39"/>
      <c r="O48" s="39"/>
      <c r="P48" s="39"/>
      <c r="Q48" s="39"/>
      <c r="R48" s="39"/>
      <c r="S48" s="39"/>
      <c r="T48" s="39"/>
      <c r="AR48" s="61"/>
    </row>
    <row r="49" ht="15.75" customHeight="1">
      <c r="C49" s="98"/>
      <c r="D49" s="38"/>
      <c r="E49" s="38"/>
      <c r="F49" s="98"/>
      <c r="G49" s="39"/>
      <c r="H49" s="39"/>
      <c r="I49" s="39"/>
      <c r="J49" s="39"/>
      <c r="K49" s="39"/>
      <c r="L49" s="39"/>
      <c r="M49" s="99"/>
      <c r="N49" s="39"/>
      <c r="O49" s="39"/>
      <c r="P49" s="39"/>
      <c r="Q49" s="39"/>
      <c r="R49" s="39"/>
      <c r="S49" s="39"/>
      <c r="T49" s="39"/>
      <c r="AR49" s="61"/>
    </row>
    <row r="50" ht="15.75" customHeight="1">
      <c r="C50" s="98"/>
      <c r="D50" s="38"/>
      <c r="E50" s="38"/>
      <c r="F50" s="98"/>
      <c r="G50" s="39"/>
      <c r="H50" s="39"/>
      <c r="I50" s="39"/>
      <c r="J50" s="39"/>
      <c r="K50" s="39"/>
      <c r="L50" s="39"/>
      <c r="M50" s="99"/>
      <c r="N50" s="39"/>
      <c r="O50" s="39"/>
      <c r="P50" s="39"/>
      <c r="Q50" s="39"/>
      <c r="R50" s="39"/>
      <c r="S50" s="39"/>
      <c r="T50" s="39"/>
      <c r="AR50" s="61"/>
    </row>
    <row r="51" ht="15.75" customHeight="1">
      <c r="C51" s="98"/>
      <c r="D51" s="38"/>
      <c r="E51" s="38"/>
      <c r="F51" s="98"/>
      <c r="G51" s="39"/>
      <c r="H51" s="39"/>
      <c r="I51" s="39"/>
      <c r="J51" s="39"/>
      <c r="K51" s="39"/>
      <c r="L51" s="39"/>
      <c r="M51" s="99"/>
      <c r="N51" s="39"/>
      <c r="O51" s="39"/>
      <c r="P51" s="39"/>
      <c r="Q51" s="39"/>
      <c r="R51" s="39"/>
      <c r="S51" s="39"/>
      <c r="T51" s="39"/>
      <c r="AR51" s="61"/>
    </row>
    <row r="52" ht="15.75" customHeight="1">
      <c r="C52" s="98"/>
      <c r="D52" s="38"/>
      <c r="E52" s="38"/>
      <c r="F52" s="98"/>
      <c r="G52" s="39"/>
      <c r="H52" s="39"/>
      <c r="I52" s="39"/>
      <c r="J52" s="39"/>
      <c r="K52" s="39"/>
      <c r="L52" s="39"/>
      <c r="M52" s="99"/>
      <c r="N52" s="39"/>
      <c r="O52" s="39"/>
      <c r="P52" s="39"/>
      <c r="Q52" s="39"/>
      <c r="R52" s="39"/>
      <c r="S52" s="39"/>
      <c r="T52" s="39"/>
      <c r="AR52" s="61"/>
    </row>
    <row r="53" ht="15.75" customHeight="1">
      <c r="C53" s="98"/>
      <c r="D53" s="38"/>
      <c r="E53" s="38"/>
      <c r="F53" s="98"/>
      <c r="G53" s="39"/>
      <c r="H53" s="39"/>
      <c r="I53" s="39"/>
      <c r="J53" s="39"/>
      <c r="K53" s="39"/>
      <c r="L53" s="39"/>
      <c r="M53" s="99"/>
      <c r="N53" s="39"/>
      <c r="O53" s="39"/>
      <c r="P53" s="39"/>
      <c r="Q53" s="39"/>
      <c r="R53" s="39"/>
      <c r="S53" s="39"/>
      <c r="T53" s="39"/>
      <c r="AR53" s="61"/>
    </row>
    <row r="54" ht="15.75" customHeight="1">
      <c r="C54" s="98"/>
      <c r="D54" s="38"/>
      <c r="E54" s="38"/>
      <c r="F54" s="98"/>
      <c r="G54" s="39"/>
      <c r="H54" s="39"/>
      <c r="I54" s="39"/>
      <c r="J54" s="39"/>
      <c r="K54" s="39"/>
      <c r="L54" s="39"/>
      <c r="M54" s="99"/>
      <c r="N54" s="39"/>
      <c r="O54" s="39"/>
      <c r="P54" s="39"/>
      <c r="Q54" s="39"/>
      <c r="R54" s="39"/>
      <c r="S54" s="39"/>
      <c r="T54" s="39"/>
      <c r="AR54" s="61"/>
    </row>
    <row r="55" ht="15.75" customHeight="1">
      <c r="C55" s="98"/>
      <c r="D55" s="38"/>
      <c r="E55" s="38"/>
      <c r="F55" s="98"/>
      <c r="G55" s="39"/>
      <c r="H55" s="39"/>
      <c r="I55" s="39"/>
      <c r="J55" s="39"/>
      <c r="K55" s="39"/>
      <c r="L55" s="39"/>
      <c r="M55" s="99"/>
      <c r="N55" s="39"/>
      <c r="O55" s="39"/>
      <c r="P55" s="39"/>
      <c r="Q55" s="39"/>
      <c r="R55" s="39"/>
      <c r="S55" s="39"/>
      <c r="T55" s="39"/>
      <c r="AR55" s="61"/>
    </row>
    <row r="56" ht="15.75" customHeight="1">
      <c r="C56" s="98"/>
      <c r="D56" s="38"/>
      <c r="E56" s="38"/>
      <c r="F56" s="98"/>
      <c r="G56" s="39"/>
      <c r="H56" s="39"/>
      <c r="I56" s="39"/>
      <c r="J56" s="39"/>
      <c r="K56" s="39"/>
      <c r="L56" s="39"/>
      <c r="M56" s="99"/>
      <c r="N56" s="39"/>
      <c r="O56" s="39"/>
      <c r="P56" s="39"/>
      <c r="Q56" s="39"/>
      <c r="R56" s="39"/>
      <c r="S56" s="39"/>
      <c r="T56" s="39"/>
      <c r="AR56" s="61"/>
    </row>
    <row r="57" ht="15.75" customHeight="1">
      <c r="C57" s="98"/>
      <c r="D57" s="38"/>
      <c r="E57" s="38"/>
      <c r="F57" s="98"/>
      <c r="G57" s="39"/>
      <c r="H57" s="39"/>
      <c r="I57" s="39"/>
      <c r="J57" s="39"/>
      <c r="K57" s="39"/>
      <c r="L57" s="39"/>
      <c r="M57" s="99"/>
      <c r="N57" s="39"/>
      <c r="O57" s="39"/>
      <c r="P57" s="39"/>
      <c r="Q57" s="39"/>
      <c r="R57" s="39"/>
      <c r="S57" s="39"/>
      <c r="T57" s="39"/>
      <c r="AR57" s="61"/>
    </row>
    <row r="58" ht="15.75" customHeight="1">
      <c r="C58" s="98"/>
      <c r="D58" s="38"/>
      <c r="E58" s="38"/>
      <c r="F58" s="98"/>
      <c r="G58" s="39"/>
      <c r="H58" s="39"/>
      <c r="I58" s="39"/>
      <c r="J58" s="39"/>
      <c r="K58" s="39"/>
      <c r="L58" s="39"/>
      <c r="M58" s="99"/>
      <c r="N58" s="39"/>
      <c r="O58" s="39"/>
      <c r="P58" s="39"/>
      <c r="Q58" s="39"/>
      <c r="R58" s="39"/>
      <c r="S58" s="39"/>
      <c r="T58" s="39"/>
      <c r="AR58" s="61"/>
    </row>
    <row r="59" ht="15.75" customHeight="1">
      <c r="C59" s="98"/>
      <c r="D59" s="38"/>
      <c r="E59" s="38"/>
      <c r="F59" s="98"/>
      <c r="G59" s="39"/>
      <c r="H59" s="39"/>
      <c r="I59" s="39"/>
      <c r="J59" s="39"/>
      <c r="K59" s="39"/>
      <c r="L59" s="39"/>
      <c r="M59" s="99"/>
      <c r="N59" s="39"/>
      <c r="O59" s="39"/>
      <c r="P59" s="39"/>
      <c r="Q59" s="39"/>
      <c r="R59" s="39"/>
      <c r="S59" s="39"/>
      <c r="T59" s="39"/>
      <c r="AR59" s="61"/>
    </row>
    <row r="60" ht="15.75" customHeight="1">
      <c r="C60" s="98"/>
      <c r="D60" s="38"/>
      <c r="E60" s="38"/>
      <c r="F60" s="98"/>
      <c r="G60" s="39"/>
      <c r="H60" s="39"/>
      <c r="I60" s="39"/>
      <c r="J60" s="39"/>
      <c r="K60" s="39"/>
      <c r="L60" s="39"/>
      <c r="M60" s="99"/>
      <c r="N60" s="39"/>
      <c r="O60" s="39"/>
      <c r="P60" s="39"/>
      <c r="Q60" s="39"/>
      <c r="R60" s="39"/>
      <c r="S60" s="39"/>
      <c r="T60" s="39"/>
      <c r="AR60" s="61"/>
    </row>
    <row r="61" ht="15.75" customHeight="1">
      <c r="C61" s="98"/>
      <c r="D61" s="38"/>
      <c r="E61" s="38"/>
      <c r="F61" s="98"/>
      <c r="G61" s="39"/>
      <c r="H61" s="39"/>
      <c r="I61" s="39"/>
      <c r="J61" s="39"/>
      <c r="K61" s="39"/>
      <c r="L61" s="39"/>
      <c r="M61" s="99"/>
      <c r="N61" s="39"/>
      <c r="O61" s="39"/>
      <c r="P61" s="39"/>
      <c r="Q61" s="39"/>
      <c r="R61" s="39"/>
      <c r="S61" s="39"/>
      <c r="T61" s="39"/>
      <c r="AR61" s="61"/>
    </row>
    <row r="62" ht="15.75" customHeight="1">
      <c r="C62" s="98"/>
      <c r="D62" s="38"/>
      <c r="E62" s="38"/>
      <c r="F62" s="98"/>
      <c r="G62" s="39"/>
      <c r="H62" s="39"/>
      <c r="I62" s="39"/>
      <c r="J62" s="39"/>
      <c r="K62" s="39"/>
      <c r="L62" s="39"/>
      <c r="M62" s="99"/>
      <c r="N62" s="39"/>
      <c r="O62" s="39"/>
      <c r="P62" s="39"/>
      <c r="Q62" s="39"/>
      <c r="R62" s="39"/>
      <c r="S62" s="39"/>
      <c r="T62" s="39"/>
      <c r="AR62" s="61"/>
    </row>
    <row r="63" ht="15.75" customHeight="1">
      <c r="C63" s="98"/>
      <c r="D63" s="38"/>
      <c r="E63" s="38"/>
      <c r="F63" s="98"/>
      <c r="G63" s="39"/>
      <c r="H63" s="39"/>
      <c r="I63" s="39"/>
      <c r="J63" s="39"/>
      <c r="K63" s="39"/>
      <c r="L63" s="39"/>
      <c r="M63" s="99"/>
      <c r="N63" s="39"/>
      <c r="O63" s="39"/>
      <c r="P63" s="39"/>
      <c r="Q63" s="39"/>
      <c r="R63" s="39"/>
      <c r="S63" s="39"/>
      <c r="T63" s="39"/>
      <c r="AR63" s="61"/>
    </row>
    <row r="64" ht="15.75" customHeight="1">
      <c r="C64" s="98"/>
      <c r="D64" s="38"/>
      <c r="E64" s="38"/>
      <c r="F64" s="98"/>
      <c r="G64" s="39"/>
      <c r="H64" s="39"/>
      <c r="I64" s="39"/>
      <c r="J64" s="39"/>
      <c r="K64" s="39"/>
      <c r="L64" s="39"/>
      <c r="M64" s="99"/>
      <c r="N64" s="39"/>
      <c r="O64" s="39"/>
      <c r="P64" s="39"/>
      <c r="Q64" s="39"/>
      <c r="R64" s="39"/>
      <c r="S64" s="39"/>
      <c r="T64" s="39"/>
      <c r="AR64" s="61"/>
    </row>
    <row r="65" ht="15.75" customHeight="1">
      <c r="C65" s="98"/>
      <c r="D65" s="38"/>
      <c r="E65" s="38"/>
      <c r="F65" s="98"/>
      <c r="G65" s="39"/>
      <c r="H65" s="39"/>
      <c r="I65" s="39"/>
      <c r="J65" s="39"/>
      <c r="K65" s="39"/>
      <c r="L65" s="39"/>
      <c r="M65" s="99"/>
      <c r="N65" s="39"/>
      <c r="O65" s="39"/>
      <c r="P65" s="39"/>
      <c r="Q65" s="39"/>
      <c r="R65" s="39"/>
      <c r="S65" s="39"/>
      <c r="T65" s="39"/>
      <c r="AR65" s="61"/>
    </row>
    <row r="66" ht="15.75" customHeight="1">
      <c r="C66" s="98"/>
      <c r="D66" s="38"/>
      <c r="E66" s="38"/>
      <c r="F66" s="98"/>
      <c r="G66" s="39"/>
      <c r="H66" s="39"/>
      <c r="I66" s="39"/>
      <c r="J66" s="39"/>
      <c r="K66" s="39"/>
      <c r="L66" s="39"/>
      <c r="M66" s="99"/>
      <c r="N66" s="39"/>
      <c r="O66" s="39"/>
      <c r="P66" s="39"/>
      <c r="Q66" s="39"/>
      <c r="R66" s="39"/>
      <c r="S66" s="39"/>
      <c r="T66" s="39"/>
      <c r="AR66" s="61"/>
    </row>
    <row r="67" ht="15.75" customHeight="1">
      <c r="C67" s="98"/>
      <c r="D67" s="38"/>
      <c r="E67" s="38"/>
      <c r="F67" s="98"/>
      <c r="G67" s="39"/>
      <c r="H67" s="39"/>
      <c r="I67" s="39"/>
      <c r="J67" s="39"/>
      <c r="K67" s="39"/>
      <c r="L67" s="39"/>
      <c r="M67" s="99"/>
      <c r="N67" s="39"/>
      <c r="O67" s="39"/>
      <c r="P67" s="39"/>
      <c r="Q67" s="39"/>
      <c r="R67" s="39"/>
      <c r="S67" s="39"/>
      <c r="T67" s="39"/>
      <c r="AR67" s="61"/>
    </row>
    <row r="68" ht="15.75" customHeight="1">
      <c r="C68" s="98"/>
      <c r="D68" s="38"/>
      <c r="E68" s="38"/>
      <c r="F68" s="98"/>
      <c r="G68" s="39"/>
      <c r="H68" s="39"/>
      <c r="I68" s="39"/>
      <c r="J68" s="39"/>
      <c r="K68" s="39"/>
      <c r="L68" s="39"/>
      <c r="M68" s="99"/>
      <c r="N68" s="39"/>
      <c r="O68" s="39"/>
      <c r="P68" s="39"/>
      <c r="Q68" s="39"/>
      <c r="R68" s="39"/>
      <c r="S68" s="39"/>
      <c r="T68" s="39"/>
      <c r="AR68" s="61"/>
    </row>
    <row r="69" ht="15.75" customHeight="1">
      <c r="C69" s="98"/>
      <c r="D69" s="38"/>
      <c r="E69" s="38"/>
      <c r="F69" s="98"/>
      <c r="G69" s="39"/>
      <c r="H69" s="39"/>
      <c r="I69" s="39"/>
      <c r="J69" s="39"/>
      <c r="K69" s="39"/>
      <c r="L69" s="39"/>
      <c r="M69" s="99"/>
      <c r="N69" s="39"/>
      <c r="O69" s="39"/>
      <c r="P69" s="39"/>
      <c r="Q69" s="39"/>
      <c r="R69" s="39"/>
      <c r="S69" s="39"/>
      <c r="T69" s="39"/>
      <c r="AR69" s="61"/>
    </row>
    <row r="70" ht="15.75" customHeight="1">
      <c r="C70" s="98"/>
      <c r="D70" s="38"/>
      <c r="E70" s="38"/>
      <c r="F70" s="98"/>
      <c r="G70" s="39"/>
      <c r="H70" s="39"/>
      <c r="I70" s="39"/>
      <c r="J70" s="39"/>
      <c r="K70" s="39"/>
      <c r="L70" s="39"/>
      <c r="M70" s="99"/>
      <c r="N70" s="39"/>
      <c r="O70" s="39"/>
      <c r="P70" s="39"/>
      <c r="Q70" s="39"/>
      <c r="R70" s="39"/>
      <c r="S70" s="39"/>
      <c r="T70" s="39"/>
      <c r="AR70" s="61"/>
    </row>
    <row r="71" ht="15.75" customHeight="1">
      <c r="C71" s="98"/>
      <c r="D71" s="38"/>
      <c r="E71" s="38"/>
      <c r="F71" s="98"/>
      <c r="G71" s="39"/>
      <c r="H71" s="39"/>
      <c r="I71" s="39"/>
      <c r="J71" s="39"/>
      <c r="K71" s="39"/>
      <c r="L71" s="39"/>
      <c r="M71" s="99"/>
      <c r="N71" s="39"/>
      <c r="O71" s="39"/>
      <c r="P71" s="39"/>
      <c r="Q71" s="39"/>
      <c r="R71" s="39"/>
      <c r="S71" s="39"/>
      <c r="T71" s="39"/>
      <c r="AR71" s="61"/>
    </row>
    <row r="72" ht="15.75" customHeight="1">
      <c r="C72" s="98"/>
      <c r="D72" s="38"/>
      <c r="E72" s="38"/>
      <c r="F72" s="98"/>
      <c r="G72" s="39"/>
      <c r="H72" s="39"/>
      <c r="I72" s="39"/>
      <c r="J72" s="39"/>
      <c r="K72" s="39"/>
      <c r="L72" s="39"/>
      <c r="M72" s="99"/>
      <c r="N72" s="39"/>
      <c r="O72" s="39"/>
      <c r="P72" s="39"/>
      <c r="Q72" s="39"/>
      <c r="R72" s="39"/>
      <c r="S72" s="39"/>
      <c r="T72" s="39"/>
      <c r="AR72" s="61"/>
    </row>
    <row r="73" ht="15.75" customHeight="1">
      <c r="C73" s="98"/>
      <c r="D73" s="38"/>
      <c r="E73" s="38"/>
      <c r="F73" s="98"/>
      <c r="G73" s="39"/>
      <c r="H73" s="39"/>
      <c r="I73" s="39"/>
      <c r="J73" s="39"/>
      <c r="K73" s="39"/>
      <c r="L73" s="39"/>
      <c r="M73" s="99"/>
      <c r="N73" s="39"/>
      <c r="O73" s="39"/>
      <c r="P73" s="39"/>
      <c r="Q73" s="39"/>
      <c r="R73" s="39"/>
      <c r="S73" s="39"/>
      <c r="T73" s="39"/>
      <c r="AR73" s="61"/>
    </row>
    <row r="74" ht="15.75" customHeight="1">
      <c r="C74" s="98"/>
      <c r="D74" s="38"/>
      <c r="E74" s="38"/>
      <c r="F74" s="98"/>
      <c r="G74" s="39"/>
      <c r="H74" s="39"/>
      <c r="I74" s="39"/>
      <c r="J74" s="39"/>
      <c r="K74" s="39"/>
      <c r="L74" s="39"/>
      <c r="M74" s="99"/>
      <c r="N74" s="39"/>
      <c r="O74" s="39"/>
      <c r="P74" s="39"/>
      <c r="Q74" s="39"/>
      <c r="R74" s="39"/>
      <c r="S74" s="39"/>
      <c r="T74" s="39"/>
      <c r="AR74" s="61"/>
    </row>
    <row r="75" ht="15.75" customHeight="1">
      <c r="C75" s="98"/>
      <c r="D75" s="38"/>
      <c r="E75" s="38"/>
      <c r="F75" s="98"/>
      <c r="G75" s="39"/>
      <c r="H75" s="39"/>
      <c r="I75" s="39"/>
      <c r="J75" s="39"/>
      <c r="K75" s="39"/>
      <c r="L75" s="39"/>
      <c r="M75" s="99"/>
      <c r="N75" s="39"/>
      <c r="O75" s="39"/>
      <c r="P75" s="39"/>
      <c r="Q75" s="39"/>
      <c r="R75" s="39"/>
      <c r="S75" s="39"/>
      <c r="T75" s="39"/>
      <c r="AR75" s="61"/>
    </row>
    <row r="76" ht="15.75" customHeight="1">
      <c r="C76" s="98"/>
      <c r="D76" s="38"/>
      <c r="E76" s="38"/>
      <c r="F76" s="98"/>
      <c r="G76" s="39"/>
      <c r="H76" s="39"/>
      <c r="I76" s="39"/>
      <c r="J76" s="39"/>
      <c r="K76" s="39"/>
      <c r="L76" s="39"/>
      <c r="M76" s="99"/>
      <c r="N76" s="39"/>
      <c r="O76" s="39"/>
      <c r="P76" s="39"/>
      <c r="Q76" s="39"/>
      <c r="R76" s="39"/>
      <c r="S76" s="39"/>
      <c r="T76" s="39"/>
      <c r="AR76" s="61"/>
    </row>
    <row r="77" ht="15.75" customHeight="1">
      <c r="C77" s="98"/>
      <c r="D77" s="38"/>
      <c r="E77" s="38"/>
      <c r="F77" s="98"/>
      <c r="G77" s="39"/>
      <c r="H77" s="39"/>
      <c r="I77" s="39"/>
      <c r="J77" s="39"/>
      <c r="K77" s="39"/>
      <c r="L77" s="39"/>
      <c r="M77" s="99"/>
      <c r="N77" s="39"/>
      <c r="O77" s="39"/>
      <c r="P77" s="39"/>
      <c r="Q77" s="39"/>
      <c r="R77" s="39"/>
      <c r="S77" s="39"/>
      <c r="T77" s="39"/>
      <c r="AR77" s="61"/>
    </row>
    <row r="78" ht="15.75" customHeight="1">
      <c r="C78" s="98"/>
      <c r="D78" s="38"/>
      <c r="E78" s="38"/>
      <c r="F78" s="98"/>
      <c r="G78" s="39"/>
      <c r="H78" s="39"/>
      <c r="I78" s="39"/>
      <c r="J78" s="39"/>
      <c r="K78" s="39"/>
      <c r="L78" s="39"/>
      <c r="M78" s="99"/>
      <c r="N78" s="39"/>
      <c r="O78" s="39"/>
      <c r="P78" s="39"/>
      <c r="Q78" s="39"/>
      <c r="R78" s="39"/>
      <c r="S78" s="39"/>
      <c r="T78" s="39"/>
      <c r="AR78" s="61"/>
    </row>
    <row r="79" ht="15.75" customHeight="1">
      <c r="C79" s="98"/>
      <c r="D79" s="38"/>
      <c r="E79" s="38"/>
      <c r="F79" s="98"/>
      <c r="G79" s="39"/>
      <c r="H79" s="39"/>
      <c r="I79" s="39"/>
      <c r="J79" s="39"/>
      <c r="K79" s="39"/>
      <c r="L79" s="39"/>
      <c r="M79" s="99"/>
      <c r="N79" s="39"/>
      <c r="O79" s="39"/>
      <c r="P79" s="39"/>
      <c r="Q79" s="39"/>
      <c r="R79" s="39"/>
      <c r="S79" s="39"/>
      <c r="T79" s="39"/>
      <c r="AR79" s="61"/>
    </row>
    <row r="80" ht="15.75" customHeight="1">
      <c r="C80" s="98"/>
      <c r="D80" s="38"/>
      <c r="E80" s="38"/>
      <c r="F80" s="98"/>
      <c r="G80" s="39"/>
      <c r="H80" s="39"/>
      <c r="I80" s="39"/>
      <c r="J80" s="39"/>
      <c r="K80" s="39"/>
      <c r="L80" s="39"/>
      <c r="M80" s="99"/>
      <c r="N80" s="39"/>
      <c r="O80" s="39"/>
      <c r="P80" s="39"/>
      <c r="Q80" s="39"/>
      <c r="R80" s="39"/>
      <c r="S80" s="39"/>
      <c r="T80" s="39"/>
      <c r="AR80" s="61"/>
    </row>
    <row r="81" ht="15.75" customHeight="1">
      <c r="C81" s="98"/>
      <c r="D81" s="38"/>
      <c r="E81" s="38"/>
      <c r="F81" s="98"/>
      <c r="G81" s="39"/>
      <c r="H81" s="39"/>
      <c r="I81" s="39"/>
      <c r="J81" s="39"/>
      <c r="K81" s="39"/>
      <c r="L81" s="39"/>
      <c r="M81" s="99"/>
      <c r="N81" s="39"/>
      <c r="O81" s="39"/>
      <c r="P81" s="39"/>
      <c r="Q81" s="39"/>
      <c r="R81" s="39"/>
      <c r="S81" s="39"/>
      <c r="T81" s="39"/>
      <c r="AR81" s="61"/>
    </row>
    <row r="82" ht="15.75" customHeight="1">
      <c r="C82" s="98"/>
      <c r="D82" s="38"/>
      <c r="E82" s="38"/>
      <c r="F82" s="98"/>
      <c r="G82" s="39"/>
      <c r="H82" s="39"/>
      <c r="I82" s="39"/>
      <c r="J82" s="39"/>
      <c r="K82" s="39"/>
      <c r="L82" s="39"/>
      <c r="M82" s="99"/>
      <c r="N82" s="39"/>
      <c r="O82" s="39"/>
      <c r="P82" s="39"/>
      <c r="Q82" s="39"/>
      <c r="R82" s="39"/>
      <c r="S82" s="39"/>
      <c r="T82" s="39"/>
      <c r="AR82" s="61"/>
    </row>
    <row r="83" ht="15.75" customHeight="1">
      <c r="C83" s="98"/>
      <c r="D83" s="38"/>
      <c r="E83" s="38"/>
      <c r="F83" s="98"/>
      <c r="G83" s="39"/>
      <c r="H83" s="39"/>
      <c r="I83" s="39"/>
      <c r="J83" s="39"/>
      <c r="K83" s="39"/>
      <c r="L83" s="39"/>
      <c r="M83" s="99"/>
      <c r="N83" s="39"/>
      <c r="O83" s="39"/>
      <c r="P83" s="39"/>
      <c r="Q83" s="39"/>
      <c r="R83" s="39"/>
      <c r="S83" s="39"/>
      <c r="T83" s="39"/>
      <c r="AR83" s="61"/>
    </row>
    <row r="84" ht="15.75" customHeight="1">
      <c r="C84" s="98"/>
      <c r="D84" s="38"/>
      <c r="E84" s="38"/>
      <c r="F84" s="98"/>
      <c r="G84" s="39"/>
      <c r="H84" s="39"/>
      <c r="I84" s="39"/>
      <c r="J84" s="39"/>
      <c r="K84" s="39"/>
      <c r="L84" s="39"/>
      <c r="M84" s="99"/>
      <c r="N84" s="39"/>
      <c r="O84" s="39"/>
      <c r="P84" s="39"/>
      <c r="Q84" s="39"/>
      <c r="R84" s="39"/>
      <c r="S84" s="39"/>
      <c r="T84" s="39"/>
      <c r="AR84" s="61"/>
    </row>
    <row r="85" ht="15.75" customHeight="1">
      <c r="C85" s="98"/>
      <c r="D85" s="38"/>
      <c r="E85" s="38"/>
      <c r="F85" s="98"/>
      <c r="G85" s="39"/>
      <c r="H85" s="39"/>
      <c r="I85" s="39"/>
      <c r="J85" s="39"/>
      <c r="K85" s="39"/>
      <c r="L85" s="39"/>
      <c r="M85" s="99"/>
      <c r="N85" s="39"/>
      <c r="O85" s="39"/>
      <c r="P85" s="39"/>
      <c r="Q85" s="39"/>
      <c r="R85" s="39"/>
      <c r="S85" s="39"/>
      <c r="T85" s="39"/>
      <c r="AR85" s="61"/>
    </row>
    <row r="86" ht="15.75" customHeight="1">
      <c r="C86" s="98"/>
      <c r="D86" s="38"/>
      <c r="E86" s="38"/>
      <c r="F86" s="98"/>
      <c r="G86" s="39"/>
      <c r="H86" s="39"/>
      <c r="I86" s="39"/>
      <c r="J86" s="39"/>
      <c r="K86" s="39"/>
      <c r="L86" s="39"/>
      <c r="M86" s="99"/>
      <c r="N86" s="39"/>
      <c r="O86" s="39"/>
      <c r="P86" s="39"/>
      <c r="Q86" s="39"/>
      <c r="R86" s="39"/>
      <c r="S86" s="39"/>
      <c r="T86" s="39"/>
      <c r="AR86" s="61"/>
    </row>
    <row r="87" ht="15.75" customHeight="1">
      <c r="C87" s="98"/>
      <c r="D87" s="38"/>
      <c r="E87" s="38"/>
      <c r="F87" s="98"/>
      <c r="G87" s="39"/>
      <c r="H87" s="39"/>
      <c r="I87" s="39"/>
      <c r="J87" s="39"/>
      <c r="K87" s="39"/>
      <c r="L87" s="39"/>
      <c r="M87" s="99"/>
      <c r="N87" s="39"/>
      <c r="O87" s="39"/>
      <c r="P87" s="39"/>
      <c r="Q87" s="39"/>
      <c r="R87" s="39"/>
      <c r="S87" s="39"/>
      <c r="T87" s="39"/>
      <c r="AR87" s="61"/>
    </row>
    <row r="88" ht="15.75" customHeight="1">
      <c r="C88" s="98"/>
      <c r="D88" s="38"/>
      <c r="E88" s="38"/>
      <c r="F88" s="98"/>
      <c r="G88" s="39"/>
      <c r="H88" s="39"/>
      <c r="I88" s="39"/>
      <c r="J88" s="39"/>
      <c r="K88" s="39"/>
      <c r="L88" s="39"/>
      <c r="M88" s="99"/>
      <c r="N88" s="39"/>
      <c r="O88" s="39"/>
      <c r="P88" s="39"/>
      <c r="Q88" s="39"/>
      <c r="R88" s="39"/>
      <c r="S88" s="39"/>
      <c r="T88" s="39"/>
      <c r="AR88" s="61"/>
    </row>
    <row r="89" ht="15.75" customHeight="1">
      <c r="C89" s="98"/>
      <c r="D89" s="38"/>
      <c r="E89" s="38"/>
      <c r="F89" s="98"/>
      <c r="G89" s="39"/>
      <c r="H89" s="39"/>
      <c r="I89" s="39"/>
      <c r="J89" s="39"/>
      <c r="K89" s="39"/>
      <c r="L89" s="39"/>
      <c r="M89" s="99"/>
      <c r="N89" s="39"/>
      <c r="O89" s="39"/>
      <c r="P89" s="39"/>
      <c r="Q89" s="39"/>
      <c r="R89" s="39"/>
      <c r="S89" s="39"/>
      <c r="T89" s="39"/>
      <c r="AR89" s="61"/>
    </row>
    <row r="90" ht="15.75" customHeight="1">
      <c r="C90" s="98"/>
      <c r="D90" s="38"/>
      <c r="E90" s="38"/>
      <c r="F90" s="98"/>
      <c r="G90" s="39"/>
      <c r="H90" s="39"/>
      <c r="I90" s="39"/>
      <c r="J90" s="39"/>
      <c r="K90" s="39"/>
      <c r="L90" s="39"/>
      <c r="M90" s="99"/>
      <c r="N90" s="39"/>
      <c r="O90" s="39"/>
      <c r="P90" s="39"/>
      <c r="Q90" s="39"/>
      <c r="R90" s="39"/>
      <c r="S90" s="39"/>
      <c r="T90" s="39"/>
      <c r="AR90" s="61"/>
    </row>
    <row r="91" ht="15.75" customHeight="1">
      <c r="C91" s="98"/>
      <c r="D91" s="38"/>
      <c r="E91" s="38"/>
      <c r="F91" s="98"/>
      <c r="G91" s="39"/>
      <c r="H91" s="39"/>
      <c r="I91" s="39"/>
      <c r="J91" s="39"/>
      <c r="K91" s="39"/>
      <c r="L91" s="39"/>
      <c r="M91" s="99"/>
      <c r="N91" s="39"/>
      <c r="O91" s="39"/>
      <c r="P91" s="39"/>
      <c r="Q91" s="39"/>
      <c r="R91" s="39"/>
      <c r="S91" s="39"/>
      <c r="T91" s="39"/>
      <c r="AR91" s="61"/>
    </row>
    <row r="92" ht="15.75" customHeight="1">
      <c r="C92" s="98"/>
      <c r="D92" s="38"/>
      <c r="E92" s="38"/>
      <c r="F92" s="98"/>
      <c r="G92" s="39"/>
      <c r="H92" s="39"/>
      <c r="I92" s="39"/>
      <c r="J92" s="39"/>
      <c r="K92" s="39"/>
      <c r="L92" s="39"/>
      <c r="M92" s="99"/>
      <c r="N92" s="39"/>
      <c r="O92" s="39"/>
      <c r="P92" s="39"/>
      <c r="Q92" s="39"/>
      <c r="R92" s="39"/>
      <c r="S92" s="39"/>
      <c r="T92" s="39"/>
      <c r="AR92" s="61"/>
    </row>
    <row r="93" ht="15.75" customHeight="1">
      <c r="C93" s="98"/>
      <c r="D93" s="38"/>
      <c r="E93" s="38"/>
      <c r="F93" s="98"/>
      <c r="G93" s="39"/>
      <c r="H93" s="39"/>
      <c r="I93" s="39"/>
      <c r="J93" s="39"/>
      <c r="K93" s="39"/>
      <c r="L93" s="39"/>
      <c r="M93" s="99"/>
      <c r="N93" s="39"/>
      <c r="O93" s="39"/>
      <c r="P93" s="39"/>
      <c r="Q93" s="39"/>
      <c r="R93" s="39"/>
      <c r="S93" s="39"/>
      <c r="T93" s="39"/>
      <c r="AR93" s="61"/>
    </row>
    <row r="94" ht="15.75" customHeight="1">
      <c r="C94" s="98"/>
      <c r="D94" s="38"/>
      <c r="E94" s="38"/>
      <c r="F94" s="98"/>
      <c r="G94" s="39"/>
      <c r="H94" s="39"/>
      <c r="I94" s="39"/>
      <c r="J94" s="39"/>
      <c r="K94" s="39"/>
      <c r="L94" s="39"/>
      <c r="M94" s="99"/>
      <c r="N94" s="39"/>
      <c r="O94" s="39"/>
      <c r="P94" s="39"/>
      <c r="Q94" s="39"/>
      <c r="R94" s="39"/>
      <c r="S94" s="39"/>
      <c r="T94" s="39"/>
      <c r="AR94" s="61"/>
    </row>
    <row r="95" ht="15.75" customHeight="1">
      <c r="C95" s="98"/>
      <c r="D95" s="38"/>
      <c r="E95" s="38"/>
      <c r="F95" s="98"/>
      <c r="G95" s="39"/>
      <c r="H95" s="39"/>
      <c r="I95" s="39"/>
      <c r="J95" s="39"/>
      <c r="K95" s="39"/>
      <c r="L95" s="39"/>
      <c r="M95" s="99"/>
      <c r="N95" s="39"/>
      <c r="O95" s="39"/>
      <c r="P95" s="39"/>
      <c r="Q95" s="39"/>
      <c r="R95" s="39"/>
      <c r="S95" s="39"/>
      <c r="T95" s="39"/>
      <c r="AR95" s="61"/>
    </row>
    <row r="96" ht="15.75" customHeight="1">
      <c r="C96" s="98"/>
      <c r="D96" s="38"/>
      <c r="E96" s="38"/>
      <c r="F96" s="98"/>
      <c r="G96" s="39"/>
      <c r="H96" s="39"/>
      <c r="I96" s="39"/>
      <c r="J96" s="39"/>
      <c r="K96" s="39"/>
      <c r="L96" s="39"/>
      <c r="M96" s="99"/>
      <c r="N96" s="39"/>
      <c r="O96" s="39"/>
      <c r="P96" s="39"/>
      <c r="Q96" s="39"/>
      <c r="R96" s="39"/>
      <c r="S96" s="39"/>
      <c r="T96" s="39"/>
      <c r="AR96" s="61"/>
    </row>
    <row r="97" ht="15.75" customHeight="1">
      <c r="C97" s="98"/>
      <c r="D97" s="38"/>
      <c r="E97" s="38"/>
      <c r="F97" s="98"/>
      <c r="G97" s="39"/>
      <c r="H97" s="39"/>
      <c r="I97" s="39"/>
      <c r="J97" s="39"/>
      <c r="K97" s="39"/>
      <c r="L97" s="39"/>
      <c r="M97" s="99"/>
      <c r="N97" s="39"/>
      <c r="O97" s="39"/>
      <c r="P97" s="39"/>
      <c r="Q97" s="39"/>
      <c r="R97" s="39"/>
      <c r="S97" s="39"/>
      <c r="T97" s="39"/>
      <c r="AR97" s="61"/>
    </row>
    <row r="98" ht="15.75" customHeight="1">
      <c r="C98" s="98"/>
      <c r="D98" s="38"/>
      <c r="E98" s="38"/>
      <c r="F98" s="98"/>
      <c r="G98" s="39"/>
      <c r="H98" s="39"/>
      <c r="I98" s="39"/>
      <c r="J98" s="39"/>
      <c r="K98" s="39"/>
      <c r="L98" s="39"/>
      <c r="M98" s="99"/>
      <c r="N98" s="39"/>
      <c r="O98" s="39"/>
      <c r="P98" s="39"/>
      <c r="Q98" s="39"/>
      <c r="R98" s="39"/>
      <c r="S98" s="39"/>
      <c r="T98" s="39"/>
      <c r="AR98" s="61"/>
    </row>
    <row r="99" ht="15.75" customHeight="1">
      <c r="C99" s="98"/>
      <c r="D99" s="38"/>
      <c r="E99" s="38"/>
      <c r="F99" s="98"/>
      <c r="G99" s="39"/>
      <c r="H99" s="39"/>
      <c r="I99" s="39"/>
      <c r="J99" s="39"/>
      <c r="K99" s="39"/>
      <c r="L99" s="39"/>
      <c r="M99" s="99"/>
      <c r="N99" s="39"/>
      <c r="O99" s="39"/>
      <c r="P99" s="39"/>
      <c r="Q99" s="39"/>
      <c r="R99" s="39"/>
      <c r="S99" s="39"/>
      <c r="T99" s="39"/>
      <c r="AR99" s="61"/>
    </row>
    <row r="100" ht="15.75" customHeight="1">
      <c r="C100" s="98"/>
      <c r="D100" s="38"/>
      <c r="E100" s="38"/>
      <c r="F100" s="98"/>
      <c r="G100" s="39"/>
      <c r="H100" s="39"/>
      <c r="I100" s="39"/>
      <c r="J100" s="39"/>
      <c r="K100" s="39"/>
      <c r="L100" s="39"/>
      <c r="M100" s="99"/>
      <c r="N100" s="39"/>
      <c r="O100" s="39"/>
      <c r="P100" s="39"/>
      <c r="Q100" s="39"/>
      <c r="R100" s="39"/>
      <c r="S100" s="39"/>
      <c r="T100" s="39"/>
      <c r="AR100" s="61"/>
    </row>
    <row r="101" ht="15.75" customHeight="1">
      <c r="C101" s="98"/>
      <c r="D101" s="38"/>
      <c r="E101" s="38"/>
      <c r="F101" s="98"/>
      <c r="G101" s="39"/>
      <c r="H101" s="39"/>
      <c r="I101" s="39"/>
      <c r="J101" s="39"/>
      <c r="K101" s="39"/>
      <c r="L101" s="39"/>
      <c r="M101" s="99"/>
      <c r="N101" s="39"/>
      <c r="O101" s="39"/>
      <c r="P101" s="39"/>
      <c r="Q101" s="39"/>
      <c r="R101" s="39"/>
      <c r="S101" s="39"/>
      <c r="T101" s="39"/>
      <c r="AR101" s="61"/>
    </row>
    <row r="102" ht="15.75" customHeight="1">
      <c r="C102" s="98"/>
      <c r="D102" s="38"/>
      <c r="E102" s="38"/>
      <c r="F102" s="98"/>
      <c r="G102" s="39"/>
      <c r="H102" s="39"/>
      <c r="I102" s="39"/>
      <c r="J102" s="39"/>
      <c r="K102" s="39"/>
      <c r="L102" s="39"/>
      <c r="M102" s="99"/>
      <c r="N102" s="39"/>
      <c r="O102" s="39"/>
      <c r="P102" s="39"/>
      <c r="Q102" s="39"/>
      <c r="R102" s="39"/>
      <c r="S102" s="39"/>
      <c r="T102" s="39"/>
      <c r="AR102" s="61"/>
    </row>
    <row r="103" ht="15.75" customHeight="1">
      <c r="C103" s="98"/>
      <c r="D103" s="38"/>
      <c r="E103" s="38"/>
      <c r="F103" s="98"/>
      <c r="G103" s="39"/>
      <c r="H103" s="39"/>
      <c r="I103" s="39"/>
      <c r="J103" s="39"/>
      <c r="K103" s="39"/>
      <c r="L103" s="39"/>
      <c r="M103" s="99"/>
      <c r="N103" s="39"/>
      <c r="O103" s="39"/>
      <c r="P103" s="39"/>
      <c r="Q103" s="39"/>
      <c r="R103" s="39"/>
      <c r="S103" s="39"/>
      <c r="T103" s="39"/>
      <c r="AR103" s="61"/>
    </row>
    <row r="104" ht="15.75" customHeight="1">
      <c r="C104" s="98"/>
      <c r="D104" s="38"/>
      <c r="E104" s="38"/>
      <c r="F104" s="98"/>
      <c r="G104" s="39"/>
      <c r="H104" s="39"/>
      <c r="I104" s="39"/>
      <c r="J104" s="39"/>
      <c r="K104" s="39"/>
      <c r="L104" s="39"/>
      <c r="M104" s="99"/>
      <c r="N104" s="39"/>
      <c r="O104" s="39"/>
      <c r="P104" s="39"/>
      <c r="Q104" s="39"/>
      <c r="R104" s="39"/>
      <c r="S104" s="39"/>
      <c r="T104" s="39"/>
      <c r="AR104" s="61"/>
    </row>
    <row r="105" ht="15.75" customHeight="1">
      <c r="C105" s="98"/>
      <c r="D105" s="38"/>
      <c r="E105" s="38"/>
      <c r="F105" s="98"/>
      <c r="G105" s="39"/>
      <c r="H105" s="39"/>
      <c r="I105" s="39"/>
      <c r="J105" s="39"/>
      <c r="K105" s="39"/>
      <c r="L105" s="39"/>
      <c r="M105" s="99"/>
      <c r="N105" s="39"/>
      <c r="O105" s="39"/>
      <c r="P105" s="39"/>
      <c r="Q105" s="39"/>
      <c r="R105" s="39"/>
      <c r="S105" s="39"/>
      <c r="T105" s="39"/>
      <c r="AR105" s="61"/>
    </row>
    <row r="106" ht="15.75" customHeight="1">
      <c r="C106" s="98"/>
      <c r="D106" s="38"/>
      <c r="E106" s="38"/>
      <c r="F106" s="98"/>
      <c r="G106" s="39"/>
      <c r="H106" s="39"/>
      <c r="I106" s="39"/>
      <c r="J106" s="39"/>
      <c r="K106" s="39"/>
      <c r="L106" s="39"/>
      <c r="M106" s="99"/>
      <c r="N106" s="39"/>
      <c r="O106" s="39"/>
      <c r="P106" s="39"/>
      <c r="Q106" s="39"/>
      <c r="R106" s="39"/>
      <c r="S106" s="39"/>
      <c r="T106" s="39"/>
      <c r="AR106" s="61"/>
    </row>
    <row r="107" ht="15.75" customHeight="1">
      <c r="C107" s="98"/>
      <c r="D107" s="38"/>
      <c r="E107" s="38"/>
      <c r="F107" s="98"/>
      <c r="G107" s="39"/>
      <c r="H107" s="39"/>
      <c r="I107" s="39"/>
      <c r="J107" s="39"/>
      <c r="K107" s="39"/>
      <c r="L107" s="39"/>
      <c r="M107" s="99"/>
      <c r="N107" s="39"/>
      <c r="O107" s="39"/>
      <c r="P107" s="39"/>
      <c r="Q107" s="39"/>
      <c r="R107" s="39"/>
      <c r="S107" s="39"/>
      <c r="T107" s="39"/>
      <c r="AR107" s="61"/>
    </row>
    <row r="108" ht="15.75" customHeight="1">
      <c r="C108" s="98"/>
      <c r="D108" s="38"/>
      <c r="E108" s="38"/>
      <c r="F108" s="98"/>
      <c r="G108" s="39"/>
      <c r="H108" s="39"/>
      <c r="I108" s="39"/>
      <c r="J108" s="39"/>
      <c r="K108" s="39"/>
      <c r="L108" s="39"/>
      <c r="M108" s="99"/>
      <c r="N108" s="39"/>
      <c r="O108" s="39"/>
      <c r="P108" s="39"/>
      <c r="Q108" s="39"/>
      <c r="R108" s="39"/>
      <c r="S108" s="39"/>
      <c r="T108" s="39"/>
      <c r="AR108" s="61"/>
    </row>
    <row r="109" ht="15.75" customHeight="1">
      <c r="C109" s="98"/>
      <c r="D109" s="38"/>
      <c r="E109" s="38"/>
      <c r="F109" s="98"/>
      <c r="G109" s="39"/>
      <c r="H109" s="39"/>
      <c r="I109" s="39"/>
      <c r="J109" s="39"/>
      <c r="K109" s="39"/>
      <c r="L109" s="39"/>
      <c r="M109" s="99"/>
      <c r="N109" s="39"/>
      <c r="O109" s="39"/>
      <c r="P109" s="39"/>
      <c r="Q109" s="39"/>
      <c r="R109" s="39"/>
      <c r="S109" s="39"/>
      <c r="T109" s="39"/>
      <c r="AR109" s="61"/>
    </row>
    <row r="110" ht="15.75" customHeight="1">
      <c r="C110" s="98"/>
      <c r="D110" s="38"/>
      <c r="E110" s="38"/>
      <c r="F110" s="98"/>
      <c r="G110" s="39"/>
      <c r="H110" s="39"/>
      <c r="I110" s="39"/>
      <c r="J110" s="39"/>
      <c r="K110" s="39"/>
      <c r="L110" s="39"/>
      <c r="M110" s="99"/>
      <c r="N110" s="39"/>
      <c r="O110" s="39"/>
      <c r="P110" s="39"/>
      <c r="Q110" s="39"/>
      <c r="R110" s="39"/>
      <c r="S110" s="39"/>
      <c r="T110" s="39"/>
      <c r="AR110" s="61"/>
    </row>
    <row r="111" ht="15.75" customHeight="1">
      <c r="C111" s="98"/>
      <c r="D111" s="38"/>
      <c r="E111" s="38"/>
      <c r="F111" s="98"/>
      <c r="G111" s="39"/>
      <c r="H111" s="39"/>
      <c r="I111" s="39"/>
      <c r="J111" s="39"/>
      <c r="K111" s="39"/>
      <c r="L111" s="39"/>
      <c r="M111" s="99"/>
      <c r="N111" s="39"/>
      <c r="O111" s="39"/>
      <c r="P111" s="39"/>
      <c r="Q111" s="39"/>
      <c r="R111" s="39"/>
      <c r="S111" s="39"/>
      <c r="T111" s="39"/>
      <c r="AR111" s="61"/>
    </row>
    <row r="112" ht="15.75" customHeight="1">
      <c r="C112" s="98"/>
      <c r="D112" s="38"/>
      <c r="E112" s="38"/>
      <c r="F112" s="98"/>
      <c r="G112" s="39"/>
      <c r="H112" s="39"/>
      <c r="I112" s="39"/>
      <c r="J112" s="39"/>
      <c r="K112" s="39"/>
      <c r="L112" s="39"/>
      <c r="M112" s="99"/>
      <c r="N112" s="39"/>
      <c r="O112" s="39"/>
      <c r="P112" s="39"/>
      <c r="Q112" s="39"/>
      <c r="R112" s="39"/>
      <c r="S112" s="39"/>
      <c r="T112" s="39"/>
      <c r="AR112" s="61"/>
    </row>
    <row r="113" ht="15.75" customHeight="1">
      <c r="C113" s="98"/>
      <c r="D113" s="38"/>
      <c r="E113" s="38"/>
      <c r="F113" s="98"/>
      <c r="G113" s="39"/>
      <c r="H113" s="39"/>
      <c r="I113" s="39"/>
      <c r="J113" s="39"/>
      <c r="K113" s="39"/>
      <c r="L113" s="39"/>
      <c r="M113" s="99"/>
      <c r="N113" s="39"/>
      <c r="O113" s="39"/>
      <c r="P113" s="39"/>
      <c r="Q113" s="39"/>
      <c r="R113" s="39"/>
      <c r="S113" s="39"/>
      <c r="T113" s="39"/>
      <c r="AR113" s="61"/>
    </row>
    <row r="114" ht="15.75" customHeight="1">
      <c r="C114" s="98"/>
      <c r="D114" s="38"/>
      <c r="E114" s="38"/>
      <c r="F114" s="98"/>
      <c r="G114" s="39"/>
      <c r="H114" s="39"/>
      <c r="I114" s="39"/>
      <c r="J114" s="39"/>
      <c r="K114" s="39"/>
      <c r="L114" s="39"/>
      <c r="M114" s="99"/>
      <c r="N114" s="39"/>
      <c r="O114" s="39"/>
      <c r="P114" s="39"/>
      <c r="Q114" s="39"/>
      <c r="R114" s="39"/>
      <c r="S114" s="39"/>
      <c r="T114" s="39"/>
      <c r="AR114" s="61"/>
    </row>
    <row r="115" ht="15.75" customHeight="1">
      <c r="C115" s="98"/>
      <c r="D115" s="38"/>
      <c r="E115" s="38"/>
      <c r="F115" s="98"/>
      <c r="G115" s="39"/>
      <c r="H115" s="39"/>
      <c r="I115" s="39"/>
      <c r="J115" s="39"/>
      <c r="K115" s="39"/>
      <c r="L115" s="39"/>
      <c r="M115" s="99"/>
      <c r="N115" s="39"/>
      <c r="O115" s="39"/>
      <c r="P115" s="39"/>
      <c r="Q115" s="39"/>
      <c r="R115" s="39"/>
      <c r="S115" s="39"/>
      <c r="T115" s="39"/>
      <c r="AR115" s="61"/>
    </row>
    <row r="116" ht="15.75" customHeight="1">
      <c r="C116" s="98"/>
      <c r="D116" s="38"/>
      <c r="E116" s="38"/>
      <c r="F116" s="98"/>
      <c r="G116" s="39"/>
      <c r="H116" s="39"/>
      <c r="I116" s="39"/>
      <c r="J116" s="39"/>
      <c r="K116" s="39"/>
      <c r="L116" s="39"/>
      <c r="M116" s="99"/>
      <c r="N116" s="39"/>
      <c r="O116" s="39"/>
      <c r="P116" s="39"/>
      <c r="Q116" s="39"/>
      <c r="R116" s="39"/>
      <c r="S116" s="39"/>
      <c r="T116" s="39"/>
      <c r="AR116" s="61"/>
    </row>
    <row r="117" ht="15.75" customHeight="1">
      <c r="C117" s="98"/>
      <c r="D117" s="38"/>
      <c r="E117" s="38"/>
      <c r="F117" s="98"/>
      <c r="G117" s="39"/>
      <c r="H117" s="39"/>
      <c r="I117" s="39"/>
      <c r="J117" s="39"/>
      <c r="K117" s="39"/>
      <c r="L117" s="39"/>
      <c r="M117" s="99"/>
      <c r="N117" s="39"/>
      <c r="O117" s="39"/>
      <c r="P117" s="39"/>
      <c r="Q117" s="39"/>
      <c r="R117" s="39"/>
      <c r="S117" s="39"/>
      <c r="T117" s="39"/>
      <c r="AR117" s="61"/>
    </row>
    <row r="118" ht="15.75" customHeight="1">
      <c r="C118" s="98"/>
      <c r="D118" s="38"/>
      <c r="E118" s="38"/>
      <c r="F118" s="98"/>
      <c r="G118" s="39"/>
      <c r="H118" s="39"/>
      <c r="I118" s="39"/>
      <c r="J118" s="39"/>
      <c r="K118" s="39"/>
      <c r="L118" s="39"/>
      <c r="M118" s="99"/>
      <c r="N118" s="39"/>
      <c r="O118" s="39"/>
      <c r="P118" s="39"/>
      <c r="Q118" s="39"/>
      <c r="R118" s="39"/>
      <c r="S118" s="39"/>
      <c r="T118" s="39"/>
      <c r="AR118" s="61"/>
    </row>
    <row r="119" ht="15.75" customHeight="1">
      <c r="C119" s="98"/>
      <c r="D119" s="38"/>
      <c r="E119" s="38"/>
      <c r="F119" s="98"/>
      <c r="G119" s="39"/>
      <c r="H119" s="39"/>
      <c r="I119" s="39"/>
      <c r="J119" s="39"/>
      <c r="K119" s="39"/>
      <c r="L119" s="39"/>
      <c r="M119" s="99"/>
      <c r="N119" s="39"/>
      <c r="O119" s="39"/>
      <c r="P119" s="39"/>
      <c r="Q119" s="39"/>
      <c r="R119" s="39"/>
      <c r="S119" s="39"/>
      <c r="T119" s="39"/>
      <c r="AR119" s="61"/>
    </row>
    <row r="120" ht="15.75" customHeight="1">
      <c r="C120" s="98"/>
      <c r="D120" s="38"/>
      <c r="E120" s="38"/>
      <c r="F120" s="98"/>
      <c r="G120" s="39"/>
      <c r="H120" s="39"/>
      <c r="I120" s="39"/>
      <c r="J120" s="39"/>
      <c r="K120" s="39"/>
      <c r="L120" s="39"/>
      <c r="M120" s="99"/>
      <c r="N120" s="39"/>
      <c r="O120" s="39"/>
      <c r="P120" s="39"/>
      <c r="Q120" s="39"/>
      <c r="R120" s="39"/>
      <c r="S120" s="39"/>
      <c r="T120" s="39"/>
      <c r="AR120" s="61"/>
    </row>
    <row r="121" ht="15.75" customHeight="1">
      <c r="C121" s="98"/>
      <c r="D121" s="38"/>
      <c r="E121" s="38"/>
      <c r="F121" s="98"/>
      <c r="G121" s="39"/>
      <c r="H121" s="39"/>
      <c r="I121" s="39"/>
      <c r="J121" s="39"/>
      <c r="K121" s="39"/>
      <c r="L121" s="39"/>
      <c r="M121" s="99"/>
      <c r="N121" s="39"/>
      <c r="O121" s="39"/>
      <c r="P121" s="39"/>
      <c r="Q121" s="39"/>
      <c r="R121" s="39"/>
      <c r="S121" s="39"/>
      <c r="T121" s="39"/>
      <c r="AR121" s="61"/>
    </row>
    <row r="122" ht="15.75" customHeight="1">
      <c r="C122" s="98"/>
      <c r="D122" s="38"/>
      <c r="E122" s="38"/>
      <c r="F122" s="98"/>
      <c r="G122" s="39"/>
      <c r="H122" s="39"/>
      <c r="I122" s="39"/>
      <c r="J122" s="39"/>
      <c r="K122" s="39"/>
      <c r="L122" s="39"/>
      <c r="M122" s="99"/>
      <c r="N122" s="39"/>
      <c r="O122" s="39"/>
      <c r="P122" s="39"/>
      <c r="Q122" s="39"/>
      <c r="R122" s="39"/>
      <c r="S122" s="39"/>
      <c r="T122" s="39"/>
      <c r="AR122" s="61"/>
    </row>
    <row r="123" ht="15.75" customHeight="1">
      <c r="C123" s="98"/>
      <c r="D123" s="38"/>
      <c r="E123" s="38"/>
      <c r="F123" s="98"/>
      <c r="G123" s="39"/>
      <c r="H123" s="39"/>
      <c r="I123" s="39"/>
      <c r="J123" s="39"/>
      <c r="K123" s="39"/>
      <c r="L123" s="39"/>
      <c r="M123" s="99"/>
      <c r="N123" s="39"/>
      <c r="O123" s="39"/>
      <c r="P123" s="39"/>
      <c r="Q123" s="39"/>
      <c r="R123" s="39"/>
      <c r="S123" s="39"/>
      <c r="T123" s="39"/>
      <c r="AR123" s="61"/>
    </row>
    <row r="124" ht="15.75" customHeight="1">
      <c r="C124" s="98"/>
      <c r="D124" s="38"/>
      <c r="E124" s="38"/>
      <c r="F124" s="98"/>
      <c r="G124" s="39"/>
      <c r="H124" s="39"/>
      <c r="I124" s="39"/>
      <c r="J124" s="39"/>
      <c r="K124" s="39"/>
      <c r="L124" s="39"/>
      <c r="M124" s="99"/>
      <c r="N124" s="39"/>
      <c r="O124" s="39"/>
      <c r="P124" s="39"/>
      <c r="Q124" s="39"/>
      <c r="R124" s="39"/>
      <c r="S124" s="39"/>
      <c r="T124" s="39"/>
      <c r="AR124" s="61"/>
    </row>
    <row r="125" ht="15.75" customHeight="1">
      <c r="C125" s="98"/>
      <c r="D125" s="38"/>
      <c r="E125" s="38"/>
      <c r="F125" s="98"/>
      <c r="G125" s="39"/>
      <c r="H125" s="39"/>
      <c r="I125" s="39"/>
      <c r="J125" s="39"/>
      <c r="K125" s="39"/>
      <c r="L125" s="39"/>
      <c r="M125" s="99"/>
      <c r="N125" s="39"/>
      <c r="O125" s="39"/>
      <c r="P125" s="39"/>
      <c r="Q125" s="39"/>
      <c r="R125" s="39"/>
      <c r="S125" s="39"/>
      <c r="T125" s="39"/>
      <c r="AR125" s="61"/>
    </row>
    <row r="126" ht="15.75" customHeight="1">
      <c r="C126" s="98"/>
      <c r="D126" s="38"/>
      <c r="E126" s="38"/>
      <c r="F126" s="98"/>
      <c r="G126" s="39"/>
      <c r="H126" s="39"/>
      <c r="I126" s="39"/>
      <c r="J126" s="39"/>
      <c r="K126" s="39"/>
      <c r="L126" s="39"/>
      <c r="M126" s="99"/>
      <c r="N126" s="39"/>
      <c r="O126" s="39"/>
      <c r="P126" s="39"/>
      <c r="Q126" s="39"/>
      <c r="R126" s="39"/>
      <c r="S126" s="39"/>
      <c r="T126" s="39"/>
      <c r="AR126" s="61"/>
    </row>
    <row r="127" ht="15.75" customHeight="1">
      <c r="C127" s="98"/>
      <c r="D127" s="38"/>
      <c r="E127" s="38"/>
      <c r="F127" s="98"/>
      <c r="G127" s="39"/>
      <c r="H127" s="39"/>
      <c r="I127" s="39"/>
      <c r="J127" s="39"/>
      <c r="K127" s="39"/>
      <c r="L127" s="39"/>
      <c r="M127" s="99"/>
      <c r="N127" s="39"/>
      <c r="O127" s="39"/>
      <c r="P127" s="39"/>
      <c r="Q127" s="39"/>
      <c r="R127" s="39"/>
      <c r="S127" s="39"/>
      <c r="T127" s="39"/>
      <c r="AR127" s="61"/>
    </row>
    <row r="128" ht="15.75" customHeight="1">
      <c r="C128" s="98"/>
      <c r="D128" s="38"/>
      <c r="E128" s="38"/>
      <c r="F128" s="98"/>
      <c r="G128" s="39"/>
      <c r="H128" s="39"/>
      <c r="I128" s="39"/>
      <c r="J128" s="39"/>
      <c r="K128" s="39"/>
      <c r="L128" s="39"/>
      <c r="M128" s="99"/>
      <c r="N128" s="39"/>
      <c r="O128" s="39"/>
      <c r="P128" s="39"/>
      <c r="Q128" s="39"/>
      <c r="R128" s="39"/>
      <c r="S128" s="39"/>
      <c r="T128" s="39"/>
      <c r="AR128" s="61"/>
    </row>
    <row r="129" ht="15.75" customHeight="1">
      <c r="C129" s="98"/>
      <c r="D129" s="38"/>
      <c r="E129" s="38"/>
      <c r="F129" s="98"/>
      <c r="G129" s="39"/>
      <c r="H129" s="39"/>
      <c r="I129" s="39"/>
      <c r="J129" s="39"/>
      <c r="K129" s="39"/>
      <c r="L129" s="39"/>
      <c r="M129" s="99"/>
      <c r="N129" s="39"/>
      <c r="O129" s="39"/>
      <c r="P129" s="39"/>
      <c r="Q129" s="39"/>
      <c r="R129" s="39"/>
      <c r="S129" s="39"/>
      <c r="T129" s="39"/>
      <c r="AR129" s="61"/>
    </row>
    <row r="130" ht="15.75" customHeight="1">
      <c r="C130" s="98"/>
      <c r="D130" s="38"/>
      <c r="E130" s="38"/>
      <c r="F130" s="98"/>
      <c r="G130" s="39"/>
      <c r="H130" s="39"/>
      <c r="I130" s="39"/>
      <c r="J130" s="39"/>
      <c r="K130" s="39"/>
      <c r="L130" s="39"/>
      <c r="M130" s="99"/>
      <c r="N130" s="39"/>
      <c r="O130" s="39"/>
      <c r="P130" s="39"/>
      <c r="Q130" s="39"/>
      <c r="R130" s="39"/>
      <c r="S130" s="39"/>
      <c r="T130" s="39"/>
      <c r="AR130" s="61"/>
    </row>
    <row r="131" ht="15.75" customHeight="1">
      <c r="C131" s="98"/>
      <c r="D131" s="38"/>
      <c r="E131" s="38"/>
      <c r="F131" s="98"/>
      <c r="G131" s="39"/>
      <c r="H131" s="39"/>
      <c r="I131" s="39"/>
      <c r="J131" s="39"/>
      <c r="K131" s="39"/>
      <c r="L131" s="39"/>
      <c r="M131" s="99"/>
      <c r="N131" s="39"/>
      <c r="O131" s="39"/>
      <c r="P131" s="39"/>
      <c r="Q131" s="39"/>
      <c r="R131" s="39"/>
      <c r="S131" s="39"/>
      <c r="T131" s="39"/>
      <c r="AR131" s="61"/>
    </row>
    <row r="132" ht="15.75" customHeight="1">
      <c r="C132" s="98"/>
      <c r="D132" s="38"/>
      <c r="E132" s="38"/>
      <c r="F132" s="98"/>
      <c r="G132" s="39"/>
      <c r="H132" s="39"/>
      <c r="I132" s="39"/>
      <c r="J132" s="39"/>
      <c r="K132" s="39"/>
      <c r="L132" s="39"/>
      <c r="M132" s="99"/>
      <c r="N132" s="39"/>
      <c r="O132" s="39"/>
      <c r="P132" s="39"/>
      <c r="Q132" s="39"/>
      <c r="R132" s="39"/>
      <c r="S132" s="39"/>
      <c r="T132" s="39"/>
      <c r="AR132" s="61"/>
    </row>
    <row r="133" ht="15.75" customHeight="1">
      <c r="C133" s="98"/>
      <c r="D133" s="38"/>
      <c r="E133" s="38"/>
      <c r="F133" s="98"/>
      <c r="G133" s="39"/>
      <c r="H133" s="39"/>
      <c r="I133" s="39"/>
      <c r="J133" s="39"/>
      <c r="K133" s="39"/>
      <c r="L133" s="39"/>
      <c r="M133" s="99"/>
      <c r="N133" s="39"/>
      <c r="O133" s="39"/>
      <c r="P133" s="39"/>
      <c r="Q133" s="39"/>
      <c r="R133" s="39"/>
      <c r="S133" s="39"/>
      <c r="T133" s="39"/>
      <c r="AR133" s="61"/>
    </row>
    <row r="134" ht="15.75" customHeight="1">
      <c r="C134" s="98"/>
      <c r="D134" s="38"/>
      <c r="E134" s="38"/>
      <c r="F134" s="98"/>
      <c r="G134" s="39"/>
      <c r="H134" s="39"/>
      <c r="I134" s="39"/>
      <c r="J134" s="39"/>
      <c r="K134" s="39"/>
      <c r="L134" s="39"/>
      <c r="M134" s="99"/>
      <c r="N134" s="39"/>
      <c r="O134" s="39"/>
      <c r="P134" s="39"/>
      <c r="Q134" s="39"/>
      <c r="R134" s="39"/>
      <c r="S134" s="39"/>
      <c r="T134" s="39"/>
      <c r="AR134" s="61"/>
    </row>
    <row r="135" ht="15.75" customHeight="1">
      <c r="C135" s="98"/>
      <c r="D135" s="38"/>
      <c r="E135" s="38"/>
      <c r="F135" s="98"/>
      <c r="G135" s="39"/>
      <c r="H135" s="39"/>
      <c r="I135" s="39"/>
      <c r="J135" s="39"/>
      <c r="K135" s="39"/>
      <c r="L135" s="39"/>
      <c r="M135" s="99"/>
      <c r="N135" s="39"/>
      <c r="O135" s="39"/>
      <c r="P135" s="39"/>
      <c r="Q135" s="39"/>
      <c r="R135" s="39"/>
      <c r="S135" s="39"/>
      <c r="T135" s="39"/>
      <c r="AR135" s="61"/>
    </row>
    <row r="136" ht="15.75" customHeight="1">
      <c r="C136" s="98"/>
      <c r="D136" s="38"/>
      <c r="E136" s="38"/>
      <c r="F136" s="98"/>
      <c r="G136" s="39"/>
      <c r="H136" s="39"/>
      <c r="I136" s="39"/>
      <c r="J136" s="39"/>
      <c r="K136" s="39"/>
      <c r="L136" s="39"/>
      <c r="M136" s="99"/>
      <c r="N136" s="39"/>
      <c r="O136" s="39"/>
      <c r="P136" s="39"/>
      <c r="Q136" s="39"/>
      <c r="R136" s="39"/>
      <c r="S136" s="39"/>
      <c r="T136" s="39"/>
      <c r="AR136" s="61"/>
    </row>
    <row r="137" ht="15.75" customHeight="1">
      <c r="C137" s="98"/>
      <c r="D137" s="38"/>
      <c r="E137" s="38"/>
      <c r="F137" s="98"/>
      <c r="G137" s="39"/>
      <c r="H137" s="39"/>
      <c r="I137" s="39"/>
      <c r="J137" s="39"/>
      <c r="K137" s="39"/>
      <c r="L137" s="39"/>
      <c r="M137" s="99"/>
      <c r="N137" s="39"/>
      <c r="O137" s="39"/>
      <c r="P137" s="39"/>
      <c r="Q137" s="39"/>
      <c r="R137" s="39"/>
      <c r="S137" s="39"/>
      <c r="T137" s="39"/>
      <c r="AR137" s="61"/>
    </row>
    <row r="138" ht="15.75" customHeight="1">
      <c r="C138" s="98"/>
      <c r="D138" s="38"/>
      <c r="E138" s="38"/>
      <c r="F138" s="98"/>
      <c r="G138" s="39"/>
      <c r="H138" s="39"/>
      <c r="I138" s="39"/>
      <c r="J138" s="39"/>
      <c r="K138" s="39"/>
      <c r="L138" s="39"/>
      <c r="M138" s="99"/>
      <c r="N138" s="39"/>
      <c r="O138" s="39"/>
      <c r="P138" s="39"/>
      <c r="Q138" s="39"/>
      <c r="R138" s="39"/>
      <c r="S138" s="39"/>
      <c r="T138" s="39"/>
      <c r="AR138" s="61"/>
    </row>
    <row r="139" ht="15.75" customHeight="1">
      <c r="C139" s="98"/>
      <c r="D139" s="38"/>
      <c r="E139" s="38"/>
      <c r="F139" s="98"/>
      <c r="G139" s="39"/>
      <c r="H139" s="39"/>
      <c r="I139" s="39"/>
      <c r="J139" s="39"/>
      <c r="K139" s="39"/>
      <c r="L139" s="39"/>
      <c r="M139" s="99"/>
      <c r="N139" s="39"/>
      <c r="O139" s="39"/>
      <c r="P139" s="39"/>
      <c r="Q139" s="39"/>
      <c r="R139" s="39"/>
      <c r="S139" s="39"/>
      <c r="T139" s="39"/>
      <c r="AR139" s="61"/>
    </row>
    <row r="140" ht="15.75" customHeight="1">
      <c r="C140" s="98"/>
      <c r="D140" s="38"/>
      <c r="E140" s="38"/>
      <c r="F140" s="98"/>
      <c r="G140" s="39"/>
      <c r="H140" s="39"/>
      <c r="I140" s="39"/>
      <c r="J140" s="39"/>
      <c r="K140" s="39"/>
      <c r="L140" s="39"/>
      <c r="M140" s="99"/>
      <c r="N140" s="39"/>
      <c r="O140" s="39"/>
      <c r="P140" s="39"/>
      <c r="Q140" s="39"/>
      <c r="R140" s="39"/>
      <c r="S140" s="39"/>
      <c r="T140" s="39"/>
      <c r="AR140" s="61"/>
    </row>
    <row r="141" ht="15.75" customHeight="1">
      <c r="C141" s="98"/>
      <c r="D141" s="38"/>
      <c r="E141" s="38"/>
      <c r="F141" s="98"/>
      <c r="G141" s="39"/>
      <c r="H141" s="39"/>
      <c r="I141" s="39"/>
      <c r="J141" s="39"/>
      <c r="K141" s="39"/>
      <c r="L141" s="39"/>
      <c r="M141" s="99"/>
      <c r="N141" s="39"/>
      <c r="O141" s="39"/>
      <c r="P141" s="39"/>
      <c r="Q141" s="39"/>
      <c r="R141" s="39"/>
      <c r="S141" s="39"/>
      <c r="T141" s="39"/>
      <c r="AR141" s="61"/>
    </row>
    <row r="142" ht="15.75" customHeight="1">
      <c r="C142" s="98"/>
      <c r="D142" s="38"/>
      <c r="E142" s="38"/>
      <c r="F142" s="98"/>
      <c r="G142" s="39"/>
      <c r="H142" s="39"/>
      <c r="I142" s="39"/>
      <c r="J142" s="39"/>
      <c r="K142" s="39"/>
      <c r="L142" s="39"/>
      <c r="M142" s="99"/>
      <c r="N142" s="39"/>
      <c r="O142" s="39"/>
      <c r="P142" s="39"/>
      <c r="Q142" s="39"/>
      <c r="R142" s="39"/>
      <c r="S142" s="39"/>
      <c r="T142" s="39"/>
      <c r="AR142" s="61"/>
    </row>
    <row r="143" ht="15.75" customHeight="1">
      <c r="C143" s="98"/>
      <c r="D143" s="38"/>
      <c r="E143" s="38"/>
      <c r="F143" s="98"/>
      <c r="G143" s="39"/>
      <c r="H143" s="39"/>
      <c r="I143" s="39"/>
      <c r="J143" s="39"/>
      <c r="K143" s="39"/>
      <c r="L143" s="39"/>
      <c r="M143" s="99"/>
      <c r="N143" s="39"/>
      <c r="O143" s="39"/>
      <c r="P143" s="39"/>
      <c r="Q143" s="39"/>
      <c r="R143" s="39"/>
      <c r="S143" s="39"/>
      <c r="T143" s="39"/>
      <c r="AR143" s="61"/>
    </row>
    <row r="144" ht="15.75" customHeight="1">
      <c r="C144" s="98"/>
      <c r="D144" s="38"/>
      <c r="E144" s="38"/>
      <c r="F144" s="98"/>
      <c r="G144" s="39"/>
      <c r="H144" s="39"/>
      <c r="I144" s="39"/>
      <c r="J144" s="39"/>
      <c r="K144" s="39"/>
      <c r="L144" s="39"/>
      <c r="M144" s="99"/>
      <c r="N144" s="39"/>
      <c r="O144" s="39"/>
      <c r="P144" s="39"/>
      <c r="Q144" s="39"/>
      <c r="R144" s="39"/>
      <c r="S144" s="39"/>
      <c r="T144" s="39"/>
      <c r="AR144" s="61"/>
    </row>
    <row r="145" ht="15.75" customHeight="1">
      <c r="C145" s="98"/>
      <c r="D145" s="38"/>
      <c r="E145" s="38"/>
      <c r="F145" s="98"/>
      <c r="G145" s="39"/>
      <c r="H145" s="39"/>
      <c r="I145" s="39"/>
      <c r="J145" s="39"/>
      <c r="K145" s="39"/>
      <c r="L145" s="39"/>
      <c r="M145" s="99"/>
      <c r="N145" s="39"/>
      <c r="O145" s="39"/>
      <c r="P145" s="39"/>
      <c r="Q145" s="39"/>
      <c r="R145" s="39"/>
      <c r="S145" s="39"/>
      <c r="T145" s="39"/>
      <c r="AR145" s="61"/>
    </row>
    <row r="146" ht="15.75" customHeight="1">
      <c r="C146" s="98"/>
      <c r="D146" s="38"/>
      <c r="E146" s="38"/>
      <c r="F146" s="98"/>
      <c r="G146" s="39"/>
      <c r="H146" s="39"/>
      <c r="I146" s="39"/>
      <c r="J146" s="39"/>
      <c r="K146" s="39"/>
      <c r="L146" s="39"/>
      <c r="M146" s="99"/>
      <c r="N146" s="39"/>
      <c r="O146" s="39"/>
      <c r="P146" s="39"/>
      <c r="Q146" s="39"/>
      <c r="R146" s="39"/>
      <c r="S146" s="39"/>
      <c r="T146" s="39"/>
      <c r="AR146" s="61"/>
    </row>
    <row r="147" ht="15.75" customHeight="1">
      <c r="C147" s="98"/>
      <c r="D147" s="38"/>
      <c r="E147" s="38"/>
      <c r="F147" s="98"/>
      <c r="G147" s="39"/>
      <c r="H147" s="39"/>
      <c r="I147" s="39"/>
      <c r="J147" s="39"/>
      <c r="K147" s="39"/>
      <c r="L147" s="39"/>
      <c r="M147" s="99"/>
      <c r="N147" s="39"/>
      <c r="O147" s="39"/>
      <c r="P147" s="39"/>
      <c r="Q147" s="39"/>
      <c r="R147" s="39"/>
      <c r="S147" s="39"/>
      <c r="T147" s="39"/>
      <c r="AR147" s="61"/>
    </row>
    <row r="148" ht="15.75" customHeight="1">
      <c r="C148" s="98"/>
      <c r="D148" s="38"/>
      <c r="E148" s="38"/>
      <c r="F148" s="98"/>
      <c r="G148" s="39"/>
      <c r="H148" s="39"/>
      <c r="I148" s="39"/>
      <c r="J148" s="39"/>
      <c r="K148" s="39"/>
      <c r="L148" s="39"/>
      <c r="M148" s="99"/>
      <c r="N148" s="39"/>
      <c r="O148" s="39"/>
      <c r="P148" s="39"/>
      <c r="Q148" s="39"/>
      <c r="R148" s="39"/>
      <c r="S148" s="39"/>
      <c r="T148" s="39"/>
      <c r="AR148" s="61"/>
    </row>
    <row r="149" ht="15.75" customHeight="1">
      <c r="C149" s="98"/>
      <c r="D149" s="38"/>
      <c r="E149" s="38"/>
      <c r="F149" s="98"/>
      <c r="G149" s="39"/>
      <c r="H149" s="39"/>
      <c r="I149" s="39"/>
      <c r="J149" s="39"/>
      <c r="K149" s="39"/>
      <c r="L149" s="39"/>
      <c r="M149" s="99"/>
      <c r="N149" s="39"/>
      <c r="O149" s="39"/>
      <c r="P149" s="39"/>
      <c r="Q149" s="39"/>
      <c r="R149" s="39"/>
      <c r="S149" s="39"/>
      <c r="T149" s="39"/>
      <c r="AR149" s="61"/>
    </row>
    <row r="150" ht="15.75" customHeight="1">
      <c r="C150" s="98"/>
      <c r="D150" s="38"/>
      <c r="E150" s="38"/>
      <c r="F150" s="98"/>
      <c r="G150" s="39"/>
      <c r="H150" s="39"/>
      <c r="I150" s="39"/>
      <c r="J150" s="39"/>
      <c r="K150" s="39"/>
      <c r="L150" s="39"/>
      <c r="M150" s="99"/>
      <c r="N150" s="39"/>
      <c r="O150" s="39"/>
      <c r="P150" s="39"/>
      <c r="Q150" s="39"/>
      <c r="R150" s="39"/>
      <c r="S150" s="39"/>
      <c r="T150" s="39"/>
      <c r="AR150" s="61"/>
    </row>
    <row r="151" ht="15.75" customHeight="1">
      <c r="C151" s="98"/>
      <c r="D151" s="38"/>
      <c r="E151" s="38"/>
      <c r="F151" s="98"/>
      <c r="G151" s="39"/>
      <c r="H151" s="39"/>
      <c r="I151" s="39"/>
      <c r="J151" s="39"/>
      <c r="K151" s="39"/>
      <c r="L151" s="39"/>
      <c r="M151" s="99"/>
      <c r="N151" s="39"/>
      <c r="O151" s="39"/>
      <c r="P151" s="39"/>
      <c r="Q151" s="39"/>
      <c r="R151" s="39"/>
      <c r="S151" s="39"/>
      <c r="T151" s="39"/>
      <c r="AR151" s="61"/>
    </row>
    <row r="152" ht="15.75" customHeight="1">
      <c r="C152" s="98"/>
      <c r="D152" s="38"/>
      <c r="E152" s="38"/>
      <c r="F152" s="98"/>
      <c r="G152" s="39"/>
      <c r="H152" s="39"/>
      <c r="I152" s="39"/>
      <c r="J152" s="39"/>
      <c r="K152" s="39"/>
      <c r="L152" s="39"/>
      <c r="M152" s="99"/>
      <c r="N152" s="39"/>
      <c r="O152" s="39"/>
      <c r="P152" s="39"/>
      <c r="Q152" s="39"/>
      <c r="R152" s="39"/>
      <c r="S152" s="39"/>
      <c r="T152" s="39"/>
      <c r="AR152" s="61"/>
    </row>
    <row r="153" ht="15.75" customHeight="1">
      <c r="C153" s="98"/>
      <c r="D153" s="38"/>
      <c r="E153" s="38"/>
      <c r="F153" s="98"/>
      <c r="G153" s="39"/>
      <c r="H153" s="39"/>
      <c r="I153" s="39"/>
      <c r="J153" s="39"/>
      <c r="K153" s="39"/>
      <c r="L153" s="39"/>
      <c r="M153" s="99"/>
      <c r="N153" s="39"/>
      <c r="O153" s="39"/>
      <c r="P153" s="39"/>
      <c r="Q153" s="39"/>
      <c r="R153" s="39"/>
      <c r="S153" s="39"/>
      <c r="T153" s="39"/>
      <c r="AR153" s="61"/>
    </row>
    <row r="154" ht="15.75" customHeight="1">
      <c r="C154" s="98"/>
      <c r="D154" s="38"/>
      <c r="E154" s="38"/>
      <c r="F154" s="98"/>
      <c r="G154" s="39"/>
      <c r="H154" s="39"/>
      <c r="I154" s="39"/>
      <c r="J154" s="39"/>
      <c r="K154" s="39"/>
      <c r="L154" s="39"/>
      <c r="M154" s="99"/>
      <c r="N154" s="39"/>
      <c r="O154" s="39"/>
      <c r="P154" s="39"/>
      <c r="Q154" s="39"/>
      <c r="R154" s="39"/>
      <c r="S154" s="39"/>
      <c r="T154" s="39"/>
      <c r="AR154" s="61"/>
    </row>
    <row r="155" ht="15.75" customHeight="1">
      <c r="C155" s="98"/>
      <c r="D155" s="38"/>
      <c r="E155" s="38"/>
      <c r="F155" s="98"/>
      <c r="G155" s="39"/>
      <c r="H155" s="39"/>
      <c r="I155" s="39"/>
      <c r="J155" s="39"/>
      <c r="K155" s="39"/>
      <c r="L155" s="39"/>
      <c r="M155" s="99"/>
      <c r="N155" s="39"/>
      <c r="O155" s="39"/>
      <c r="P155" s="39"/>
      <c r="Q155" s="39"/>
      <c r="R155" s="39"/>
      <c r="S155" s="39"/>
      <c r="T155" s="39"/>
      <c r="AR155" s="61"/>
    </row>
    <row r="156" ht="15.75" customHeight="1">
      <c r="C156" s="98"/>
      <c r="D156" s="38"/>
      <c r="E156" s="38"/>
      <c r="F156" s="98"/>
      <c r="G156" s="39"/>
      <c r="H156" s="39"/>
      <c r="I156" s="39"/>
      <c r="J156" s="39"/>
      <c r="K156" s="39"/>
      <c r="L156" s="39"/>
      <c r="M156" s="99"/>
      <c r="N156" s="39"/>
      <c r="O156" s="39"/>
      <c r="P156" s="39"/>
      <c r="Q156" s="39"/>
      <c r="R156" s="39"/>
      <c r="S156" s="39"/>
      <c r="T156" s="39"/>
      <c r="AR156" s="61"/>
    </row>
    <row r="157" ht="15.75" customHeight="1">
      <c r="C157" s="98"/>
      <c r="D157" s="38"/>
      <c r="E157" s="38"/>
      <c r="F157" s="98"/>
      <c r="G157" s="39"/>
      <c r="H157" s="39"/>
      <c r="I157" s="39"/>
      <c r="J157" s="39"/>
      <c r="K157" s="39"/>
      <c r="L157" s="39"/>
      <c r="M157" s="99"/>
      <c r="N157" s="39"/>
      <c r="O157" s="39"/>
      <c r="P157" s="39"/>
      <c r="Q157" s="39"/>
      <c r="R157" s="39"/>
      <c r="S157" s="39"/>
      <c r="T157" s="39"/>
      <c r="AR157" s="61"/>
    </row>
    <row r="158" ht="15.75" customHeight="1">
      <c r="C158" s="98"/>
      <c r="D158" s="38"/>
      <c r="E158" s="38"/>
      <c r="F158" s="98"/>
      <c r="G158" s="39"/>
      <c r="H158" s="39"/>
      <c r="I158" s="39"/>
      <c r="J158" s="39"/>
      <c r="K158" s="39"/>
      <c r="L158" s="39"/>
      <c r="M158" s="99"/>
      <c r="N158" s="39"/>
      <c r="O158" s="39"/>
      <c r="P158" s="39"/>
      <c r="Q158" s="39"/>
      <c r="R158" s="39"/>
      <c r="S158" s="39"/>
      <c r="T158" s="39"/>
      <c r="AR158" s="61"/>
    </row>
    <row r="159" ht="15.75" customHeight="1">
      <c r="C159" s="98"/>
      <c r="D159" s="38"/>
      <c r="E159" s="38"/>
      <c r="F159" s="98"/>
      <c r="G159" s="39"/>
      <c r="H159" s="39"/>
      <c r="I159" s="39"/>
      <c r="J159" s="39"/>
      <c r="K159" s="39"/>
      <c r="L159" s="39"/>
      <c r="M159" s="99"/>
      <c r="N159" s="39"/>
      <c r="O159" s="39"/>
      <c r="P159" s="39"/>
      <c r="Q159" s="39"/>
      <c r="R159" s="39"/>
      <c r="S159" s="39"/>
      <c r="T159" s="39"/>
      <c r="AR159" s="61"/>
    </row>
    <row r="160" ht="15.75" customHeight="1">
      <c r="C160" s="98"/>
      <c r="D160" s="38"/>
      <c r="E160" s="38"/>
      <c r="F160" s="98"/>
      <c r="G160" s="39"/>
      <c r="H160" s="39"/>
      <c r="I160" s="39"/>
      <c r="J160" s="39"/>
      <c r="K160" s="39"/>
      <c r="L160" s="39"/>
      <c r="M160" s="99"/>
      <c r="N160" s="39"/>
      <c r="O160" s="39"/>
      <c r="P160" s="39"/>
      <c r="Q160" s="39"/>
      <c r="R160" s="39"/>
      <c r="S160" s="39"/>
      <c r="T160" s="39"/>
      <c r="AR160" s="61"/>
    </row>
    <row r="161" ht="15.75" customHeight="1">
      <c r="C161" s="98"/>
      <c r="D161" s="38"/>
      <c r="E161" s="38"/>
      <c r="F161" s="98"/>
      <c r="G161" s="39"/>
      <c r="H161" s="39"/>
      <c r="I161" s="39"/>
      <c r="J161" s="39"/>
      <c r="K161" s="39"/>
      <c r="L161" s="39"/>
      <c r="M161" s="99"/>
      <c r="N161" s="39"/>
      <c r="O161" s="39"/>
      <c r="P161" s="39"/>
      <c r="Q161" s="39"/>
      <c r="R161" s="39"/>
      <c r="S161" s="39"/>
      <c r="T161" s="39"/>
      <c r="AR161" s="61"/>
    </row>
    <row r="162" ht="15.75" customHeight="1">
      <c r="C162" s="98"/>
      <c r="D162" s="38"/>
      <c r="E162" s="38"/>
      <c r="F162" s="98"/>
      <c r="G162" s="39"/>
      <c r="H162" s="39"/>
      <c r="I162" s="39"/>
      <c r="J162" s="39"/>
      <c r="K162" s="39"/>
      <c r="L162" s="39"/>
      <c r="M162" s="99"/>
      <c r="N162" s="39"/>
      <c r="O162" s="39"/>
      <c r="P162" s="39"/>
      <c r="Q162" s="39"/>
      <c r="R162" s="39"/>
      <c r="S162" s="39"/>
      <c r="T162" s="39"/>
      <c r="AR162" s="61"/>
    </row>
    <row r="163" ht="15.75" customHeight="1">
      <c r="C163" s="98"/>
      <c r="D163" s="38"/>
      <c r="E163" s="38"/>
      <c r="F163" s="98"/>
      <c r="G163" s="39"/>
      <c r="H163" s="39"/>
      <c r="I163" s="39"/>
      <c r="J163" s="39"/>
      <c r="K163" s="39"/>
      <c r="L163" s="39"/>
      <c r="M163" s="99"/>
      <c r="N163" s="39"/>
      <c r="O163" s="39"/>
      <c r="P163" s="39"/>
      <c r="Q163" s="39"/>
      <c r="R163" s="39"/>
      <c r="S163" s="39"/>
      <c r="T163" s="39"/>
      <c r="AR163" s="61"/>
    </row>
    <row r="164" ht="15.75" customHeight="1">
      <c r="C164" s="98"/>
      <c r="D164" s="38"/>
      <c r="E164" s="38"/>
      <c r="F164" s="98"/>
      <c r="G164" s="39"/>
      <c r="H164" s="39"/>
      <c r="I164" s="39"/>
      <c r="J164" s="39"/>
      <c r="K164" s="39"/>
      <c r="L164" s="39"/>
      <c r="M164" s="99"/>
      <c r="N164" s="39"/>
      <c r="O164" s="39"/>
      <c r="P164" s="39"/>
      <c r="Q164" s="39"/>
      <c r="R164" s="39"/>
      <c r="S164" s="39"/>
      <c r="T164" s="39"/>
      <c r="AR164" s="61"/>
    </row>
    <row r="165" ht="15.75" customHeight="1">
      <c r="C165" s="98"/>
      <c r="D165" s="38"/>
      <c r="E165" s="38"/>
      <c r="F165" s="98"/>
      <c r="G165" s="39"/>
      <c r="H165" s="39"/>
      <c r="I165" s="39"/>
      <c r="J165" s="39"/>
      <c r="K165" s="39"/>
      <c r="L165" s="39"/>
      <c r="M165" s="99"/>
      <c r="N165" s="39"/>
      <c r="O165" s="39"/>
      <c r="P165" s="39"/>
      <c r="Q165" s="39"/>
      <c r="R165" s="39"/>
      <c r="S165" s="39"/>
      <c r="T165" s="39"/>
      <c r="AR165" s="61"/>
    </row>
    <row r="166" ht="15.75" customHeight="1">
      <c r="C166" s="98"/>
      <c r="D166" s="38"/>
      <c r="E166" s="38"/>
      <c r="F166" s="98"/>
      <c r="G166" s="39"/>
      <c r="H166" s="39"/>
      <c r="I166" s="39"/>
      <c r="J166" s="39"/>
      <c r="K166" s="39"/>
      <c r="L166" s="39"/>
      <c r="M166" s="99"/>
      <c r="N166" s="39"/>
      <c r="O166" s="39"/>
      <c r="P166" s="39"/>
      <c r="Q166" s="39"/>
      <c r="R166" s="39"/>
      <c r="S166" s="39"/>
      <c r="T166" s="39"/>
      <c r="AR166" s="61"/>
    </row>
    <row r="167" ht="15.75" customHeight="1">
      <c r="C167" s="98"/>
      <c r="D167" s="38"/>
      <c r="E167" s="38"/>
      <c r="F167" s="98"/>
      <c r="G167" s="39"/>
      <c r="H167" s="39"/>
      <c r="I167" s="39"/>
      <c r="J167" s="39"/>
      <c r="K167" s="39"/>
      <c r="L167" s="39"/>
      <c r="M167" s="99"/>
      <c r="N167" s="39"/>
      <c r="O167" s="39"/>
      <c r="P167" s="39"/>
      <c r="Q167" s="39"/>
      <c r="R167" s="39"/>
      <c r="S167" s="39"/>
      <c r="T167" s="39"/>
      <c r="AR167" s="61"/>
    </row>
    <row r="168" ht="15.75" customHeight="1">
      <c r="C168" s="98"/>
      <c r="D168" s="38"/>
      <c r="E168" s="38"/>
      <c r="F168" s="98"/>
      <c r="G168" s="39"/>
      <c r="H168" s="39"/>
      <c r="I168" s="39"/>
      <c r="J168" s="39"/>
      <c r="K168" s="39"/>
      <c r="L168" s="39"/>
      <c r="M168" s="99"/>
      <c r="N168" s="39"/>
      <c r="O168" s="39"/>
      <c r="P168" s="39"/>
      <c r="Q168" s="39"/>
      <c r="R168" s="39"/>
      <c r="S168" s="39"/>
      <c r="T168" s="39"/>
      <c r="AR168" s="61"/>
    </row>
    <row r="169" ht="15.75" customHeight="1">
      <c r="C169" s="98"/>
      <c r="D169" s="38"/>
      <c r="E169" s="38"/>
      <c r="F169" s="98"/>
      <c r="G169" s="39"/>
      <c r="H169" s="39"/>
      <c r="I169" s="39"/>
      <c r="J169" s="39"/>
      <c r="K169" s="39"/>
      <c r="L169" s="39"/>
      <c r="M169" s="99"/>
      <c r="N169" s="39"/>
      <c r="O169" s="39"/>
      <c r="P169" s="39"/>
      <c r="Q169" s="39"/>
      <c r="R169" s="39"/>
      <c r="S169" s="39"/>
      <c r="T169" s="39"/>
      <c r="AR169" s="61"/>
    </row>
    <row r="170" ht="15.75" customHeight="1">
      <c r="C170" s="98"/>
      <c r="D170" s="38"/>
      <c r="E170" s="38"/>
      <c r="F170" s="98"/>
      <c r="G170" s="39"/>
      <c r="H170" s="39"/>
      <c r="I170" s="39"/>
      <c r="J170" s="39"/>
      <c r="K170" s="39"/>
      <c r="L170" s="39"/>
      <c r="M170" s="99"/>
      <c r="N170" s="39"/>
      <c r="O170" s="39"/>
      <c r="P170" s="39"/>
      <c r="Q170" s="39"/>
      <c r="R170" s="39"/>
      <c r="S170" s="39"/>
      <c r="T170" s="39"/>
      <c r="AR170" s="61"/>
    </row>
    <row r="171" ht="15.75" customHeight="1">
      <c r="C171" s="98"/>
      <c r="D171" s="38"/>
      <c r="E171" s="38"/>
      <c r="F171" s="98"/>
      <c r="G171" s="39"/>
      <c r="H171" s="39"/>
      <c r="I171" s="39"/>
      <c r="J171" s="39"/>
      <c r="K171" s="39"/>
      <c r="L171" s="39"/>
      <c r="M171" s="99"/>
      <c r="N171" s="39"/>
      <c r="O171" s="39"/>
      <c r="P171" s="39"/>
      <c r="Q171" s="39"/>
      <c r="R171" s="39"/>
      <c r="S171" s="39"/>
      <c r="T171" s="39"/>
      <c r="AR171" s="61"/>
    </row>
    <row r="172" ht="15.75" customHeight="1">
      <c r="C172" s="98"/>
      <c r="D172" s="38"/>
      <c r="E172" s="38"/>
      <c r="F172" s="98"/>
      <c r="G172" s="39"/>
      <c r="H172" s="39"/>
      <c r="I172" s="39"/>
      <c r="J172" s="39"/>
      <c r="K172" s="39"/>
      <c r="L172" s="39"/>
      <c r="M172" s="99"/>
      <c r="N172" s="39"/>
      <c r="O172" s="39"/>
      <c r="P172" s="39"/>
      <c r="Q172" s="39"/>
      <c r="R172" s="39"/>
      <c r="S172" s="39"/>
      <c r="T172" s="39"/>
      <c r="AR172" s="61"/>
    </row>
    <row r="173" ht="15.75" customHeight="1">
      <c r="C173" s="98"/>
      <c r="D173" s="38"/>
      <c r="E173" s="38"/>
      <c r="F173" s="98"/>
      <c r="G173" s="39"/>
      <c r="H173" s="39"/>
      <c r="I173" s="39"/>
      <c r="J173" s="39"/>
      <c r="K173" s="39"/>
      <c r="L173" s="39"/>
      <c r="M173" s="99"/>
      <c r="N173" s="39"/>
      <c r="O173" s="39"/>
      <c r="P173" s="39"/>
      <c r="Q173" s="39"/>
      <c r="R173" s="39"/>
      <c r="S173" s="39"/>
      <c r="T173" s="39"/>
      <c r="AR173" s="61"/>
    </row>
    <row r="174" ht="15.75" customHeight="1">
      <c r="C174" s="98"/>
      <c r="D174" s="38"/>
      <c r="E174" s="38"/>
      <c r="F174" s="98"/>
      <c r="G174" s="39"/>
      <c r="H174" s="39"/>
      <c r="I174" s="39"/>
      <c r="J174" s="39"/>
      <c r="K174" s="39"/>
      <c r="L174" s="39"/>
      <c r="M174" s="99"/>
      <c r="N174" s="39"/>
      <c r="O174" s="39"/>
      <c r="P174" s="39"/>
      <c r="Q174" s="39"/>
      <c r="R174" s="39"/>
      <c r="S174" s="39"/>
      <c r="T174" s="39"/>
      <c r="AR174" s="61"/>
    </row>
    <row r="175" ht="15.75" customHeight="1">
      <c r="C175" s="98"/>
      <c r="D175" s="38"/>
      <c r="E175" s="38"/>
      <c r="F175" s="98"/>
      <c r="G175" s="39"/>
      <c r="H175" s="39"/>
      <c r="I175" s="39"/>
      <c r="J175" s="39"/>
      <c r="K175" s="39"/>
      <c r="L175" s="39"/>
      <c r="M175" s="99"/>
      <c r="N175" s="39"/>
      <c r="O175" s="39"/>
      <c r="P175" s="39"/>
      <c r="Q175" s="39"/>
      <c r="R175" s="39"/>
      <c r="S175" s="39"/>
      <c r="T175" s="39"/>
      <c r="AR175" s="61"/>
    </row>
    <row r="176" ht="15.75" customHeight="1">
      <c r="C176" s="98"/>
      <c r="D176" s="38"/>
      <c r="E176" s="38"/>
      <c r="F176" s="98"/>
      <c r="G176" s="39"/>
      <c r="H176" s="39"/>
      <c r="I176" s="39"/>
      <c r="J176" s="39"/>
      <c r="K176" s="39"/>
      <c r="L176" s="39"/>
      <c r="M176" s="99"/>
      <c r="N176" s="39"/>
      <c r="O176" s="39"/>
      <c r="P176" s="39"/>
      <c r="Q176" s="39"/>
      <c r="R176" s="39"/>
      <c r="S176" s="39"/>
      <c r="T176" s="39"/>
      <c r="AR176" s="61"/>
    </row>
    <row r="177" ht="15.75" customHeight="1">
      <c r="C177" s="98"/>
      <c r="D177" s="38"/>
      <c r="E177" s="38"/>
      <c r="F177" s="98"/>
      <c r="G177" s="39"/>
      <c r="H177" s="39"/>
      <c r="I177" s="39"/>
      <c r="J177" s="39"/>
      <c r="K177" s="39"/>
      <c r="L177" s="39"/>
      <c r="M177" s="99"/>
      <c r="N177" s="39"/>
      <c r="O177" s="39"/>
      <c r="P177" s="39"/>
      <c r="Q177" s="39"/>
      <c r="R177" s="39"/>
      <c r="S177" s="39"/>
      <c r="T177" s="39"/>
      <c r="AR177" s="61"/>
    </row>
    <row r="178" ht="15.75" customHeight="1">
      <c r="C178" s="98"/>
      <c r="D178" s="38"/>
      <c r="E178" s="38"/>
      <c r="F178" s="98"/>
      <c r="G178" s="39"/>
      <c r="H178" s="39"/>
      <c r="I178" s="39"/>
      <c r="J178" s="39"/>
      <c r="K178" s="39"/>
      <c r="L178" s="39"/>
      <c r="M178" s="99"/>
      <c r="N178" s="39"/>
      <c r="O178" s="39"/>
      <c r="P178" s="39"/>
      <c r="Q178" s="39"/>
      <c r="R178" s="39"/>
      <c r="S178" s="39"/>
      <c r="T178" s="39"/>
      <c r="AR178" s="61"/>
    </row>
    <row r="179" ht="15.75" customHeight="1">
      <c r="C179" s="98"/>
      <c r="D179" s="38"/>
      <c r="E179" s="38"/>
      <c r="F179" s="98"/>
      <c r="G179" s="39"/>
      <c r="H179" s="39"/>
      <c r="I179" s="39"/>
      <c r="J179" s="39"/>
      <c r="K179" s="39"/>
      <c r="L179" s="39"/>
      <c r="M179" s="99"/>
      <c r="N179" s="39"/>
      <c r="O179" s="39"/>
      <c r="P179" s="39"/>
      <c r="Q179" s="39"/>
      <c r="R179" s="39"/>
      <c r="S179" s="39"/>
      <c r="T179" s="39"/>
      <c r="AR179" s="61"/>
    </row>
    <row r="180" ht="15.75" customHeight="1">
      <c r="C180" s="98"/>
      <c r="D180" s="38"/>
      <c r="E180" s="38"/>
      <c r="F180" s="98"/>
      <c r="G180" s="39"/>
      <c r="H180" s="39"/>
      <c r="I180" s="39"/>
      <c r="J180" s="39"/>
      <c r="K180" s="39"/>
      <c r="L180" s="39"/>
      <c r="M180" s="99"/>
      <c r="N180" s="39"/>
      <c r="O180" s="39"/>
      <c r="P180" s="39"/>
      <c r="Q180" s="39"/>
      <c r="R180" s="39"/>
      <c r="S180" s="39"/>
      <c r="T180" s="39"/>
      <c r="AR180" s="61"/>
    </row>
    <row r="181" ht="15.75" customHeight="1">
      <c r="C181" s="98"/>
      <c r="D181" s="38"/>
      <c r="E181" s="38"/>
      <c r="F181" s="98"/>
      <c r="G181" s="39"/>
      <c r="H181" s="39"/>
      <c r="I181" s="39"/>
      <c r="J181" s="39"/>
      <c r="K181" s="39"/>
      <c r="L181" s="39"/>
      <c r="M181" s="99"/>
      <c r="N181" s="39"/>
      <c r="O181" s="39"/>
      <c r="P181" s="39"/>
      <c r="Q181" s="39"/>
      <c r="R181" s="39"/>
      <c r="S181" s="39"/>
      <c r="T181" s="39"/>
      <c r="AR181" s="61"/>
    </row>
    <row r="182" ht="15.75" customHeight="1">
      <c r="C182" s="98"/>
      <c r="D182" s="38"/>
      <c r="E182" s="38"/>
      <c r="F182" s="98"/>
      <c r="G182" s="39"/>
      <c r="H182" s="39"/>
      <c r="I182" s="39"/>
      <c r="J182" s="39"/>
      <c r="K182" s="39"/>
      <c r="L182" s="39"/>
      <c r="M182" s="99"/>
      <c r="N182" s="39"/>
      <c r="O182" s="39"/>
      <c r="P182" s="39"/>
      <c r="Q182" s="39"/>
      <c r="R182" s="39"/>
      <c r="S182" s="39"/>
      <c r="T182" s="39"/>
      <c r="AR182" s="61"/>
    </row>
    <row r="183" ht="15.75" customHeight="1">
      <c r="C183" s="98"/>
      <c r="D183" s="38"/>
      <c r="E183" s="38"/>
      <c r="F183" s="98"/>
      <c r="G183" s="39"/>
      <c r="H183" s="39"/>
      <c r="I183" s="39"/>
      <c r="J183" s="39"/>
      <c r="K183" s="39"/>
      <c r="L183" s="39"/>
      <c r="M183" s="99"/>
      <c r="N183" s="39"/>
      <c r="O183" s="39"/>
      <c r="P183" s="39"/>
      <c r="Q183" s="39"/>
      <c r="R183" s="39"/>
      <c r="S183" s="39"/>
      <c r="T183" s="39"/>
      <c r="AR183" s="61"/>
    </row>
    <row r="184" ht="15.75" customHeight="1">
      <c r="C184" s="98"/>
      <c r="D184" s="38"/>
      <c r="E184" s="38"/>
      <c r="F184" s="98"/>
      <c r="G184" s="39"/>
      <c r="H184" s="39"/>
      <c r="I184" s="39"/>
      <c r="J184" s="39"/>
      <c r="K184" s="39"/>
      <c r="L184" s="39"/>
      <c r="M184" s="99"/>
      <c r="N184" s="39"/>
      <c r="O184" s="39"/>
      <c r="P184" s="39"/>
      <c r="Q184" s="39"/>
      <c r="R184" s="39"/>
      <c r="S184" s="39"/>
      <c r="T184" s="39"/>
      <c r="AR184" s="61"/>
    </row>
    <row r="185" ht="15.75" customHeight="1">
      <c r="C185" s="98"/>
      <c r="D185" s="38"/>
      <c r="E185" s="38"/>
      <c r="F185" s="98"/>
      <c r="G185" s="39"/>
      <c r="H185" s="39"/>
      <c r="I185" s="39"/>
      <c r="J185" s="39"/>
      <c r="K185" s="39"/>
      <c r="L185" s="39"/>
      <c r="M185" s="99"/>
      <c r="N185" s="39"/>
      <c r="O185" s="39"/>
      <c r="P185" s="39"/>
      <c r="Q185" s="39"/>
      <c r="R185" s="39"/>
      <c r="S185" s="39"/>
      <c r="T185" s="39"/>
      <c r="AR185" s="61"/>
    </row>
    <row r="186" ht="15.75" customHeight="1">
      <c r="C186" s="98"/>
      <c r="D186" s="38"/>
      <c r="E186" s="38"/>
      <c r="F186" s="98"/>
      <c r="G186" s="39"/>
      <c r="H186" s="39"/>
      <c r="I186" s="39"/>
      <c r="J186" s="39"/>
      <c r="K186" s="39"/>
      <c r="L186" s="39"/>
      <c r="M186" s="99"/>
      <c r="N186" s="39"/>
      <c r="O186" s="39"/>
      <c r="P186" s="39"/>
      <c r="Q186" s="39"/>
      <c r="R186" s="39"/>
      <c r="S186" s="39"/>
      <c r="T186" s="39"/>
      <c r="AR186" s="61"/>
    </row>
    <row r="187" ht="15.75" customHeight="1">
      <c r="C187" s="98"/>
      <c r="D187" s="38"/>
      <c r="E187" s="38"/>
      <c r="F187" s="98"/>
      <c r="G187" s="39"/>
      <c r="H187" s="39"/>
      <c r="I187" s="39"/>
      <c r="J187" s="39"/>
      <c r="K187" s="39"/>
      <c r="L187" s="39"/>
      <c r="M187" s="99"/>
      <c r="N187" s="39"/>
      <c r="O187" s="39"/>
      <c r="P187" s="39"/>
      <c r="Q187" s="39"/>
      <c r="R187" s="39"/>
      <c r="S187" s="39"/>
      <c r="T187" s="39"/>
      <c r="AR187" s="61"/>
    </row>
    <row r="188" ht="15.75" customHeight="1">
      <c r="C188" s="98"/>
      <c r="D188" s="38"/>
      <c r="E188" s="38"/>
      <c r="F188" s="98"/>
      <c r="G188" s="39"/>
      <c r="H188" s="39"/>
      <c r="I188" s="39"/>
      <c r="J188" s="39"/>
      <c r="K188" s="39"/>
      <c r="L188" s="39"/>
      <c r="M188" s="99"/>
      <c r="N188" s="39"/>
      <c r="O188" s="39"/>
      <c r="P188" s="39"/>
      <c r="Q188" s="39"/>
      <c r="R188" s="39"/>
      <c r="S188" s="39"/>
      <c r="T188" s="39"/>
      <c r="AR188" s="61"/>
    </row>
    <row r="189" ht="15.75" customHeight="1">
      <c r="C189" s="98"/>
      <c r="D189" s="38"/>
      <c r="E189" s="38"/>
      <c r="F189" s="98"/>
      <c r="G189" s="39"/>
      <c r="H189" s="39"/>
      <c r="I189" s="39"/>
      <c r="J189" s="39"/>
      <c r="K189" s="39"/>
      <c r="L189" s="39"/>
      <c r="M189" s="99"/>
      <c r="N189" s="39"/>
      <c r="O189" s="39"/>
      <c r="P189" s="39"/>
      <c r="Q189" s="39"/>
      <c r="R189" s="39"/>
      <c r="S189" s="39"/>
      <c r="T189" s="39"/>
      <c r="AR189" s="61"/>
    </row>
    <row r="190" ht="15.75" customHeight="1">
      <c r="C190" s="98"/>
      <c r="D190" s="38"/>
      <c r="E190" s="38"/>
      <c r="F190" s="98"/>
      <c r="G190" s="39"/>
      <c r="H190" s="39"/>
      <c r="I190" s="39"/>
      <c r="J190" s="39"/>
      <c r="K190" s="39"/>
      <c r="L190" s="39"/>
      <c r="M190" s="99"/>
      <c r="N190" s="39"/>
      <c r="O190" s="39"/>
      <c r="P190" s="39"/>
      <c r="Q190" s="39"/>
      <c r="R190" s="39"/>
      <c r="S190" s="39"/>
      <c r="T190" s="39"/>
      <c r="AR190" s="61"/>
    </row>
    <row r="191" ht="15.75" customHeight="1">
      <c r="C191" s="98"/>
      <c r="D191" s="38"/>
      <c r="E191" s="38"/>
      <c r="F191" s="98"/>
      <c r="G191" s="39"/>
      <c r="H191" s="39"/>
      <c r="I191" s="39"/>
      <c r="J191" s="39"/>
      <c r="K191" s="39"/>
      <c r="L191" s="39"/>
      <c r="M191" s="99"/>
      <c r="N191" s="39"/>
      <c r="O191" s="39"/>
      <c r="P191" s="39"/>
      <c r="Q191" s="39"/>
      <c r="R191" s="39"/>
      <c r="S191" s="39"/>
      <c r="T191" s="39"/>
      <c r="AR191" s="61"/>
    </row>
    <row r="192" ht="15.75" customHeight="1">
      <c r="C192" s="98"/>
      <c r="D192" s="38"/>
      <c r="E192" s="38"/>
      <c r="F192" s="98"/>
      <c r="G192" s="39"/>
      <c r="H192" s="39"/>
      <c r="I192" s="39"/>
      <c r="J192" s="39"/>
      <c r="K192" s="39"/>
      <c r="L192" s="39"/>
      <c r="M192" s="99"/>
      <c r="N192" s="39"/>
      <c r="O192" s="39"/>
      <c r="P192" s="39"/>
      <c r="Q192" s="39"/>
      <c r="R192" s="39"/>
      <c r="S192" s="39"/>
      <c r="T192" s="39"/>
      <c r="AR192" s="61"/>
    </row>
    <row r="193" ht="15.75" customHeight="1">
      <c r="C193" s="98"/>
      <c r="D193" s="38"/>
      <c r="E193" s="38"/>
      <c r="F193" s="98"/>
      <c r="G193" s="39"/>
      <c r="H193" s="39"/>
      <c r="I193" s="39"/>
      <c r="J193" s="39"/>
      <c r="K193" s="39"/>
      <c r="L193" s="39"/>
      <c r="M193" s="99"/>
      <c r="N193" s="39"/>
      <c r="O193" s="39"/>
      <c r="P193" s="39"/>
      <c r="Q193" s="39"/>
      <c r="R193" s="39"/>
      <c r="S193" s="39"/>
      <c r="T193" s="39"/>
      <c r="AR193" s="61"/>
    </row>
    <row r="194" ht="15.75" customHeight="1">
      <c r="C194" s="98"/>
      <c r="D194" s="38"/>
      <c r="E194" s="38"/>
      <c r="F194" s="98"/>
      <c r="G194" s="39"/>
      <c r="H194" s="39"/>
      <c r="I194" s="39"/>
      <c r="J194" s="39"/>
      <c r="K194" s="39"/>
      <c r="L194" s="39"/>
      <c r="M194" s="99"/>
      <c r="N194" s="39"/>
      <c r="O194" s="39"/>
      <c r="P194" s="39"/>
      <c r="Q194" s="39"/>
      <c r="R194" s="39"/>
      <c r="S194" s="39"/>
      <c r="T194" s="39"/>
      <c r="AR194" s="61"/>
    </row>
    <row r="195" ht="15.75" customHeight="1">
      <c r="C195" s="98"/>
      <c r="D195" s="38"/>
      <c r="E195" s="38"/>
      <c r="F195" s="98"/>
      <c r="G195" s="39"/>
      <c r="H195" s="39"/>
      <c r="I195" s="39"/>
      <c r="J195" s="39"/>
      <c r="K195" s="39"/>
      <c r="L195" s="39"/>
      <c r="M195" s="99"/>
      <c r="N195" s="39"/>
      <c r="O195" s="39"/>
      <c r="P195" s="39"/>
      <c r="Q195" s="39"/>
      <c r="R195" s="39"/>
      <c r="S195" s="39"/>
      <c r="T195" s="39"/>
      <c r="AR195" s="61"/>
    </row>
    <row r="196" ht="15.75" customHeight="1">
      <c r="C196" s="98"/>
      <c r="D196" s="38"/>
      <c r="E196" s="38"/>
      <c r="F196" s="98"/>
      <c r="G196" s="39"/>
      <c r="H196" s="39"/>
      <c r="I196" s="39"/>
      <c r="J196" s="39"/>
      <c r="K196" s="39"/>
      <c r="L196" s="39"/>
      <c r="M196" s="99"/>
      <c r="N196" s="39"/>
      <c r="O196" s="39"/>
      <c r="P196" s="39"/>
      <c r="Q196" s="39"/>
      <c r="R196" s="39"/>
      <c r="S196" s="39"/>
      <c r="T196" s="39"/>
      <c r="AR196" s="61"/>
    </row>
    <row r="197" ht="15.75" customHeight="1">
      <c r="C197" s="98"/>
      <c r="D197" s="38"/>
      <c r="E197" s="38"/>
      <c r="F197" s="98"/>
      <c r="G197" s="39"/>
      <c r="H197" s="39"/>
      <c r="I197" s="39"/>
      <c r="J197" s="39"/>
      <c r="K197" s="39"/>
      <c r="L197" s="39"/>
      <c r="M197" s="99"/>
      <c r="N197" s="39"/>
      <c r="O197" s="39"/>
      <c r="P197" s="39"/>
      <c r="Q197" s="39"/>
      <c r="R197" s="39"/>
      <c r="S197" s="39"/>
      <c r="T197" s="39"/>
      <c r="AR197" s="61"/>
    </row>
    <row r="198" ht="15.75" customHeight="1">
      <c r="C198" s="98"/>
      <c r="D198" s="38"/>
      <c r="E198" s="38"/>
      <c r="F198" s="98"/>
      <c r="G198" s="39"/>
      <c r="H198" s="39"/>
      <c r="I198" s="39"/>
      <c r="J198" s="39"/>
      <c r="K198" s="39"/>
      <c r="L198" s="39"/>
      <c r="M198" s="99"/>
      <c r="N198" s="39"/>
      <c r="O198" s="39"/>
      <c r="P198" s="39"/>
      <c r="Q198" s="39"/>
      <c r="R198" s="39"/>
      <c r="S198" s="39"/>
      <c r="T198" s="39"/>
      <c r="AR198" s="61"/>
    </row>
    <row r="199" ht="15.75" customHeight="1">
      <c r="C199" s="98"/>
      <c r="D199" s="38"/>
      <c r="E199" s="38"/>
      <c r="F199" s="98"/>
      <c r="G199" s="39"/>
      <c r="H199" s="39"/>
      <c r="I199" s="39"/>
      <c r="J199" s="39"/>
      <c r="K199" s="39"/>
      <c r="L199" s="39"/>
      <c r="M199" s="99"/>
      <c r="N199" s="39"/>
      <c r="O199" s="39"/>
      <c r="P199" s="39"/>
      <c r="Q199" s="39"/>
      <c r="R199" s="39"/>
      <c r="S199" s="39"/>
      <c r="T199" s="39"/>
      <c r="AR199" s="61"/>
    </row>
    <row r="200" ht="15.75" customHeight="1">
      <c r="C200" s="98"/>
      <c r="D200" s="38"/>
      <c r="E200" s="38"/>
      <c r="F200" s="98"/>
      <c r="G200" s="39"/>
      <c r="H200" s="39"/>
      <c r="I200" s="39"/>
      <c r="J200" s="39"/>
      <c r="K200" s="39"/>
      <c r="L200" s="39"/>
      <c r="M200" s="99"/>
      <c r="N200" s="39"/>
      <c r="O200" s="39"/>
      <c r="P200" s="39"/>
      <c r="Q200" s="39"/>
      <c r="R200" s="39"/>
      <c r="S200" s="39"/>
      <c r="T200" s="39"/>
      <c r="AR200" s="61"/>
    </row>
    <row r="201" ht="15.75" customHeight="1">
      <c r="C201" s="98"/>
      <c r="D201" s="38"/>
      <c r="E201" s="38"/>
      <c r="F201" s="98"/>
      <c r="G201" s="39"/>
      <c r="H201" s="39"/>
      <c r="I201" s="39"/>
      <c r="J201" s="39"/>
      <c r="K201" s="39"/>
      <c r="L201" s="39"/>
      <c r="M201" s="99"/>
      <c r="N201" s="39"/>
      <c r="O201" s="39"/>
      <c r="P201" s="39"/>
      <c r="Q201" s="39"/>
      <c r="R201" s="39"/>
      <c r="S201" s="39"/>
      <c r="T201" s="39"/>
      <c r="AR201" s="61"/>
    </row>
    <row r="202" ht="15.75" customHeight="1">
      <c r="C202" s="98"/>
      <c r="D202" s="38"/>
      <c r="E202" s="38"/>
      <c r="F202" s="98"/>
      <c r="G202" s="39"/>
      <c r="H202" s="39"/>
      <c r="I202" s="39"/>
      <c r="J202" s="39"/>
      <c r="K202" s="39"/>
      <c r="L202" s="39"/>
      <c r="M202" s="99"/>
      <c r="N202" s="39"/>
      <c r="O202" s="39"/>
      <c r="P202" s="39"/>
      <c r="Q202" s="39"/>
      <c r="R202" s="39"/>
      <c r="S202" s="39"/>
      <c r="T202" s="39"/>
      <c r="AR202" s="61"/>
    </row>
    <row r="203" ht="15.75" customHeight="1">
      <c r="C203" s="98"/>
      <c r="D203" s="38"/>
      <c r="E203" s="38"/>
      <c r="F203" s="98"/>
      <c r="G203" s="39"/>
      <c r="H203" s="39"/>
      <c r="I203" s="39"/>
      <c r="J203" s="39"/>
      <c r="K203" s="39"/>
      <c r="L203" s="39"/>
      <c r="M203" s="99"/>
      <c r="N203" s="39"/>
      <c r="O203" s="39"/>
      <c r="P203" s="39"/>
      <c r="Q203" s="39"/>
      <c r="R203" s="39"/>
      <c r="S203" s="39"/>
      <c r="T203" s="39"/>
      <c r="AR203" s="61"/>
    </row>
    <row r="204" ht="15.75" customHeight="1">
      <c r="C204" s="98"/>
      <c r="D204" s="38"/>
      <c r="E204" s="38"/>
      <c r="F204" s="98"/>
      <c r="G204" s="39"/>
      <c r="H204" s="39"/>
      <c r="I204" s="39"/>
      <c r="J204" s="39"/>
      <c r="K204" s="39"/>
      <c r="L204" s="39"/>
      <c r="M204" s="99"/>
      <c r="N204" s="39"/>
      <c r="O204" s="39"/>
      <c r="P204" s="39"/>
      <c r="Q204" s="39"/>
      <c r="R204" s="39"/>
      <c r="S204" s="39"/>
      <c r="T204" s="39"/>
      <c r="AR204" s="61"/>
    </row>
    <row r="205" ht="15.75" customHeight="1">
      <c r="C205" s="98"/>
      <c r="D205" s="38"/>
      <c r="E205" s="38"/>
      <c r="F205" s="98"/>
      <c r="G205" s="39"/>
      <c r="H205" s="39"/>
      <c r="I205" s="39"/>
      <c r="J205" s="39"/>
      <c r="K205" s="39"/>
      <c r="L205" s="39"/>
      <c r="M205" s="99"/>
      <c r="N205" s="39"/>
      <c r="O205" s="39"/>
      <c r="P205" s="39"/>
      <c r="Q205" s="39"/>
      <c r="R205" s="39"/>
      <c r="S205" s="39"/>
      <c r="T205" s="39"/>
      <c r="AR205" s="61"/>
    </row>
    <row r="206" ht="15.75" customHeight="1">
      <c r="C206" s="98"/>
      <c r="D206" s="38"/>
      <c r="E206" s="38"/>
      <c r="F206" s="98"/>
      <c r="G206" s="39"/>
      <c r="H206" s="39"/>
      <c r="I206" s="39"/>
      <c r="J206" s="39"/>
      <c r="K206" s="39"/>
      <c r="L206" s="39"/>
      <c r="M206" s="99"/>
      <c r="N206" s="39"/>
      <c r="O206" s="39"/>
      <c r="P206" s="39"/>
      <c r="Q206" s="39"/>
      <c r="R206" s="39"/>
      <c r="S206" s="39"/>
      <c r="T206" s="39"/>
      <c r="AR206" s="61"/>
    </row>
    <row r="207" ht="15.75" customHeight="1">
      <c r="C207" s="98"/>
      <c r="D207" s="38"/>
      <c r="E207" s="38"/>
      <c r="F207" s="98"/>
      <c r="G207" s="39"/>
      <c r="H207" s="39"/>
      <c r="I207" s="39"/>
      <c r="J207" s="39"/>
      <c r="K207" s="39"/>
      <c r="L207" s="39"/>
      <c r="M207" s="99"/>
      <c r="N207" s="39"/>
      <c r="O207" s="39"/>
      <c r="P207" s="39"/>
      <c r="Q207" s="39"/>
      <c r="R207" s="39"/>
      <c r="S207" s="39"/>
      <c r="T207" s="39"/>
      <c r="AR207" s="61"/>
    </row>
    <row r="208" ht="15.75" customHeight="1">
      <c r="C208" s="98"/>
      <c r="D208" s="38"/>
      <c r="E208" s="38"/>
      <c r="F208" s="98"/>
      <c r="G208" s="39"/>
      <c r="H208" s="39"/>
      <c r="I208" s="39"/>
      <c r="J208" s="39"/>
      <c r="K208" s="39"/>
      <c r="L208" s="39"/>
      <c r="M208" s="99"/>
      <c r="N208" s="39"/>
      <c r="O208" s="39"/>
      <c r="P208" s="39"/>
      <c r="Q208" s="39"/>
      <c r="R208" s="39"/>
      <c r="S208" s="39"/>
      <c r="T208" s="39"/>
      <c r="AR208" s="61"/>
    </row>
    <row r="209" ht="15.75" customHeight="1">
      <c r="C209" s="98"/>
      <c r="D209" s="38"/>
      <c r="E209" s="38"/>
      <c r="F209" s="98"/>
      <c r="G209" s="39"/>
      <c r="H209" s="39"/>
      <c r="I209" s="39"/>
      <c r="J209" s="39"/>
      <c r="K209" s="39"/>
      <c r="L209" s="39"/>
      <c r="M209" s="99"/>
      <c r="N209" s="39"/>
      <c r="O209" s="39"/>
      <c r="P209" s="39"/>
      <c r="Q209" s="39"/>
      <c r="R209" s="39"/>
      <c r="S209" s="39"/>
      <c r="T209" s="39"/>
      <c r="AR209" s="61"/>
    </row>
    <row r="210" ht="15.75" customHeight="1">
      <c r="C210" s="98"/>
      <c r="D210" s="38"/>
      <c r="E210" s="38"/>
      <c r="F210" s="98"/>
      <c r="G210" s="39"/>
      <c r="H210" s="39"/>
      <c r="I210" s="39"/>
      <c r="J210" s="39"/>
      <c r="K210" s="39"/>
      <c r="L210" s="39"/>
      <c r="M210" s="99"/>
      <c r="N210" s="39"/>
      <c r="O210" s="39"/>
      <c r="P210" s="39"/>
      <c r="Q210" s="39"/>
      <c r="R210" s="39"/>
      <c r="S210" s="39"/>
      <c r="T210" s="39"/>
      <c r="AR210" s="61"/>
    </row>
    <row r="211" ht="15.75" customHeight="1">
      <c r="C211" s="98"/>
      <c r="D211" s="38"/>
      <c r="E211" s="38"/>
      <c r="F211" s="98"/>
      <c r="G211" s="39"/>
      <c r="H211" s="39"/>
      <c r="I211" s="39"/>
      <c r="J211" s="39"/>
      <c r="K211" s="39"/>
      <c r="L211" s="39"/>
      <c r="M211" s="99"/>
      <c r="N211" s="39"/>
      <c r="O211" s="39"/>
      <c r="P211" s="39"/>
      <c r="Q211" s="39"/>
      <c r="R211" s="39"/>
      <c r="S211" s="39"/>
      <c r="T211" s="39"/>
      <c r="AR211" s="61"/>
    </row>
    <row r="212" ht="15.75" customHeight="1">
      <c r="C212" s="98"/>
      <c r="D212" s="38"/>
      <c r="E212" s="38"/>
      <c r="F212" s="98"/>
      <c r="G212" s="39"/>
      <c r="H212" s="39"/>
      <c r="I212" s="39"/>
      <c r="J212" s="39"/>
      <c r="K212" s="39"/>
      <c r="L212" s="39"/>
      <c r="M212" s="99"/>
      <c r="N212" s="39"/>
      <c r="O212" s="39"/>
      <c r="P212" s="39"/>
      <c r="Q212" s="39"/>
      <c r="R212" s="39"/>
      <c r="S212" s="39"/>
      <c r="T212" s="39"/>
      <c r="AR212" s="61"/>
    </row>
    <row r="213" ht="15.75" customHeight="1">
      <c r="C213" s="98"/>
      <c r="D213" s="38"/>
      <c r="E213" s="38"/>
      <c r="F213" s="98"/>
      <c r="G213" s="39"/>
      <c r="H213" s="39"/>
      <c r="I213" s="39"/>
      <c r="J213" s="39"/>
      <c r="K213" s="39"/>
      <c r="L213" s="39"/>
      <c r="M213" s="99"/>
      <c r="N213" s="39"/>
      <c r="O213" s="39"/>
      <c r="P213" s="39"/>
      <c r="Q213" s="39"/>
      <c r="R213" s="39"/>
      <c r="S213" s="39"/>
      <c r="T213" s="39"/>
      <c r="AR213" s="61"/>
    </row>
    <row r="214" ht="15.75" customHeight="1">
      <c r="C214" s="98"/>
      <c r="D214" s="38"/>
      <c r="E214" s="38"/>
      <c r="F214" s="98"/>
      <c r="G214" s="39"/>
      <c r="H214" s="39"/>
      <c r="I214" s="39"/>
      <c r="J214" s="39"/>
      <c r="K214" s="39"/>
      <c r="L214" s="39"/>
      <c r="M214" s="99"/>
      <c r="N214" s="39"/>
      <c r="O214" s="39"/>
      <c r="P214" s="39"/>
      <c r="Q214" s="39"/>
      <c r="R214" s="39"/>
      <c r="S214" s="39"/>
      <c r="T214" s="39"/>
      <c r="AR214" s="61"/>
    </row>
    <row r="215" ht="15.75" customHeight="1">
      <c r="C215" s="98"/>
      <c r="D215" s="38"/>
      <c r="E215" s="38"/>
      <c r="F215" s="98"/>
      <c r="G215" s="39"/>
      <c r="H215" s="39"/>
      <c r="I215" s="39"/>
      <c r="J215" s="39"/>
      <c r="K215" s="39"/>
      <c r="L215" s="39"/>
      <c r="M215" s="99"/>
      <c r="N215" s="39"/>
      <c r="O215" s="39"/>
      <c r="P215" s="39"/>
      <c r="Q215" s="39"/>
      <c r="R215" s="39"/>
      <c r="S215" s="39"/>
      <c r="T215" s="39"/>
      <c r="AR215" s="61"/>
    </row>
    <row r="216" ht="15.75" customHeight="1">
      <c r="C216" s="98"/>
      <c r="D216" s="38"/>
      <c r="E216" s="38"/>
      <c r="F216" s="98"/>
      <c r="G216" s="39"/>
      <c r="H216" s="39"/>
      <c r="I216" s="39"/>
      <c r="J216" s="39"/>
      <c r="K216" s="39"/>
      <c r="L216" s="39"/>
      <c r="M216" s="99"/>
      <c r="N216" s="39"/>
      <c r="O216" s="39"/>
      <c r="P216" s="39"/>
      <c r="Q216" s="39"/>
      <c r="R216" s="39"/>
      <c r="S216" s="39"/>
      <c r="T216" s="39"/>
      <c r="AR216" s="61"/>
    </row>
    <row r="217" ht="15.75" customHeight="1">
      <c r="C217" s="98"/>
      <c r="D217" s="38"/>
      <c r="E217" s="38"/>
      <c r="F217" s="98"/>
      <c r="G217" s="39"/>
      <c r="H217" s="39"/>
      <c r="I217" s="39"/>
      <c r="J217" s="39"/>
      <c r="K217" s="39"/>
      <c r="L217" s="39"/>
      <c r="M217" s="99"/>
      <c r="N217" s="39"/>
      <c r="O217" s="39"/>
      <c r="P217" s="39"/>
      <c r="Q217" s="39"/>
      <c r="R217" s="39"/>
      <c r="S217" s="39"/>
      <c r="T217" s="39"/>
      <c r="AR217" s="61"/>
    </row>
    <row r="218" ht="15.75" customHeight="1">
      <c r="C218" s="98"/>
      <c r="D218" s="38"/>
      <c r="E218" s="38"/>
      <c r="F218" s="98"/>
      <c r="G218" s="39"/>
      <c r="H218" s="39"/>
      <c r="I218" s="39"/>
      <c r="J218" s="39"/>
      <c r="K218" s="39"/>
      <c r="L218" s="39"/>
      <c r="M218" s="99"/>
      <c r="N218" s="39"/>
      <c r="O218" s="39"/>
      <c r="P218" s="39"/>
      <c r="Q218" s="39"/>
      <c r="R218" s="39"/>
      <c r="S218" s="39"/>
      <c r="T218" s="39"/>
      <c r="AR218" s="61"/>
    </row>
    <row r="219" ht="15.75" customHeight="1">
      <c r="C219" s="98"/>
      <c r="D219" s="38"/>
      <c r="E219" s="38"/>
      <c r="F219" s="98"/>
      <c r="G219" s="39"/>
      <c r="H219" s="39"/>
      <c r="I219" s="39"/>
      <c r="J219" s="39"/>
      <c r="K219" s="39"/>
      <c r="L219" s="39"/>
      <c r="M219" s="99"/>
      <c r="N219" s="39"/>
      <c r="O219" s="39"/>
      <c r="P219" s="39"/>
      <c r="Q219" s="39"/>
      <c r="R219" s="39"/>
      <c r="S219" s="39"/>
      <c r="T219" s="39"/>
      <c r="AR219" s="61"/>
    </row>
    <row r="220" ht="15.75" customHeight="1">
      <c r="C220" s="98"/>
      <c r="D220" s="38"/>
      <c r="E220" s="38"/>
      <c r="F220" s="98"/>
      <c r="G220" s="39"/>
      <c r="H220" s="39"/>
      <c r="I220" s="39"/>
      <c r="J220" s="39"/>
      <c r="K220" s="39"/>
      <c r="L220" s="39"/>
      <c r="M220" s="99"/>
      <c r="N220" s="39"/>
      <c r="O220" s="39"/>
      <c r="P220" s="39"/>
      <c r="Q220" s="39"/>
      <c r="R220" s="39"/>
      <c r="S220" s="39"/>
      <c r="T220" s="39"/>
      <c r="AR220" s="61"/>
    </row>
    <row r="221" ht="15.75" customHeight="1">
      <c r="C221" s="98"/>
      <c r="D221" s="38"/>
      <c r="E221" s="38"/>
      <c r="F221" s="98"/>
      <c r="G221" s="39"/>
      <c r="H221" s="39"/>
      <c r="I221" s="39"/>
      <c r="J221" s="39"/>
      <c r="K221" s="39"/>
      <c r="L221" s="39"/>
      <c r="M221" s="99"/>
      <c r="N221" s="39"/>
      <c r="O221" s="39"/>
      <c r="P221" s="39"/>
      <c r="Q221" s="39"/>
      <c r="R221" s="39"/>
      <c r="S221" s="39"/>
      <c r="T221" s="39"/>
      <c r="AR221" s="61"/>
    </row>
    <row r="222" ht="15.75" customHeight="1">
      <c r="C222" s="98"/>
      <c r="D222" s="38"/>
      <c r="E222" s="38"/>
      <c r="F222" s="98"/>
      <c r="G222" s="39"/>
      <c r="H222" s="39"/>
      <c r="I222" s="39"/>
      <c r="J222" s="39"/>
      <c r="K222" s="39"/>
      <c r="L222" s="39"/>
      <c r="M222" s="99"/>
      <c r="N222" s="39"/>
      <c r="O222" s="39"/>
      <c r="P222" s="39"/>
      <c r="Q222" s="39"/>
      <c r="R222" s="39"/>
      <c r="S222" s="39"/>
      <c r="T222" s="39"/>
      <c r="AR222" s="61"/>
    </row>
    <row r="223" ht="15.75" customHeight="1">
      <c r="C223" s="98"/>
      <c r="D223" s="38"/>
      <c r="E223" s="38"/>
      <c r="F223" s="98"/>
      <c r="G223" s="39"/>
      <c r="H223" s="39"/>
      <c r="I223" s="39"/>
      <c r="J223" s="39"/>
      <c r="K223" s="39"/>
      <c r="L223" s="39"/>
      <c r="M223" s="99"/>
      <c r="N223" s="39"/>
      <c r="O223" s="39"/>
      <c r="P223" s="39"/>
      <c r="Q223" s="39"/>
      <c r="R223" s="39"/>
      <c r="S223" s="39"/>
      <c r="T223" s="39"/>
      <c r="AR223" s="61"/>
    </row>
    <row r="224" ht="15.75" customHeight="1">
      <c r="C224" s="98"/>
      <c r="D224" s="38"/>
      <c r="E224" s="38"/>
      <c r="F224" s="98"/>
      <c r="G224" s="39"/>
      <c r="H224" s="39"/>
      <c r="I224" s="39"/>
      <c r="J224" s="39"/>
      <c r="K224" s="39"/>
      <c r="L224" s="39"/>
      <c r="M224" s="99"/>
      <c r="N224" s="39"/>
      <c r="O224" s="39"/>
      <c r="P224" s="39"/>
      <c r="Q224" s="39"/>
      <c r="R224" s="39"/>
      <c r="S224" s="39"/>
      <c r="T224" s="39"/>
      <c r="AR224" s="61"/>
    </row>
    <row r="225" ht="15.75" customHeight="1">
      <c r="C225" s="98"/>
      <c r="D225" s="38"/>
      <c r="E225" s="38"/>
      <c r="F225" s="98"/>
      <c r="G225" s="39"/>
      <c r="H225" s="39"/>
      <c r="I225" s="39"/>
      <c r="J225" s="39"/>
      <c r="K225" s="39"/>
      <c r="L225" s="39"/>
      <c r="M225" s="99"/>
      <c r="N225" s="39"/>
      <c r="O225" s="39"/>
      <c r="P225" s="39"/>
      <c r="Q225" s="39"/>
      <c r="R225" s="39"/>
      <c r="S225" s="39"/>
      <c r="T225" s="39"/>
      <c r="AR225" s="61"/>
    </row>
    <row r="226" ht="15.75" customHeight="1">
      <c r="C226" s="98"/>
      <c r="D226" s="38"/>
      <c r="E226" s="38"/>
      <c r="F226" s="98"/>
      <c r="G226" s="39"/>
      <c r="H226" s="39"/>
      <c r="I226" s="39"/>
      <c r="J226" s="39"/>
      <c r="K226" s="39"/>
      <c r="L226" s="39"/>
      <c r="M226" s="99"/>
      <c r="N226" s="39"/>
      <c r="O226" s="39"/>
      <c r="P226" s="39"/>
      <c r="Q226" s="39"/>
      <c r="R226" s="39"/>
      <c r="S226" s="39"/>
      <c r="T226" s="39"/>
      <c r="AR226" s="61"/>
    </row>
    <row r="227" ht="15.75" customHeight="1">
      <c r="C227" s="98"/>
      <c r="D227" s="38"/>
      <c r="E227" s="38"/>
      <c r="F227" s="98"/>
      <c r="G227" s="39"/>
      <c r="H227" s="39"/>
      <c r="I227" s="39"/>
      <c r="J227" s="39"/>
      <c r="K227" s="39"/>
      <c r="L227" s="39"/>
      <c r="M227" s="99"/>
      <c r="N227" s="39"/>
      <c r="O227" s="39"/>
      <c r="P227" s="39"/>
      <c r="Q227" s="39"/>
      <c r="R227" s="39"/>
      <c r="S227" s="39"/>
      <c r="T227" s="39"/>
      <c r="AR227" s="61"/>
    </row>
    <row r="228" ht="15.75" customHeight="1">
      <c r="C228" s="98"/>
      <c r="D228" s="38"/>
      <c r="E228" s="38"/>
      <c r="F228" s="98"/>
      <c r="G228" s="39"/>
      <c r="H228" s="39"/>
      <c r="I228" s="39"/>
      <c r="J228" s="39"/>
      <c r="K228" s="39"/>
      <c r="L228" s="39"/>
      <c r="M228" s="99"/>
      <c r="N228" s="39"/>
      <c r="O228" s="39"/>
      <c r="P228" s="39"/>
      <c r="Q228" s="39"/>
      <c r="R228" s="39"/>
      <c r="S228" s="39"/>
      <c r="T228" s="39"/>
      <c r="AR228" s="61"/>
    </row>
    <row r="229" ht="15.75" customHeight="1">
      <c r="C229" s="98"/>
      <c r="D229" s="38"/>
      <c r="E229" s="38"/>
      <c r="F229" s="98"/>
      <c r="G229" s="39"/>
      <c r="H229" s="39"/>
      <c r="I229" s="39"/>
      <c r="J229" s="39"/>
      <c r="K229" s="39"/>
      <c r="L229" s="39"/>
      <c r="M229" s="99"/>
      <c r="N229" s="39"/>
      <c r="O229" s="39"/>
      <c r="P229" s="39"/>
      <c r="Q229" s="39"/>
      <c r="R229" s="39"/>
      <c r="S229" s="39"/>
      <c r="T229" s="39"/>
      <c r="AR229" s="61"/>
    </row>
    <row r="230" ht="15.75" customHeight="1">
      <c r="C230" s="98"/>
      <c r="D230" s="38"/>
      <c r="E230" s="38"/>
      <c r="F230" s="98"/>
      <c r="G230" s="39"/>
      <c r="H230" s="39"/>
      <c r="I230" s="39"/>
      <c r="J230" s="39"/>
      <c r="K230" s="39"/>
      <c r="L230" s="39"/>
      <c r="M230" s="99"/>
      <c r="N230" s="39"/>
      <c r="O230" s="39"/>
      <c r="P230" s="39"/>
      <c r="Q230" s="39"/>
      <c r="R230" s="39"/>
      <c r="S230" s="39"/>
      <c r="T230" s="39"/>
      <c r="AR230" s="61"/>
    </row>
    <row r="231" ht="15.75" customHeight="1">
      <c r="C231" s="98"/>
      <c r="D231" s="38"/>
      <c r="E231" s="38"/>
      <c r="F231" s="98"/>
      <c r="G231" s="39"/>
      <c r="H231" s="39"/>
      <c r="I231" s="39"/>
      <c r="J231" s="39"/>
      <c r="K231" s="39"/>
      <c r="L231" s="39"/>
      <c r="M231" s="99"/>
      <c r="N231" s="39"/>
      <c r="O231" s="39"/>
      <c r="P231" s="39"/>
      <c r="Q231" s="39"/>
      <c r="R231" s="39"/>
      <c r="S231" s="39"/>
      <c r="T231" s="39"/>
      <c r="AR231" s="61"/>
    </row>
    <row r="232" ht="15.75" customHeight="1">
      <c r="C232" s="98"/>
      <c r="D232" s="38"/>
      <c r="E232" s="38"/>
      <c r="F232" s="98"/>
      <c r="G232" s="39"/>
      <c r="H232" s="39"/>
      <c r="I232" s="39"/>
      <c r="J232" s="39"/>
      <c r="K232" s="39"/>
      <c r="L232" s="39"/>
      <c r="M232" s="99"/>
      <c r="N232" s="39"/>
      <c r="O232" s="39"/>
      <c r="P232" s="39"/>
      <c r="Q232" s="39"/>
      <c r="R232" s="39"/>
      <c r="S232" s="39"/>
      <c r="T232" s="39"/>
      <c r="AR232" s="61"/>
    </row>
    <row r="233" ht="15.75" customHeight="1">
      <c r="C233" s="98"/>
      <c r="D233" s="38"/>
      <c r="E233" s="38"/>
      <c r="F233" s="98"/>
      <c r="G233" s="39"/>
      <c r="H233" s="39"/>
      <c r="I233" s="39"/>
      <c r="J233" s="39"/>
      <c r="K233" s="39"/>
      <c r="L233" s="39"/>
      <c r="M233" s="99"/>
      <c r="N233" s="39"/>
      <c r="O233" s="39"/>
      <c r="P233" s="39"/>
      <c r="Q233" s="39"/>
      <c r="R233" s="39"/>
      <c r="S233" s="39"/>
      <c r="T233" s="39"/>
      <c r="AR233" s="61"/>
    </row>
    <row r="234" ht="15.75" customHeight="1">
      <c r="C234" s="98"/>
      <c r="D234" s="38"/>
      <c r="E234" s="38"/>
      <c r="F234" s="98"/>
      <c r="G234" s="39"/>
      <c r="H234" s="39"/>
      <c r="I234" s="39"/>
      <c r="J234" s="39"/>
      <c r="K234" s="39"/>
      <c r="L234" s="39"/>
      <c r="M234" s="99"/>
      <c r="N234" s="39"/>
      <c r="O234" s="39"/>
      <c r="P234" s="39"/>
      <c r="Q234" s="39"/>
      <c r="R234" s="39"/>
      <c r="S234" s="39"/>
      <c r="T234" s="39"/>
      <c r="AR234" s="61"/>
    </row>
    <row r="235" ht="15.75" customHeight="1">
      <c r="C235" s="98"/>
      <c r="D235" s="38"/>
      <c r="E235" s="38"/>
      <c r="F235" s="98"/>
      <c r="G235" s="39"/>
      <c r="H235" s="39"/>
      <c r="I235" s="39"/>
      <c r="J235" s="39"/>
      <c r="K235" s="39"/>
      <c r="L235" s="39"/>
      <c r="M235" s="99"/>
      <c r="N235" s="39"/>
      <c r="O235" s="39"/>
      <c r="P235" s="39"/>
      <c r="Q235" s="39"/>
      <c r="R235" s="39"/>
      <c r="S235" s="39"/>
      <c r="T235" s="39"/>
      <c r="AR235" s="61"/>
    </row>
    <row r="236" ht="15.75" customHeight="1">
      <c r="M236" s="130"/>
      <c r="AR236" s="61"/>
    </row>
    <row r="237" ht="15.75" customHeight="1">
      <c r="M237" s="130"/>
      <c r="AR237" s="61"/>
    </row>
    <row r="238" ht="15.75" customHeight="1">
      <c r="M238" s="130"/>
      <c r="AR238" s="61"/>
    </row>
    <row r="239" ht="15.75" customHeight="1">
      <c r="M239" s="130"/>
      <c r="AR239" s="61"/>
    </row>
    <row r="240" ht="15.75" customHeight="1">
      <c r="M240" s="130"/>
      <c r="AR240" s="61"/>
    </row>
    <row r="241" ht="15.75" customHeight="1">
      <c r="M241" s="130"/>
      <c r="AR241" s="61"/>
    </row>
    <row r="242" ht="15.75" customHeight="1">
      <c r="M242" s="130"/>
      <c r="AR242" s="61"/>
    </row>
    <row r="243" ht="15.75" customHeight="1">
      <c r="M243" s="130"/>
      <c r="AR243" s="61"/>
    </row>
    <row r="244" ht="15.75" customHeight="1">
      <c r="M244" s="130"/>
      <c r="AR244" s="61"/>
    </row>
    <row r="245" ht="15.75" customHeight="1">
      <c r="M245" s="130"/>
      <c r="AR245" s="61"/>
    </row>
    <row r="246" ht="15.75" customHeight="1">
      <c r="M246" s="130"/>
      <c r="AR246" s="61"/>
    </row>
    <row r="247" ht="15.75" customHeight="1">
      <c r="M247" s="130"/>
      <c r="AR247" s="61"/>
    </row>
    <row r="248" ht="15.75" customHeight="1">
      <c r="M248" s="130"/>
      <c r="AR248" s="61"/>
    </row>
    <row r="249" ht="15.75" customHeight="1">
      <c r="M249" s="130"/>
      <c r="AR249" s="61"/>
    </row>
    <row r="250" ht="15.75" customHeight="1">
      <c r="M250" s="130"/>
      <c r="AR250" s="61"/>
    </row>
    <row r="251" ht="15.75" customHeight="1">
      <c r="M251" s="130"/>
      <c r="AR251" s="61"/>
    </row>
    <row r="252" ht="15.75" customHeight="1">
      <c r="M252" s="130"/>
      <c r="AR252" s="61"/>
    </row>
    <row r="253" ht="15.75" customHeight="1">
      <c r="M253" s="130"/>
      <c r="AR253" s="61"/>
    </row>
    <row r="254" ht="15.75" customHeight="1">
      <c r="M254" s="130"/>
      <c r="AR254" s="61"/>
    </row>
    <row r="255" ht="15.75" customHeight="1">
      <c r="M255" s="130"/>
      <c r="AR255" s="61"/>
    </row>
    <row r="256" ht="15.75" customHeight="1">
      <c r="M256" s="130"/>
      <c r="AR256" s="61"/>
    </row>
    <row r="257" ht="15.75" customHeight="1">
      <c r="M257" s="130"/>
      <c r="AR257" s="61"/>
    </row>
    <row r="258" ht="15.75" customHeight="1">
      <c r="M258" s="130"/>
      <c r="AR258" s="61"/>
    </row>
    <row r="259" ht="15.75" customHeight="1">
      <c r="M259" s="130"/>
      <c r="AR259" s="61"/>
    </row>
    <row r="260" ht="15.75" customHeight="1">
      <c r="M260" s="130"/>
      <c r="AR260" s="61"/>
    </row>
    <row r="261" ht="15.75" customHeight="1">
      <c r="M261" s="130"/>
      <c r="AR261" s="61"/>
    </row>
    <row r="262" ht="15.75" customHeight="1">
      <c r="M262" s="130"/>
      <c r="AR262" s="61"/>
    </row>
    <row r="263" ht="15.75" customHeight="1">
      <c r="M263" s="130"/>
      <c r="AR263" s="61"/>
    </row>
    <row r="264" ht="15.75" customHeight="1">
      <c r="M264" s="130"/>
      <c r="AR264" s="61"/>
    </row>
    <row r="265" ht="15.75" customHeight="1">
      <c r="M265" s="130"/>
      <c r="AR265" s="61"/>
    </row>
    <row r="266" ht="15.75" customHeight="1">
      <c r="M266" s="130"/>
      <c r="AR266" s="61"/>
    </row>
    <row r="267" ht="15.75" customHeight="1">
      <c r="M267" s="130"/>
      <c r="AR267" s="61"/>
    </row>
    <row r="268" ht="15.75" customHeight="1">
      <c r="M268" s="130"/>
      <c r="AR268" s="61"/>
    </row>
    <row r="269" ht="15.75" customHeight="1">
      <c r="M269" s="130"/>
      <c r="AR269" s="61"/>
    </row>
    <row r="270" ht="15.75" customHeight="1">
      <c r="M270" s="130"/>
      <c r="AR270" s="61"/>
    </row>
    <row r="271" ht="15.75" customHeight="1">
      <c r="M271" s="130"/>
      <c r="AR271" s="61"/>
    </row>
    <row r="272" ht="15.75" customHeight="1">
      <c r="M272" s="130"/>
      <c r="AR272" s="61"/>
    </row>
    <row r="273" ht="15.75" customHeight="1">
      <c r="M273" s="130"/>
      <c r="AR273" s="61"/>
    </row>
    <row r="274" ht="15.75" customHeight="1">
      <c r="M274" s="130"/>
      <c r="AR274" s="61"/>
    </row>
    <row r="275" ht="15.75" customHeight="1">
      <c r="M275" s="130"/>
      <c r="AR275" s="61"/>
    </row>
    <row r="276" ht="15.75" customHeight="1">
      <c r="M276" s="130"/>
      <c r="AR276" s="61"/>
    </row>
    <row r="277" ht="15.75" customHeight="1">
      <c r="M277" s="130"/>
      <c r="AR277" s="61"/>
    </row>
    <row r="278" ht="15.75" customHeight="1">
      <c r="M278" s="130"/>
      <c r="AR278" s="61"/>
    </row>
    <row r="279" ht="15.75" customHeight="1">
      <c r="M279" s="130"/>
      <c r="AR279" s="61"/>
    </row>
    <row r="280" ht="15.75" customHeight="1">
      <c r="M280" s="130"/>
      <c r="AR280" s="61"/>
    </row>
    <row r="281" ht="15.75" customHeight="1">
      <c r="M281" s="130"/>
      <c r="AR281" s="61"/>
    </row>
    <row r="282" ht="15.75" customHeight="1">
      <c r="M282" s="130"/>
      <c r="AR282" s="61"/>
    </row>
    <row r="283" ht="15.75" customHeight="1">
      <c r="M283" s="130"/>
      <c r="AR283" s="61"/>
    </row>
    <row r="284" ht="15.75" customHeight="1">
      <c r="M284" s="130"/>
      <c r="AR284" s="61"/>
    </row>
    <row r="285" ht="15.75" customHeight="1">
      <c r="M285" s="130"/>
      <c r="AR285" s="61"/>
    </row>
    <row r="286" ht="15.75" customHeight="1">
      <c r="M286" s="130"/>
      <c r="AR286" s="61"/>
    </row>
    <row r="287" ht="15.75" customHeight="1">
      <c r="M287" s="130"/>
      <c r="AR287" s="61"/>
    </row>
    <row r="288" ht="15.75" customHeight="1">
      <c r="M288" s="130"/>
      <c r="AR288" s="61"/>
    </row>
    <row r="289" ht="15.75" customHeight="1">
      <c r="M289" s="130"/>
      <c r="AR289" s="61"/>
    </row>
    <row r="290" ht="15.75" customHeight="1">
      <c r="M290" s="130"/>
      <c r="AR290" s="61"/>
    </row>
    <row r="291" ht="15.75" customHeight="1">
      <c r="M291" s="130"/>
      <c r="AR291" s="61"/>
    </row>
    <row r="292" ht="15.75" customHeight="1">
      <c r="M292" s="130"/>
      <c r="AR292" s="61"/>
    </row>
    <row r="293" ht="15.75" customHeight="1">
      <c r="M293" s="130"/>
      <c r="AR293" s="61"/>
    </row>
    <row r="294" ht="15.75" customHeight="1">
      <c r="M294" s="130"/>
      <c r="AR294" s="61"/>
    </row>
    <row r="295" ht="15.75" customHeight="1">
      <c r="M295" s="130"/>
      <c r="AR295" s="61"/>
    </row>
    <row r="296" ht="15.75" customHeight="1">
      <c r="M296" s="130"/>
      <c r="AR296" s="61"/>
    </row>
    <row r="297" ht="15.75" customHeight="1">
      <c r="M297" s="130"/>
      <c r="AR297" s="61"/>
    </row>
    <row r="298" ht="15.75" customHeight="1">
      <c r="M298" s="130"/>
      <c r="AR298" s="61"/>
    </row>
    <row r="299" ht="15.75" customHeight="1">
      <c r="M299" s="130"/>
      <c r="AR299" s="61"/>
    </row>
    <row r="300" ht="15.75" customHeight="1">
      <c r="M300" s="130"/>
      <c r="AR300" s="61"/>
    </row>
    <row r="301" ht="15.75" customHeight="1">
      <c r="M301" s="130"/>
      <c r="AR301" s="61"/>
    </row>
    <row r="302" ht="15.75" customHeight="1">
      <c r="M302" s="130"/>
      <c r="AR302" s="61"/>
    </row>
    <row r="303" ht="15.75" customHeight="1">
      <c r="M303" s="130"/>
      <c r="AR303" s="61"/>
    </row>
    <row r="304" ht="15.75" customHeight="1">
      <c r="M304" s="130"/>
      <c r="AR304" s="61"/>
    </row>
    <row r="305" ht="15.75" customHeight="1">
      <c r="M305" s="130"/>
      <c r="AR305" s="61"/>
    </row>
    <row r="306" ht="15.75" customHeight="1">
      <c r="M306" s="130"/>
      <c r="AR306" s="61"/>
    </row>
    <row r="307" ht="15.75" customHeight="1">
      <c r="M307" s="130"/>
      <c r="AR307" s="61"/>
    </row>
    <row r="308" ht="15.75" customHeight="1">
      <c r="M308" s="130"/>
      <c r="AR308" s="61"/>
    </row>
    <row r="309" ht="15.75" customHeight="1">
      <c r="M309" s="130"/>
      <c r="AR309" s="61"/>
    </row>
    <row r="310" ht="15.75" customHeight="1">
      <c r="M310" s="130"/>
      <c r="AR310" s="61"/>
    </row>
    <row r="311" ht="15.75" customHeight="1">
      <c r="M311" s="130"/>
      <c r="AR311" s="61"/>
    </row>
    <row r="312" ht="15.75" customHeight="1">
      <c r="M312" s="130"/>
      <c r="AR312" s="61"/>
    </row>
    <row r="313" ht="15.75" customHeight="1">
      <c r="M313" s="130"/>
      <c r="AR313" s="61"/>
    </row>
    <row r="314" ht="15.75" customHeight="1">
      <c r="M314" s="130"/>
      <c r="AR314" s="61"/>
    </row>
    <row r="315" ht="15.75" customHeight="1">
      <c r="M315" s="130"/>
      <c r="AR315" s="61"/>
    </row>
    <row r="316" ht="15.75" customHeight="1">
      <c r="M316" s="130"/>
      <c r="AR316" s="61"/>
    </row>
    <row r="317" ht="15.75" customHeight="1">
      <c r="M317" s="130"/>
      <c r="AR317" s="61"/>
    </row>
    <row r="318" ht="15.75" customHeight="1">
      <c r="M318" s="130"/>
      <c r="AR318" s="61"/>
    </row>
    <row r="319" ht="15.75" customHeight="1">
      <c r="M319" s="130"/>
      <c r="AR319" s="61"/>
    </row>
    <row r="320" ht="15.75" customHeight="1">
      <c r="M320" s="130"/>
      <c r="AR320" s="61"/>
    </row>
    <row r="321" ht="15.75" customHeight="1">
      <c r="M321" s="130"/>
      <c r="AR321" s="61"/>
    </row>
    <row r="322" ht="15.75" customHeight="1">
      <c r="M322" s="130"/>
      <c r="AR322" s="61"/>
    </row>
    <row r="323" ht="15.75" customHeight="1">
      <c r="M323" s="130"/>
      <c r="AR323" s="61"/>
    </row>
    <row r="324" ht="15.75" customHeight="1">
      <c r="M324" s="130"/>
      <c r="AR324" s="61"/>
    </row>
    <row r="325" ht="15.75" customHeight="1">
      <c r="M325" s="130"/>
      <c r="AR325" s="61"/>
    </row>
    <row r="326" ht="15.75" customHeight="1">
      <c r="M326" s="130"/>
      <c r="AR326" s="61"/>
    </row>
    <row r="327" ht="15.75" customHeight="1">
      <c r="M327" s="130"/>
      <c r="AR327" s="61"/>
    </row>
    <row r="328" ht="15.75" customHeight="1">
      <c r="M328" s="130"/>
      <c r="AR328" s="61"/>
    </row>
    <row r="329" ht="15.75" customHeight="1">
      <c r="M329" s="130"/>
      <c r="AR329" s="61"/>
    </row>
    <row r="330" ht="15.75" customHeight="1">
      <c r="M330" s="130"/>
      <c r="AR330" s="61"/>
    </row>
    <row r="331" ht="15.75" customHeight="1">
      <c r="M331" s="130"/>
      <c r="AR331" s="61"/>
    </row>
    <row r="332" ht="15.75" customHeight="1">
      <c r="M332" s="130"/>
      <c r="AR332" s="61"/>
    </row>
    <row r="333" ht="15.75" customHeight="1">
      <c r="M333" s="130"/>
      <c r="AR333" s="61"/>
    </row>
    <row r="334" ht="15.75" customHeight="1">
      <c r="M334" s="130"/>
      <c r="AR334" s="61"/>
    </row>
    <row r="335" ht="15.75" customHeight="1">
      <c r="M335" s="130"/>
      <c r="AR335" s="61"/>
    </row>
    <row r="336" ht="15.75" customHeight="1">
      <c r="M336" s="130"/>
      <c r="AR336" s="61"/>
    </row>
    <row r="337" ht="15.75" customHeight="1">
      <c r="M337" s="130"/>
      <c r="AR337" s="61"/>
    </row>
    <row r="338" ht="15.75" customHeight="1">
      <c r="M338" s="130"/>
      <c r="AR338" s="61"/>
    </row>
    <row r="339" ht="15.75" customHeight="1">
      <c r="M339" s="130"/>
      <c r="AR339" s="61"/>
    </row>
    <row r="340" ht="15.75" customHeight="1">
      <c r="M340" s="130"/>
      <c r="AR340" s="61"/>
    </row>
    <row r="341" ht="15.75" customHeight="1">
      <c r="M341" s="130"/>
      <c r="AR341" s="61"/>
    </row>
    <row r="342" ht="15.75" customHeight="1">
      <c r="M342" s="130"/>
      <c r="AR342" s="61"/>
    </row>
    <row r="343" ht="15.75" customHeight="1">
      <c r="M343" s="130"/>
      <c r="AR343" s="61"/>
    </row>
    <row r="344" ht="15.75" customHeight="1">
      <c r="M344" s="130"/>
      <c r="AR344" s="61"/>
    </row>
    <row r="345" ht="15.75" customHeight="1">
      <c r="M345" s="130"/>
      <c r="AR345" s="61"/>
    </row>
    <row r="346" ht="15.75" customHeight="1">
      <c r="M346" s="130"/>
      <c r="AR346" s="61"/>
    </row>
    <row r="347" ht="15.75" customHeight="1">
      <c r="M347" s="130"/>
      <c r="AR347" s="61"/>
    </row>
    <row r="348" ht="15.75" customHeight="1">
      <c r="M348" s="130"/>
      <c r="AR348" s="61"/>
    </row>
    <row r="349" ht="15.75" customHeight="1">
      <c r="M349" s="130"/>
      <c r="AR349" s="61"/>
    </row>
    <row r="350" ht="15.75" customHeight="1">
      <c r="M350" s="130"/>
      <c r="AR350" s="61"/>
    </row>
    <row r="351" ht="15.75" customHeight="1">
      <c r="M351" s="130"/>
      <c r="AR351" s="61"/>
    </row>
    <row r="352" ht="15.75" customHeight="1">
      <c r="M352" s="130"/>
      <c r="AR352" s="61"/>
    </row>
    <row r="353" ht="15.75" customHeight="1">
      <c r="M353" s="130"/>
      <c r="AR353" s="61"/>
    </row>
    <row r="354" ht="15.75" customHeight="1">
      <c r="M354" s="130"/>
      <c r="AR354" s="61"/>
    </row>
    <row r="355" ht="15.75" customHeight="1">
      <c r="M355" s="130"/>
      <c r="AR355" s="61"/>
    </row>
    <row r="356" ht="15.75" customHeight="1">
      <c r="M356" s="130"/>
      <c r="AR356" s="61"/>
    </row>
    <row r="357" ht="15.75" customHeight="1">
      <c r="M357" s="130"/>
      <c r="AR357" s="61"/>
    </row>
    <row r="358" ht="15.75" customHeight="1">
      <c r="M358" s="130"/>
      <c r="AR358" s="61"/>
    </row>
    <row r="359" ht="15.75" customHeight="1">
      <c r="M359" s="130"/>
      <c r="AR359" s="61"/>
    </row>
    <row r="360" ht="15.75" customHeight="1">
      <c r="M360" s="130"/>
      <c r="AR360" s="61"/>
    </row>
    <row r="361" ht="15.75" customHeight="1">
      <c r="M361" s="130"/>
      <c r="AR361" s="61"/>
    </row>
    <row r="362" ht="15.75" customHeight="1">
      <c r="M362" s="130"/>
      <c r="AR362" s="61"/>
    </row>
    <row r="363" ht="15.75" customHeight="1">
      <c r="M363" s="130"/>
      <c r="AR363" s="61"/>
    </row>
    <row r="364" ht="15.75" customHeight="1">
      <c r="M364" s="130"/>
      <c r="AR364" s="61"/>
    </row>
    <row r="365" ht="15.75" customHeight="1">
      <c r="M365" s="130"/>
      <c r="AR365" s="61"/>
    </row>
    <row r="366" ht="15.75" customHeight="1">
      <c r="M366" s="130"/>
      <c r="AR366" s="61"/>
    </row>
    <row r="367" ht="15.75" customHeight="1">
      <c r="M367" s="130"/>
      <c r="AR367" s="61"/>
    </row>
    <row r="368" ht="15.75" customHeight="1">
      <c r="M368" s="130"/>
      <c r="AR368" s="61"/>
    </row>
    <row r="369" ht="15.75" customHeight="1">
      <c r="M369" s="130"/>
      <c r="AR369" s="61"/>
    </row>
    <row r="370" ht="15.75" customHeight="1">
      <c r="M370" s="130"/>
      <c r="AR370" s="61"/>
    </row>
    <row r="371" ht="15.75" customHeight="1">
      <c r="M371" s="130"/>
      <c r="AR371" s="61"/>
    </row>
    <row r="372" ht="15.75" customHeight="1">
      <c r="M372" s="130"/>
      <c r="AR372" s="61"/>
    </row>
    <row r="373" ht="15.75" customHeight="1">
      <c r="M373" s="130"/>
      <c r="AR373" s="61"/>
    </row>
    <row r="374" ht="15.75" customHeight="1">
      <c r="M374" s="130"/>
      <c r="AR374" s="61"/>
    </row>
    <row r="375" ht="15.75" customHeight="1">
      <c r="M375" s="130"/>
      <c r="AR375" s="61"/>
    </row>
    <row r="376" ht="15.75" customHeight="1">
      <c r="M376" s="130"/>
      <c r="AR376" s="61"/>
    </row>
    <row r="377" ht="15.75" customHeight="1">
      <c r="M377" s="130"/>
      <c r="AR377" s="61"/>
    </row>
    <row r="378" ht="15.75" customHeight="1">
      <c r="M378" s="130"/>
      <c r="AR378" s="61"/>
    </row>
    <row r="379" ht="15.75" customHeight="1">
      <c r="M379" s="130"/>
      <c r="AR379" s="61"/>
    </row>
    <row r="380" ht="15.75" customHeight="1">
      <c r="M380" s="130"/>
      <c r="AR380" s="61"/>
    </row>
    <row r="381" ht="15.75" customHeight="1">
      <c r="M381" s="130"/>
      <c r="AR381" s="61"/>
    </row>
    <row r="382" ht="15.75" customHeight="1">
      <c r="M382" s="130"/>
      <c r="AR382" s="61"/>
    </row>
    <row r="383" ht="15.75" customHeight="1">
      <c r="M383" s="130"/>
      <c r="AR383" s="61"/>
    </row>
    <row r="384" ht="15.75" customHeight="1">
      <c r="M384" s="130"/>
      <c r="AR384" s="61"/>
    </row>
    <row r="385" ht="15.75" customHeight="1">
      <c r="M385" s="130"/>
      <c r="AR385" s="61"/>
    </row>
    <row r="386" ht="15.75" customHeight="1">
      <c r="M386" s="130"/>
      <c r="AR386" s="61"/>
    </row>
    <row r="387" ht="15.75" customHeight="1">
      <c r="M387" s="130"/>
      <c r="AR387" s="61"/>
    </row>
    <row r="388" ht="15.75" customHeight="1">
      <c r="M388" s="130"/>
      <c r="AR388" s="61"/>
    </row>
    <row r="389" ht="15.75" customHeight="1">
      <c r="M389" s="130"/>
      <c r="AR389" s="61"/>
    </row>
    <row r="390" ht="15.75" customHeight="1">
      <c r="M390" s="130"/>
      <c r="AR390" s="61"/>
    </row>
    <row r="391" ht="15.75" customHeight="1">
      <c r="M391" s="130"/>
      <c r="AR391" s="61"/>
    </row>
    <row r="392" ht="15.75" customHeight="1">
      <c r="M392" s="130"/>
      <c r="AR392" s="61"/>
    </row>
    <row r="393" ht="15.75" customHeight="1">
      <c r="M393" s="130"/>
      <c r="AR393" s="61"/>
    </row>
    <row r="394" ht="15.75" customHeight="1">
      <c r="M394" s="130"/>
      <c r="AR394" s="61"/>
    </row>
    <row r="395" ht="15.75" customHeight="1">
      <c r="M395" s="130"/>
      <c r="AR395" s="61"/>
    </row>
    <row r="396" ht="15.75" customHeight="1">
      <c r="M396" s="130"/>
      <c r="AR396" s="61"/>
    </row>
    <row r="397" ht="15.75" customHeight="1">
      <c r="M397" s="130"/>
      <c r="AR397" s="61"/>
    </row>
    <row r="398" ht="15.75" customHeight="1">
      <c r="M398" s="130"/>
      <c r="AR398" s="61"/>
    </row>
    <row r="399" ht="15.75" customHeight="1">
      <c r="M399" s="130"/>
      <c r="AR399" s="61"/>
    </row>
    <row r="400" ht="15.75" customHeight="1">
      <c r="M400" s="130"/>
      <c r="AR400" s="61"/>
    </row>
    <row r="401" ht="15.75" customHeight="1">
      <c r="M401" s="130"/>
      <c r="AR401" s="61"/>
    </row>
    <row r="402" ht="15.75" customHeight="1">
      <c r="M402" s="130"/>
      <c r="AR402" s="61"/>
    </row>
    <row r="403" ht="15.75" customHeight="1">
      <c r="M403" s="130"/>
      <c r="AR403" s="61"/>
    </row>
    <row r="404" ht="15.75" customHeight="1">
      <c r="M404" s="130"/>
      <c r="AR404" s="61"/>
    </row>
    <row r="405" ht="15.75" customHeight="1">
      <c r="M405" s="130"/>
      <c r="AR405" s="61"/>
    </row>
    <row r="406" ht="15.75" customHeight="1">
      <c r="M406" s="130"/>
      <c r="AR406" s="61"/>
    </row>
    <row r="407" ht="15.75" customHeight="1">
      <c r="M407" s="130"/>
      <c r="AR407" s="61"/>
    </row>
    <row r="408" ht="15.75" customHeight="1">
      <c r="M408" s="130"/>
      <c r="AR408" s="61"/>
    </row>
    <row r="409" ht="15.75" customHeight="1">
      <c r="M409" s="130"/>
      <c r="AR409" s="61"/>
    </row>
    <row r="410" ht="15.75" customHeight="1">
      <c r="M410" s="130"/>
      <c r="AR410" s="61"/>
    </row>
    <row r="411" ht="15.75" customHeight="1">
      <c r="M411" s="130"/>
      <c r="AR411" s="61"/>
    </row>
    <row r="412" ht="15.75" customHeight="1">
      <c r="M412" s="130"/>
      <c r="AR412" s="61"/>
    </row>
    <row r="413" ht="15.75" customHeight="1">
      <c r="M413" s="130"/>
      <c r="AR413" s="61"/>
    </row>
    <row r="414" ht="15.75" customHeight="1">
      <c r="M414" s="130"/>
      <c r="AR414" s="61"/>
    </row>
    <row r="415" ht="15.75" customHeight="1">
      <c r="M415" s="130"/>
      <c r="AR415" s="61"/>
    </row>
    <row r="416" ht="15.75" customHeight="1">
      <c r="M416" s="130"/>
      <c r="AR416" s="61"/>
    </row>
    <row r="417" ht="15.75" customHeight="1">
      <c r="M417" s="130"/>
      <c r="AR417" s="61"/>
    </row>
    <row r="418" ht="15.75" customHeight="1">
      <c r="M418" s="130"/>
      <c r="AR418" s="61"/>
    </row>
    <row r="419" ht="15.75" customHeight="1">
      <c r="M419" s="130"/>
      <c r="AR419" s="61"/>
    </row>
    <row r="420" ht="15.75" customHeight="1">
      <c r="M420" s="130"/>
      <c r="AR420" s="61"/>
    </row>
    <row r="421" ht="15.75" customHeight="1">
      <c r="M421" s="130"/>
      <c r="AR421" s="61"/>
    </row>
    <row r="422" ht="15.75" customHeight="1">
      <c r="M422" s="130"/>
      <c r="AR422" s="61"/>
    </row>
    <row r="423" ht="15.75" customHeight="1">
      <c r="M423" s="130"/>
      <c r="AR423" s="61"/>
    </row>
    <row r="424" ht="15.75" customHeight="1">
      <c r="M424" s="130"/>
      <c r="AR424" s="61"/>
    </row>
    <row r="425" ht="15.75" customHeight="1">
      <c r="M425" s="130"/>
      <c r="AR425" s="61"/>
    </row>
    <row r="426" ht="15.75" customHeight="1">
      <c r="M426" s="130"/>
      <c r="AR426" s="61"/>
    </row>
    <row r="427" ht="15.75" customHeight="1">
      <c r="M427" s="130"/>
      <c r="AR427" s="61"/>
    </row>
    <row r="428" ht="15.75" customHeight="1">
      <c r="M428" s="130"/>
      <c r="AR428" s="61"/>
    </row>
    <row r="429" ht="15.75" customHeight="1">
      <c r="M429" s="130"/>
      <c r="AR429" s="61"/>
    </row>
    <row r="430" ht="15.75" customHeight="1">
      <c r="M430" s="130"/>
      <c r="AR430" s="61"/>
    </row>
    <row r="431" ht="15.75" customHeight="1">
      <c r="M431" s="130"/>
      <c r="AR431" s="61"/>
    </row>
    <row r="432" ht="15.75" customHeight="1">
      <c r="M432" s="130"/>
      <c r="AR432" s="61"/>
    </row>
    <row r="433" ht="15.75" customHeight="1">
      <c r="M433" s="130"/>
      <c r="AR433" s="61"/>
    </row>
    <row r="434" ht="15.75" customHeight="1">
      <c r="M434" s="130"/>
      <c r="AR434" s="61"/>
    </row>
    <row r="435" ht="15.75" customHeight="1">
      <c r="M435" s="130"/>
      <c r="AR435" s="61"/>
    </row>
    <row r="436" ht="15.75" customHeight="1">
      <c r="M436" s="130"/>
      <c r="AR436" s="61"/>
    </row>
    <row r="437" ht="15.75" customHeight="1">
      <c r="M437" s="130"/>
      <c r="AR437" s="61"/>
    </row>
    <row r="438" ht="15.75" customHeight="1">
      <c r="M438" s="130"/>
      <c r="AR438" s="61"/>
    </row>
    <row r="439" ht="15.75" customHeight="1">
      <c r="M439" s="130"/>
      <c r="AR439" s="61"/>
    </row>
    <row r="440" ht="15.75" customHeight="1">
      <c r="M440" s="130"/>
      <c r="AR440" s="61"/>
    </row>
    <row r="441" ht="15.75" customHeight="1">
      <c r="M441" s="130"/>
      <c r="AR441" s="61"/>
    </row>
    <row r="442" ht="15.75" customHeight="1">
      <c r="M442" s="130"/>
      <c r="AR442" s="61"/>
    </row>
    <row r="443" ht="15.75" customHeight="1">
      <c r="M443" s="130"/>
      <c r="AR443" s="61"/>
    </row>
    <row r="444" ht="15.75" customHeight="1">
      <c r="M444" s="130"/>
      <c r="AR444" s="61"/>
    </row>
    <row r="445" ht="15.75" customHeight="1">
      <c r="M445" s="130"/>
      <c r="AR445" s="61"/>
    </row>
    <row r="446" ht="15.75" customHeight="1">
      <c r="M446" s="130"/>
      <c r="AR446" s="61"/>
    </row>
    <row r="447" ht="15.75" customHeight="1">
      <c r="M447" s="130"/>
      <c r="AR447" s="61"/>
    </row>
    <row r="448" ht="15.75" customHeight="1">
      <c r="M448" s="130"/>
      <c r="AR448" s="61"/>
    </row>
    <row r="449" ht="15.75" customHeight="1">
      <c r="M449" s="130"/>
      <c r="AR449" s="61"/>
    </row>
    <row r="450" ht="15.75" customHeight="1">
      <c r="M450" s="130"/>
      <c r="AR450" s="61"/>
    </row>
    <row r="451" ht="15.75" customHeight="1">
      <c r="M451" s="130"/>
      <c r="AR451" s="61"/>
    </row>
    <row r="452" ht="15.75" customHeight="1">
      <c r="M452" s="130"/>
      <c r="AR452" s="61"/>
    </row>
    <row r="453" ht="15.75" customHeight="1">
      <c r="M453" s="130"/>
      <c r="AR453" s="61"/>
    </row>
    <row r="454" ht="15.75" customHeight="1">
      <c r="M454" s="130"/>
      <c r="AR454" s="61"/>
    </row>
    <row r="455" ht="15.75" customHeight="1">
      <c r="M455" s="130"/>
      <c r="AR455" s="61"/>
    </row>
    <row r="456" ht="15.75" customHeight="1">
      <c r="M456" s="130"/>
      <c r="AR456" s="61"/>
    </row>
    <row r="457" ht="15.75" customHeight="1">
      <c r="M457" s="130"/>
      <c r="AR457" s="61"/>
    </row>
    <row r="458" ht="15.75" customHeight="1">
      <c r="M458" s="130"/>
      <c r="AR458" s="61"/>
    </row>
    <row r="459" ht="15.75" customHeight="1">
      <c r="M459" s="130"/>
      <c r="AR459" s="61"/>
    </row>
    <row r="460" ht="15.75" customHeight="1">
      <c r="M460" s="130"/>
      <c r="AR460" s="61"/>
    </row>
    <row r="461" ht="15.75" customHeight="1">
      <c r="M461" s="130"/>
      <c r="AR461" s="61"/>
    </row>
    <row r="462" ht="15.75" customHeight="1">
      <c r="M462" s="130"/>
      <c r="AR462" s="61"/>
    </row>
    <row r="463" ht="15.75" customHeight="1">
      <c r="M463" s="130"/>
      <c r="AR463" s="61"/>
    </row>
    <row r="464" ht="15.75" customHeight="1">
      <c r="M464" s="130"/>
      <c r="AR464" s="61"/>
    </row>
    <row r="465" ht="15.75" customHeight="1">
      <c r="M465" s="130"/>
      <c r="AR465" s="61"/>
    </row>
    <row r="466" ht="15.75" customHeight="1">
      <c r="M466" s="130"/>
      <c r="AR466" s="61"/>
    </row>
    <row r="467" ht="15.75" customHeight="1">
      <c r="M467" s="130"/>
      <c r="AR467" s="61"/>
    </row>
    <row r="468" ht="15.75" customHeight="1">
      <c r="M468" s="130"/>
      <c r="AR468" s="61"/>
    </row>
    <row r="469" ht="15.75" customHeight="1">
      <c r="M469" s="130"/>
      <c r="AR469" s="61"/>
    </row>
    <row r="470" ht="15.75" customHeight="1">
      <c r="M470" s="130"/>
      <c r="AR470" s="61"/>
    </row>
    <row r="471" ht="15.75" customHeight="1">
      <c r="M471" s="130"/>
      <c r="AR471" s="61"/>
    </row>
    <row r="472" ht="15.75" customHeight="1">
      <c r="M472" s="130"/>
      <c r="AR472" s="61"/>
    </row>
    <row r="473" ht="15.75" customHeight="1">
      <c r="M473" s="130"/>
      <c r="AR473" s="61"/>
    </row>
    <row r="474" ht="15.75" customHeight="1">
      <c r="M474" s="130"/>
      <c r="AR474" s="61"/>
    </row>
    <row r="475" ht="15.75" customHeight="1">
      <c r="M475" s="130"/>
      <c r="AR475" s="61"/>
    </row>
    <row r="476" ht="15.75" customHeight="1">
      <c r="M476" s="130"/>
      <c r="AR476" s="61"/>
    </row>
    <row r="477" ht="15.75" customHeight="1">
      <c r="M477" s="130"/>
      <c r="AR477" s="61"/>
    </row>
    <row r="478" ht="15.75" customHeight="1">
      <c r="M478" s="130"/>
      <c r="AR478" s="61"/>
    </row>
    <row r="479" ht="15.75" customHeight="1">
      <c r="M479" s="130"/>
      <c r="AR479" s="61"/>
    </row>
    <row r="480" ht="15.75" customHeight="1">
      <c r="M480" s="130"/>
      <c r="AR480" s="61"/>
    </row>
    <row r="481" ht="15.75" customHeight="1">
      <c r="M481" s="130"/>
      <c r="AR481" s="61"/>
    </row>
    <row r="482" ht="15.75" customHeight="1">
      <c r="M482" s="130"/>
      <c r="AR482" s="61"/>
    </row>
    <row r="483" ht="15.75" customHeight="1">
      <c r="M483" s="130"/>
      <c r="AR483" s="61"/>
    </row>
    <row r="484" ht="15.75" customHeight="1">
      <c r="M484" s="130"/>
      <c r="AR484" s="61"/>
    </row>
    <row r="485" ht="15.75" customHeight="1">
      <c r="M485" s="130"/>
      <c r="AR485" s="61"/>
    </row>
    <row r="486" ht="15.75" customHeight="1">
      <c r="M486" s="130"/>
      <c r="AR486" s="61"/>
    </row>
    <row r="487" ht="15.75" customHeight="1">
      <c r="M487" s="130"/>
      <c r="AR487" s="61"/>
    </row>
    <row r="488" ht="15.75" customHeight="1">
      <c r="M488" s="130"/>
      <c r="AR488" s="61"/>
    </row>
    <row r="489" ht="15.75" customHeight="1">
      <c r="M489" s="130"/>
      <c r="AR489" s="61"/>
    </row>
    <row r="490" ht="15.75" customHeight="1">
      <c r="M490" s="130"/>
      <c r="AR490" s="61"/>
    </row>
    <row r="491" ht="15.75" customHeight="1">
      <c r="M491" s="130"/>
      <c r="AR491" s="61"/>
    </row>
    <row r="492" ht="15.75" customHeight="1">
      <c r="M492" s="130"/>
      <c r="AR492" s="61"/>
    </row>
    <row r="493" ht="15.75" customHeight="1">
      <c r="M493" s="130"/>
      <c r="AR493" s="61"/>
    </row>
    <row r="494" ht="15.75" customHeight="1">
      <c r="M494" s="130"/>
      <c r="AR494" s="61"/>
    </row>
    <row r="495" ht="15.75" customHeight="1">
      <c r="M495" s="130"/>
      <c r="AR495" s="61"/>
    </row>
    <row r="496" ht="15.75" customHeight="1">
      <c r="M496" s="130"/>
      <c r="AR496" s="61"/>
    </row>
    <row r="497" ht="15.75" customHeight="1">
      <c r="M497" s="130"/>
      <c r="AR497" s="61"/>
    </row>
    <row r="498" ht="15.75" customHeight="1">
      <c r="M498" s="130"/>
      <c r="AR498" s="61"/>
    </row>
    <row r="499" ht="15.75" customHeight="1">
      <c r="M499" s="130"/>
      <c r="AR499" s="61"/>
    </row>
    <row r="500" ht="15.75" customHeight="1">
      <c r="M500" s="130"/>
      <c r="AR500" s="61"/>
    </row>
    <row r="501" ht="15.75" customHeight="1">
      <c r="M501" s="130"/>
      <c r="AR501" s="61"/>
    </row>
    <row r="502" ht="15.75" customHeight="1">
      <c r="M502" s="130"/>
      <c r="AR502" s="61"/>
    </row>
    <row r="503" ht="15.75" customHeight="1">
      <c r="M503" s="130"/>
      <c r="AR503" s="61"/>
    </row>
    <row r="504" ht="15.75" customHeight="1">
      <c r="M504" s="130"/>
      <c r="AR504" s="61"/>
    </row>
    <row r="505" ht="15.75" customHeight="1">
      <c r="M505" s="130"/>
      <c r="AR505" s="61"/>
    </row>
    <row r="506" ht="15.75" customHeight="1">
      <c r="M506" s="130"/>
      <c r="AR506" s="61"/>
    </row>
    <row r="507" ht="15.75" customHeight="1">
      <c r="M507" s="130"/>
      <c r="AR507" s="61"/>
    </row>
    <row r="508" ht="15.75" customHeight="1">
      <c r="M508" s="130"/>
      <c r="AR508" s="61"/>
    </row>
    <row r="509" ht="15.75" customHeight="1">
      <c r="M509" s="130"/>
      <c r="AR509" s="61"/>
    </row>
    <row r="510" ht="15.75" customHeight="1">
      <c r="M510" s="130"/>
      <c r="AR510" s="61"/>
    </row>
    <row r="511" ht="15.75" customHeight="1">
      <c r="M511" s="130"/>
      <c r="AR511" s="61"/>
    </row>
    <row r="512" ht="15.75" customHeight="1">
      <c r="M512" s="130"/>
      <c r="AR512" s="61"/>
    </row>
    <row r="513" ht="15.75" customHeight="1">
      <c r="M513" s="130"/>
      <c r="AR513" s="61"/>
    </row>
    <row r="514" ht="15.75" customHeight="1">
      <c r="M514" s="130"/>
      <c r="AR514" s="61"/>
    </row>
    <row r="515" ht="15.75" customHeight="1">
      <c r="M515" s="130"/>
      <c r="AR515" s="61"/>
    </row>
    <row r="516" ht="15.75" customHeight="1">
      <c r="M516" s="130"/>
      <c r="AR516" s="61"/>
    </row>
    <row r="517" ht="15.75" customHeight="1">
      <c r="M517" s="130"/>
      <c r="AR517" s="61"/>
    </row>
    <row r="518" ht="15.75" customHeight="1">
      <c r="M518" s="130"/>
      <c r="AR518" s="61"/>
    </row>
    <row r="519" ht="15.75" customHeight="1">
      <c r="M519" s="130"/>
      <c r="AR519" s="61"/>
    </row>
    <row r="520" ht="15.75" customHeight="1">
      <c r="M520" s="130"/>
      <c r="AR520" s="61"/>
    </row>
    <row r="521" ht="15.75" customHeight="1">
      <c r="M521" s="130"/>
      <c r="AR521" s="61"/>
    </row>
    <row r="522" ht="15.75" customHeight="1">
      <c r="M522" s="130"/>
      <c r="AR522" s="61"/>
    </row>
    <row r="523" ht="15.75" customHeight="1">
      <c r="M523" s="130"/>
      <c r="AR523" s="61"/>
    </row>
    <row r="524" ht="15.75" customHeight="1">
      <c r="M524" s="130"/>
      <c r="AR524" s="61"/>
    </row>
    <row r="525" ht="15.75" customHeight="1">
      <c r="M525" s="130"/>
      <c r="AR525" s="61"/>
    </row>
    <row r="526" ht="15.75" customHeight="1">
      <c r="M526" s="130"/>
      <c r="AR526" s="61"/>
    </row>
    <row r="527" ht="15.75" customHeight="1">
      <c r="M527" s="130"/>
      <c r="AR527" s="61"/>
    </row>
    <row r="528" ht="15.75" customHeight="1">
      <c r="M528" s="130"/>
      <c r="AR528" s="61"/>
    </row>
    <row r="529" ht="15.75" customHeight="1">
      <c r="M529" s="130"/>
      <c r="AR529" s="61"/>
    </row>
    <row r="530" ht="15.75" customHeight="1">
      <c r="M530" s="130"/>
      <c r="AR530" s="61"/>
    </row>
    <row r="531" ht="15.75" customHeight="1">
      <c r="M531" s="130"/>
      <c r="AR531" s="61"/>
    </row>
    <row r="532" ht="15.75" customHeight="1">
      <c r="M532" s="130"/>
      <c r="AR532" s="61"/>
    </row>
    <row r="533" ht="15.75" customHeight="1">
      <c r="M533" s="130"/>
      <c r="AR533" s="61"/>
    </row>
    <row r="534" ht="15.75" customHeight="1">
      <c r="M534" s="130"/>
      <c r="AR534" s="61"/>
    </row>
    <row r="535" ht="15.75" customHeight="1">
      <c r="M535" s="130"/>
      <c r="AR535" s="61"/>
    </row>
    <row r="536" ht="15.75" customHeight="1">
      <c r="M536" s="130"/>
      <c r="AR536" s="61"/>
    </row>
    <row r="537" ht="15.75" customHeight="1">
      <c r="M537" s="130"/>
      <c r="AR537" s="61"/>
    </row>
    <row r="538" ht="15.75" customHeight="1">
      <c r="M538" s="130"/>
      <c r="AR538" s="61"/>
    </row>
    <row r="539" ht="15.75" customHeight="1">
      <c r="M539" s="130"/>
      <c r="AR539" s="61"/>
    </row>
    <row r="540" ht="15.75" customHeight="1">
      <c r="M540" s="130"/>
      <c r="AR540" s="61"/>
    </row>
    <row r="541" ht="15.75" customHeight="1">
      <c r="M541" s="130"/>
      <c r="AR541" s="61"/>
    </row>
    <row r="542" ht="15.75" customHeight="1">
      <c r="M542" s="130"/>
      <c r="AR542" s="61"/>
    </row>
    <row r="543" ht="15.75" customHeight="1">
      <c r="M543" s="130"/>
      <c r="AR543" s="61"/>
    </row>
    <row r="544" ht="15.75" customHeight="1">
      <c r="M544" s="130"/>
      <c r="AR544" s="61"/>
    </row>
    <row r="545" ht="15.75" customHeight="1">
      <c r="M545" s="130"/>
      <c r="AR545" s="61"/>
    </row>
    <row r="546" ht="15.75" customHeight="1">
      <c r="M546" s="130"/>
      <c r="AR546" s="61"/>
    </row>
    <row r="547" ht="15.75" customHeight="1">
      <c r="M547" s="130"/>
      <c r="AR547" s="61"/>
    </row>
    <row r="548" ht="15.75" customHeight="1">
      <c r="M548" s="130"/>
      <c r="AR548" s="61"/>
    </row>
    <row r="549" ht="15.75" customHeight="1">
      <c r="M549" s="130"/>
      <c r="AR549" s="61"/>
    </row>
    <row r="550" ht="15.75" customHeight="1">
      <c r="M550" s="130"/>
      <c r="AR550" s="61"/>
    </row>
    <row r="551" ht="15.75" customHeight="1">
      <c r="M551" s="130"/>
      <c r="AR551" s="61"/>
    </row>
    <row r="552" ht="15.75" customHeight="1">
      <c r="M552" s="130"/>
      <c r="AR552" s="61"/>
    </row>
    <row r="553" ht="15.75" customHeight="1">
      <c r="M553" s="130"/>
      <c r="AR553" s="61"/>
    </row>
    <row r="554" ht="15.75" customHeight="1">
      <c r="M554" s="130"/>
      <c r="AR554" s="61"/>
    </row>
    <row r="555" ht="15.75" customHeight="1">
      <c r="M555" s="130"/>
      <c r="AR555" s="61"/>
    </row>
    <row r="556" ht="15.75" customHeight="1">
      <c r="M556" s="130"/>
      <c r="AR556" s="61"/>
    </row>
    <row r="557" ht="15.75" customHeight="1">
      <c r="M557" s="130"/>
      <c r="AR557" s="61"/>
    </row>
    <row r="558" ht="15.75" customHeight="1">
      <c r="M558" s="130"/>
      <c r="AR558" s="61"/>
    </row>
    <row r="559" ht="15.75" customHeight="1">
      <c r="M559" s="130"/>
      <c r="AR559" s="61"/>
    </row>
    <row r="560" ht="15.75" customHeight="1">
      <c r="M560" s="130"/>
      <c r="AR560" s="61"/>
    </row>
    <row r="561" ht="15.75" customHeight="1">
      <c r="M561" s="130"/>
      <c r="AR561" s="61"/>
    </row>
    <row r="562" ht="15.75" customHeight="1">
      <c r="M562" s="130"/>
      <c r="AR562" s="61"/>
    </row>
    <row r="563" ht="15.75" customHeight="1">
      <c r="M563" s="130"/>
      <c r="AR563" s="61"/>
    </row>
    <row r="564" ht="15.75" customHeight="1">
      <c r="M564" s="130"/>
      <c r="AR564" s="61"/>
    </row>
    <row r="565" ht="15.75" customHeight="1">
      <c r="M565" s="130"/>
      <c r="AR565" s="61"/>
    </row>
    <row r="566" ht="15.75" customHeight="1">
      <c r="M566" s="130"/>
      <c r="AR566" s="61"/>
    </row>
    <row r="567" ht="15.75" customHeight="1">
      <c r="M567" s="130"/>
      <c r="AR567" s="61"/>
    </row>
    <row r="568" ht="15.75" customHeight="1">
      <c r="M568" s="130"/>
      <c r="AR568" s="61"/>
    </row>
    <row r="569" ht="15.75" customHeight="1">
      <c r="M569" s="130"/>
      <c r="AR569" s="61"/>
    </row>
    <row r="570" ht="15.75" customHeight="1">
      <c r="M570" s="130"/>
      <c r="AR570" s="61"/>
    </row>
    <row r="571" ht="15.75" customHeight="1">
      <c r="M571" s="130"/>
      <c r="AR571" s="61"/>
    </row>
    <row r="572" ht="15.75" customHeight="1">
      <c r="M572" s="130"/>
      <c r="AR572" s="61"/>
    </row>
    <row r="573" ht="15.75" customHeight="1">
      <c r="M573" s="130"/>
      <c r="AR573" s="61"/>
    </row>
    <row r="574" ht="15.75" customHeight="1">
      <c r="M574" s="130"/>
      <c r="AR574" s="61"/>
    </row>
    <row r="575" ht="15.75" customHeight="1">
      <c r="M575" s="130"/>
      <c r="AR575" s="61"/>
    </row>
    <row r="576" ht="15.75" customHeight="1">
      <c r="M576" s="130"/>
      <c r="AR576" s="61"/>
    </row>
    <row r="577" ht="15.75" customHeight="1">
      <c r="M577" s="130"/>
      <c r="AR577" s="61"/>
    </row>
    <row r="578" ht="15.75" customHeight="1">
      <c r="M578" s="130"/>
      <c r="AR578" s="61"/>
    </row>
    <row r="579" ht="15.75" customHeight="1">
      <c r="M579" s="130"/>
      <c r="AR579" s="61"/>
    </row>
    <row r="580" ht="15.75" customHeight="1">
      <c r="M580" s="130"/>
      <c r="AR580" s="61"/>
    </row>
    <row r="581" ht="15.75" customHeight="1">
      <c r="M581" s="130"/>
      <c r="AR581" s="61"/>
    </row>
    <row r="582" ht="15.75" customHeight="1">
      <c r="M582" s="130"/>
      <c r="AR582" s="61"/>
    </row>
    <row r="583" ht="15.75" customHeight="1">
      <c r="M583" s="130"/>
      <c r="AR583" s="61"/>
    </row>
    <row r="584" ht="15.75" customHeight="1">
      <c r="M584" s="130"/>
      <c r="AR584" s="61"/>
    </row>
    <row r="585" ht="15.75" customHeight="1">
      <c r="M585" s="130"/>
      <c r="AR585" s="61"/>
    </row>
    <row r="586" ht="15.75" customHeight="1">
      <c r="M586" s="130"/>
      <c r="AR586" s="61"/>
    </row>
    <row r="587" ht="15.75" customHeight="1">
      <c r="M587" s="130"/>
      <c r="AR587" s="61"/>
    </row>
    <row r="588" ht="15.75" customHeight="1">
      <c r="M588" s="130"/>
      <c r="AR588" s="61"/>
    </row>
    <row r="589" ht="15.75" customHeight="1">
      <c r="M589" s="130"/>
      <c r="AR589" s="61"/>
    </row>
    <row r="590" ht="15.75" customHeight="1">
      <c r="M590" s="130"/>
      <c r="AR590" s="61"/>
    </row>
    <row r="591" ht="15.75" customHeight="1">
      <c r="M591" s="130"/>
      <c r="AR591" s="61"/>
    </row>
    <row r="592" ht="15.75" customHeight="1">
      <c r="M592" s="130"/>
      <c r="AR592" s="61"/>
    </row>
    <row r="593" ht="15.75" customHeight="1">
      <c r="M593" s="130"/>
      <c r="AR593" s="61"/>
    </row>
    <row r="594" ht="15.75" customHeight="1">
      <c r="M594" s="130"/>
      <c r="AR594" s="61"/>
    </row>
    <row r="595" ht="15.75" customHeight="1">
      <c r="M595" s="130"/>
      <c r="AR595" s="61"/>
    </row>
    <row r="596" ht="15.75" customHeight="1">
      <c r="M596" s="130"/>
      <c r="AR596" s="61"/>
    </row>
    <row r="597" ht="15.75" customHeight="1">
      <c r="M597" s="130"/>
      <c r="AR597" s="61"/>
    </row>
    <row r="598" ht="15.75" customHeight="1">
      <c r="M598" s="130"/>
      <c r="AR598" s="61"/>
    </row>
    <row r="599" ht="15.75" customHeight="1">
      <c r="M599" s="130"/>
      <c r="AR599" s="61"/>
    </row>
    <row r="600" ht="15.75" customHeight="1">
      <c r="M600" s="130"/>
      <c r="AR600" s="61"/>
    </row>
    <row r="601" ht="15.75" customHeight="1">
      <c r="M601" s="130"/>
      <c r="AR601" s="61"/>
    </row>
    <row r="602" ht="15.75" customHeight="1">
      <c r="M602" s="130"/>
      <c r="AR602" s="61"/>
    </row>
    <row r="603" ht="15.75" customHeight="1">
      <c r="M603" s="130"/>
      <c r="AR603" s="61"/>
    </row>
    <row r="604" ht="15.75" customHeight="1">
      <c r="M604" s="130"/>
      <c r="AR604" s="61"/>
    </row>
    <row r="605" ht="15.75" customHeight="1">
      <c r="M605" s="130"/>
      <c r="AR605" s="61"/>
    </row>
    <row r="606" ht="15.75" customHeight="1">
      <c r="M606" s="130"/>
      <c r="AR606" s="61"/>
    </row>
    <row r="607" ht="15.75" customHeight="1">
      <c r="M607" s="130"/>
      <c r="AR607" s="61"/>
    </row>
    <row r="608" ht="15.75" customHeight="1">
      <c r="M608" s="130"/>
      <c r="AR608" s="61"/>
    </row>
    <row r="609" ht="15.75" customHeight="1">
      <c r="M609" s="130"/>
      <c r="AR609" s="61"/>
    </row>
    <row r="610" ht="15.75" customHeight="1">
      <c r="M610" s="130"/>
      <c r="AR610" s="61"/>
    </row>
    <row r="611" ht="15.75" customHeight="1">
      <c r="M611" s="130"/>
      <c r="AR611" s="61"/>
    </row>
    <row r="612" ht="15.75" customHeight="1">
      <c r="M612" s="130"/>
      <c r="AR612" s="61"/>
    </row>
    <row r="613" ht="15.75" customHeight="1">
      <c r="M613" s="130"/>
      <c r="AR613" s="61"/>
    </row>
    <row r="614" ht="15.75" customHeight="1">
      <c r="M614" s="130"/>
      <c r="AR614" s="61"/>
    </row>
    <row r="615" ht="15.75" customHeight="1">
      <c r="M615" s="130"/>
      <c r="AR615" s="61"/>
    </row>
    <row r="616" ht="15.75" customHeight="1">
      <c r="M616" s="130"/>
      <c r="AR616" s="61"/>
    </row>
    <row r="617" ht="15.75" customHeight="1">
      <c r="M617" s="130"/>
      <c r="AR617" s="61"/>
    </row>
    <row r="618" ht="15.75" customHeight="1">
      <c r="M618" s="130"/>
      <c r="AR618" s="61"/>
    </row>
    <row r="619" ht="15.75" customHeight="1">
      <c r="M619" s="130"/>
      <c r="AR619" s="61"/>
    </row>
    <row r="620" ht="15.75" customHeight="1">
      <c r="M620" s="130"/>
      <c r="AR620" s="61"/>
    </row>
    <row r="621" ht="15.75" customHeight="1">
      <c r="M621" s="130"/>
      <c r="AR621" s="61"/>
    </row>
    <row r="622" ht="15.75" customHeight="1">
      <c r="M622" s="130"/>
      <c r="AR622" s="61"/>
    </row>
    <row r="623" ht="15.75" customHeight="1">
      <c r="M623" s="130"/>
      <c r="AR623" s="61"/>
    </row>
    <row r="624" ht="15.75" customHeight="1">
      <c r="M624" s="130"/>
      <c r="AR624" s="61"/>
    </row>
    <row r="625" ht="15.75" customHeight="1">
      <c r="M625" s="130"/>
      <c r="AR625" s="61"/>
    </row>
    <row r="626" ht="15.75" customHeight="1">
      <c r="M626" s="130"/>
      <c r="AR626" s="61"/>
    </row>
    <row r="627" ht="15.75" customHeight="1">
      <c r="M627" s="130"/>
      <c r="AR627" s="61"/>
    </row>
    <row r="628" ht="15.75" customHeight="1">
      <c r="M628" s="130"/>
      <c r="AR628" s="61"/>
    </row>
    <row r="629" ht="15.75" customHeight="1">
      <c r="M629" s="130"/>
      <c r="AR629" s="61"/>
    </row>
    <row r="630" ht="15.75" customHeight="1">
      <c r="M630" s="130"/>
      <c r="AR630" s="61"/>
    </row>
    <row r="631" ht="15.75" customHeight="1">
      <c r="M631" s="130"/>
      <c r="AR631" s="61"/>
    </row>
    <row r="632" ht="15.75" customHeight="1">
      <c r="M632" s="130"/>
      <c r="AR632" s="61"/>
    </row>
    <row r="633" ht="15.75" customHeight="1">
      <c r="M633" s="130"/>
      <c r="AR633" s="61"/>
    </row>
    <row r="634" ht="15.75" customHeight="1">
      <c r="M634" s="130"/>
      <c r="AR634" s="61"/>
    </row>
    <row r="635" ht="15.75" customHeight="1">
      <c r="M635" s="130"/>
      <c r="AR635" s="61"/>
    </row>
    <row r="636" ht="15.75" customHeight="1">
      <c r="M636" s="130"/>
      <c r="AR636" s="61"/>
    </row>
    <row r="637" ht="15.75" customHeight="1">
      <c r="M637" s="130"/>
      <c r="AR637" s="61"/>
    </row>
    <row r="638" ht="15.75" customHeight="1">
      <c r="M638" s="130"/>
      <c r="AR638" s="61"/>
    </row>
    <row r="639" ht="15.75" customHeight="1">
      <c r="M639" s="130"/>
      <c r="AR639" s="61"/>
    </row>
    <row r="640" ht="15.75" customHeight="1">
      <c r="M640" s="130"/>
      <c r="AR640" s="61"/>
    </row>
    <row r="641" ht="15.75" customHeight="1">
      <c r="M641" s="130"/>
      <c r="AR641" s="61"/>
    </row>
    <row r="642" ht="15.75" customHeight="1">
      <c r="M642" s="130"/>
      <c r="AR642" s="61"/>
    </row>
    <row r="643" ht="15.75" customHeight="1">
      <c r="M643" s="130"/>
      <c r="AR643" s="61"/>
    </row>
    <row r="644" ht="15.75" customHeight="1">
      <c r="M644" s="130"/>
      <c r="AR644" s="61"/>
    </row>
    <row r="645" ht="15.75" customHeight="1">
      <c r="M645" s="130"/>
      <c r="AR645" s="61"/>
    </row>
    <row r="646" ht="15.75" customHeight="1">
      <c r="M646" s="130"/>
      <c r="AR646" s="61"/>
    </row>
    <row r="647" ht="15.75" customHeight="1">
      <c r="M647" s="130"/>
      <c r="AR647" s="61"/>
    </row>
    <row r="648" ht="15.75" customHeight="1">
      <c r="M648" s="130"/>
      <c r="AR648" s="61"/>
    </row>
    <row r="649" ht="15.75" customHeight="1">
      <c r="M649" s="130"/>
      <c r="AR649" s="61"/>
    </row>
    <row r="650" ht="15.75" customHeight="1">
      <c r="M650" s="130"/>
      <c r="AR650" s="61"/>
    </row>
    <row r="651" ht="15.75" customHeight="1">
      <c r="M651" s="130"/>
      <c r="AR651" s="61"/>
    </row>
    <row r="652" ht="15.75" customHeight="1">
      <c r="M652" s="130"/>
      <c r="AR652" s="61"/>
    </row>
    <row r="653" ht="15.75" customHeight="1">
      <c r="M653" s="130"/>
      <c r="AR653" s="61"/>
    </row>
    <row r="654" ht="15.75" customHeight="1">
      <c r="M654" s="130"/>
      <c r="AR654" s="61"/>
    </row>
    <row r="655" ht="15.75" customHeight="1">
      <c r="M655" s="130"/>
      <c r="AR655" s="61"/>
    </row>
    <row r="656" ht="15.75" customHeight="1">
      <c r="M656" s="130"/>
      <c r="AR656" s="61"/>
    </row>
    <row r="657" ht="15.75" customHeight="1">
      <c r="M657" s="130"/>
      <c r="AR657" s="61"/>
    </row>
    <row r="658" ht="15.75" customHeight="1">
      <c r="M658" s="130"/>
      <c r="AR658" s="61"/>
    </row>
    <row r="659" ht="15.75" customHeight="1">
      <c r="M659" s="130"/>
      <c r="AR659" s="61"/>
    </row>
    <row r="660" ht="15.75" customHeight="1">
      <c r="M660" s="130"/>
      <c r="AR660" s="61"/>
    </row>
    <row r="661" ht="15.75" customHeight="1">
      <c r="M661" s="130"/>
      <c r="AR661" s="61"/>
    </row>
    <row r="662" ht="15.75" customHeight="1">
      <c r="M662" s="130"/>
      <c r="AR662" s="61"/>
    </row>
    <row r="663" ht="15.75" customHeight="1">
      <c r="M663" s="130"/>
      <c r="AR663" s="61"/>
    </row>
    <row r="664" ht="15.75" customHeight="1">
      <c r="M664" s="130"/>
      <c r="AR664" s="61"/>
    </row>
    <row r="665" ht="15.75" customHeight="1">
      <c r="M665" s="130"/>
      <c r="AR665" s="61"/>
    </row>
    <row r="666" ht="15.75" customHeight="1">
      <c r="M666" s="130"/>
      <c r="AR666" s="61"/>
    </row>
    <row r="667" ht="15.75" customHeight="1">
      <c r="M667" s="130"/>
      <c r="AR667" s="61"/>
    </row>
    <row r="668" ht="15.75" customHeight="1">
      <c r="M668" s="130"/>
      <c r="AR668" s="61"/>
    </row>
    <row r="669" ht="15.75" customHeight="1">
      <c r="M669" s="130"/>
      <c r="AR669" s="61"/>
    </row>
    <row r="670" ht="15.75" customHeight="1">
      <c r="M670" s="130"/>
      <c r="AR670" s="61"/>
    </row>
    <row r="671" ht="15.75" customHeight="1">
      <c r="M671" s="130"/>
      <c r="AR671" s="61"/>
    </row>
    <row r="672" ht="15.75" customHeight="1">
      <c r="M672" s="130"/>
      <c r="AR672" s="61"/>
    </row>
    <row r="673" ht="15.75" customHeight="1">
      <c r="M673" s="130"/>
      <c r="AR673" s="61"/>
    </row>
    <row r="674" ht="15.75" customHeight="1">
      <c r="M674" s="130"/>
      <c r="AR674" s="61"/>
    </row>
    <row r="675" ht="15.75" customHeight="1">
      <c r="M675" s="130"/>
      <c r="AR675" s="61"/>
    </row>
    <row r="676" ht="15.75" customHeight="1">
      <c r="M676" s="130"/>
      <c r="AR676" s="61"/>
    </row>
    <row r="677" ht="15.75" customHeight="1">
      <c r="M677" s="130"/>
      <c r="AR677" s="61"/>
    </row>
    <row r="678" ht="15.75" customHeight="1">
      <c r="M678" s="130"/>
      <c r="AR678" s="61"/>
    </row>
    <row r="679" ht="15.75" customHeight="1">
      <c r="M679" s="130"/>
      <c r="AR679" s="61"/>
    </row>
    <row r="680" ht="15.75" customHeight="1">
      <c r="M680" s="130"/>
      <c r="AR680" s="61"/>
    </row>
    <row r="681" ht="15.75" customHeight="1">
      <c r="M681" s="130"/>
      <c r="AR681" s="61"/>
    </row>
    <row r="682" ht="15.75" customHeight="1">
      <c r="M682" s="130"/>
      <c r="AR682" s="61"/>
    </row>
    <row r="683" ht="15.75" customHeight="1">
      <c r="M683" s="130"/>
      <c r="AR683" s="61"/>
    </row>
    <row r="684" ht="15.75" customHeight="1">
      <c r="M684" s="130"/>
      <c r="AR684" s="61"/>
    </row>
    <row r="685" ht="15.75" customHeight="1">
      <c r="M685" s="130"/>
      <c r="AR685" s="61"/>
    </row>
    <row r="686" ht="15.75" customHeight="1">
      <c r="M686" s="130"/>
      <c r="AR686" s="61"/>
    </row>
    <row r="687" ht="15.75" customHeight="1">
      <c r="M687" s="130"/>
      <c r="AR687" s="61"/>
    </row>
    <row r="688" ht="15.75" customHeight="1">
      <c r="M688" s="130"/>
      <c r="AR688" s="61"/>
    </row>
    <row r="689" ht="15.75" customHeight="1">
      <c r="M689" s="130"/>
      <c r="AR689" s="61"/>
    </row>
    <row r="690" ht="15.75" customHeight="1">
      <c r="M690" s="130"/>
      <c r="AR690" s="61"/>
    </row>
    <row r="691" ht="15.75" customHeight="1">
      <c r="M691" s="130"/>
      <c r="AR691" s="61"/>
    </row>
    <row r="692" ht="15.75" customHeight="1">
      <c r="M692" s="130"/>
      <c r="AR692" s="61"/>
    </row>
    <row r="693" ht="15.75" customHeight="1">
      <c r="M693" s="130"/>
      <c r="AR693" s="61"/>
    </row>
    <row r="694" ht="15.75" customHeight="1">
      <c r="M694" s="130"/>
      <c r="AR694" s="61"/>
    </row>
    <row r="695" ht="15.75" customHeight="1">
      <c r="M695" s="130"/>
      <c r="AR695" s="61"/>
    </row>
    <row r="696" ht="15.75" customHeight="1">
      <c r="M696" s="130"/>
      <c r="AR696" s="61"/>
    </row>
    <row r="697" ht="15.75" customHeight="1">
      <c r="M697" s="130"/>
      <c r="AR697" s="61"/>
    </row>
    <row r="698" ht="15.75" customHeight="1">
      <c r="M698" s="130"/>
      <c r="AR698" s="61"/>
    </row>
    <row r="699" ht="15.75" customHeight="1">
      <c r="M699" s="130"/>
      <c r="AR699" s="61"/>
    </row>
    <row r="700" ht="15.75" customHeight="1">
      <c r="M700" s="130"/>
      <c r="AR700" s="61"/>
    </row>
    <row r="701" ht="15.75" customHeight="1">
      <c r="M701" s="130"/>
      <c r="AR701" s="61"/>
    </row>
    <row r="702" ht="15.75" customHeight="1">
      <c r="M702" s="130"/>
      <c r="AR702" s="61"/>
    </row>
    <row r="703" ht="15.75" customHeight="1">
      <c r="M703" s="130"/>
      <c r="AR703" s="61"/>
    </row>
    <row r="704" ht="15.75" customHeight="1">
      <c r="M704" s="130"/>
      <c r="AR704" s="61"/>
    </row>
    <row r="705" ht="15.75" customHeight="1">
      <c r="M705" s="130"/>
      <c r="AR705" s="61"/>
    </row>
    <row r="706" ht="15.75" customHeight="1">
      <c r="M706" s="130"/>
      <c r="AR706" s="61"/>
    </row>
    <row r="707" ht="15.75" customHeight="1">
      <c r="M707" s="130"/>
      <c r="AR707" s="61"/>
    </row>
    <row r="708" ht="15.75" customHeight="1">
      <c r="M708" s="130"/>
      <c r="AR708" s="61"/>
    </row>
    <row r="709" ht="15.75" customHeight="1">
      <c r="M709" s="130"/>
      <c r="AR709" s="61"/>
    </row>
    <row r="710" ht="15.75" customHeight="1">
      <c r="M710" s="130"/>
      <c r="AR710" s="61"/>
    </row>
    <row r="711" ht="15.75" customHeight="1">
      <c r="M711" s="130"/>
      <c r="AR711" s="61"/>
    </row>
    <row r="712" ht="15.75" customHeight="1">
      <c r="M712" s="130"/>
      <c r="AR712" s="61"/>
    </row>
    <row r="713" ht="15.75" customHeight="1">
      <c r="M713" s="130"/>
      <c r="AR713" s="61"/>
    </row>
    <row r="714" ht="15.75" customHeight="1">
      <c r="M714" s="130"/>
      <c r="AR714" s="61"/>
    </row>
    <row r="715" ht="15.75" customHeight="1">
      <c r="M715" s="130"/>
      <c r="AR715" s="61"/>
    </row>
    <row r="716" ht="15.75" customHeight="1">
      <c r="M716" s="130"/>
      <c r="AR716" s="61"/>
    </row>
    <row r="717" ht="15.75" customHeight="1">
      <c r="M717" s="130"/>
      <c r="AR717" s="61"/>
    </row>
    <row r="718" ht="15.75" customHeight="1">
      <c r="M718" s="130"/>
      <c r="AR718" s="61"/>
    </row>
    <row r="719" ht="15.75" customHeight="1">
      <c r="M719" s="130"/>
      <c r="AR719" s="61"/>
    </row>
    <row r="720" ht="15.75" customHeight="1">
      <c r="M720" s="130"/>
      <c r="AR720" s="61"/>
    </row>
    <row r="721" ht="15.75" customHeight="1">
      <c r="M721" s="130"/>
      <c r="AR721" s="61"/>
    </row>
    <row r="722" ht="15.75" customHeight="1">
      <c r="M722" s="130"/>
      <c r="AR722" s="61"/>
    </row>
    <row r="723" ht="15.75" customHeight="1">
      <c r="M723" s="130"/>
      <c r="AR723" s="61"/>
    </row>
    <row r="724" ht="15.75" customHeight="1">
      <c r="M724" s="130"/>
      <c r="AR724" s="61"/>
    </row>
    <row r="725" ht="15.75" customHeight="1">
      <c r="M725" s="130"/>
      <c r="AR725" s="61"/>
    </row>
    <row r="726" ht="15.75" customHeight="1">
      <c r="M726" s="130"/>
      <c r="AR726" s="61"/>
    </row>
    <row r="727" ht="15.75" customHeight="1">
      <c r="M727" s="130"/>
      <c r="AR727" s="61"/>
    </row>
    <row r="728" ht="15.75" customHeight="1">
      <c r="M728" s="130"/>
      <c r="AR728" s="61"/>
    </row>
    <row r="729" ht="15.75" customHeight="1">
      <c r="M729" s="130"/>
      <c r="AR729" s="61"/>
    </row>
    <row r="730" ht="15.75" customHeight="1">
      <c r="M730" s="130"/>
      <c r="AR730" s="61"/>
    </row>
    <row r="731" ht="15.75" customHeight="1">
      <c r="M731" s="130"/>
      <c r="AR731" s="61"/>
    </row>
    <row r="732" ht="15.75" customHeight="1">
      <c r="M732" s="130"/>
      <c r="AR732" s="61"/>
    </row>
    <row r="733" ht="15.75" customHeight="1">
      <c r="M733" s="130"/>
      <c r="AR733" s="61"/>
    </row>
    <row r="734" ht="15.75" customHeight="1">
      <c r="M734" s="130"/>
      <c r="AR734" s="61"/>
    </row>
    <row r="735" ht="15.75" customHeight="1">
      <c r="M735" s="130"/>
      <c r="AR735" s="61"/>
    </row>
    <row r="736" ht="15.75" customHeight="1">
      <c r="M736" s="130"/>
      <c r="AR736" s="61"/>
    </row>
    <row r="737" ht="15.75" customHeight="1">
      <c r="M737" s="130"/>
      <c r="AR737" s="61"/>
    </row>
    <row r="738" ht="15.75" customHeight="1">
      <c r="M738" s="130"/>
      <c r="AR738" s="61"/>
    </row>
    <row r="739" ht="15.75" customHeight="1">
      <c r="M739" s="130"/>
      <c r="AR739" s="61"/>
    </row>
    <row r="740" ht="15.75" customHeight="1">
      <c r="M740" s="130"/>
      <c r="AR740" s="61"/>
    </row>
    <row r="741" ht="15.75" customHeight="1">
      <c r="M741" s="130"/>
      <c r="AR741" s="61"/>
    </row>
    <row r="742" ht="15.75" customHeight="1">
      <c r="M742" s="130"/>
      <c r="AR742" s="61"/>
    </row>
    <row r="743" ht="15.75" customHeight="1">
      <c r="M743" s="130"/>
      <c r="AR743" s="61"/>
    </row>
    <row r="744" ht="15.75" customHeight="1">
      <c r="M744" s="130"/>
      <c r="AR744" s="61"/>
    </row>
    <row r="745" ht="15.75" customHeight="1">
      <c r="M745" s="130"/>
      <c r="AR745" s="61"/>
    </row>
    <row r="746" ht="15.75" customHeight="1">
      <c r="M746" s="130"/>
      <c r="AR746" s="61"/>
    </row>
    <row r="747" ht="15.75" customHeight="1">
      <c r="M747" s="130"/>
      <c r="AR747" s="61"/>
    </row>
    <row r="748" ht="15.75" customHeight="1">
      <c r="M748" s="130"/>
      <c r="AR748" s="61"/>
    </row>
    <row r="749" ht="15.75" customHeight="1">
      <c r="M749" s="130"/>
      <c r="AR749" s="61"/>
    </row>
    <row r="750" ht="15.75" customHeight="1">
      <c r="M750" s="130"/>
      <c r="AR750" s="61"/>
    </row>
    <row r="751" ht="15.75" customHeight="1">
      <c r="M751" s="130"/>
      <c r="AR751" s="61"/>
    </row>
    <row r="752" ht="15.75" customHeight="1">
      <c r="M752" s="130"/>
      <c r="AR752" s="61"/>
    </row>
    <row r="753" ht="15.75" customHeight="1">
      <c r="M753" s="130"/>
      <c r="AR753" s="61"/>
    </row>
    <row r="754" ht="15.75" customHeight="1">
      <c r="M754" s="130"/>
      <c r="AR754" s="61"/>
    </row>
    <row r="755" ht="15.75" customHeight="1">
      <c r="M755" s="130"/>
      <c r="AR755" s="61"/>
    </row>
    <row r="756" ht="15.75" customHeight="1">
      <c r="M756" s="130"/>
      <c r="AR756" s="61"/>
    </row>
    <row r="757" ht="15.75" customHeight="1">
      <c r="M757" s="130"/>
      <c r="AR757" s="61"/>
    </row>
    <row r="758" ht="15.75" customHeight="1">
      <c r="M758" s="130"/>
      <c r="AR758" s="61"/>
    </row>
    <row r="759" ht="15.75" customHeight="1">
      <c r="M759" s="130"/>
      <c r="AR759" s="61"/>
    </row>
    <row r="760" ht="15.75" customHeight="1">
      <c r="M760" s="130"/>
      <c r="AR760" s="61"/>
    </row>
    <row r="761" ht="15.75" customHeight="1">
      <c r="M761" s="130"/>
      <c r="AR761" s="61"/>
    </row>
    <row r="762" ht="15.75" customHeight="1">
      <c r="M762" s="130"/>
      <c r="AR762" s="61"/>
    </row>
    <row r="763" ht="15.75" customHeight="1">
      <c r="M763" s="130"/>
      <c r="AR763" s="61"/>
    </row>
    <row r="764" ht="15.75" customHeight="1">
      <c r="M764" s="130"/>
      <c r="AR764" s="61"/>
    </row>
    <row r="765" ht="15.75" customHeight="1">
      <c r="M765" s="130"/>
      <c r="AR765" s="61"/>
    </row>
    <row r="766" ht="15.75" customHeight="1">
      <c r="M766" s="130"/>
      <c r="AR766" s="61"/>
    </row>
    <row r="767" ht="15.75" customHeight="1">
      <c r="M767" s="130"/>
      <c r="AR767" s="61"/>
    </row>
    <row r="768" ht="15.75" customHeight="1">
      <c r="M768" s="130"/>
      <c r="AR768" s="61"/>
    </row>
    <row r="769" ht="15.75" customHeight="1">
      <c r="M769" s="130"/>
      <c r="AR769" s="61"/>
    </row>
    <row r="770" ht="15.75" customHeight="1">
      <c r="M770" s="130"/>
      <c r="AR770" s="61"/>
    </row>
    <row r="771" ht="15.75" customHeight="1">
      <c r="M771" s="130"/>
      <c r="AR771" s="61"/>
    </row>
    <row r="772" ht="15.75" customHeight="1">
      <c r="M772" s="130"/>
      <c r="AR772" s="61"/>
    </row>
    <row r="773" ht="15.75" customHeight="1">
      <c r="M773" s="130"/>
      <c r="AR773" s="61"/>
    </row>
    <row r="774" ht="15.75" customHeight="1">
      <c r="M774" s="130"/>
      <c r="AR774" s="61"/>
    </row>
    <row r="775" ht="15.75" customHeight="1">
      <c r="M775" s="130"/>
      <c r="AR775" s="61"/>
    </row>
    <row r="776" ht="15.75" customHeight="1">
      <c r="M776" s="130"/>
      <c r="AR776" s="61"/>
    </row>
    <row r="777" ht="15.75" customHeight="1">
      <c r="M777" s="130"/>
      <c r="AR777" s="61"/>
    </row>
    <row r="778" ht="15.75" customHeight="1">
      <c r="M778" s="130"/>
      <c r="AR778" s="61"/>
    </row>
    <row r="779" ht="15.75" customHeight="1">
      <c r="M779" s="130"/>
      <c r="AR779" s="61"/>
    </row>
    <row r="780" ht="15.75" customHeight="1">
      <c r="M780" s="130"/>
      <c r="AR780" s="61"/>
    </row>
    <row r="781" ht="15.75" customHeight="1">
      <c r="M781" s="130"/>
      <c r="AR781" s="61"/>
    </row>
    <row r="782" ht="15.75" customHeight="1">
      <c r="M782" s="130"/>
      <c r="AR782" s="61"/>
    </row>
    <row r="783" ht="15.75" customHeight="1">
      <c r="M783" s="130"/>
      <c r="AR783" s="61"/>
    </row>
    <row r="784" ht="15.75" customHeight="1">
      <c r="M784" s="130"/>
      <c r="AR784" s="61"/>
    </row>
    <row r="785" ht="15.75" customHeight="1">
      <c r="M785" s="130"/>
      <c r="AR785" s="61"/>
    </row>
    <row r="786" ht="15.75" customHeight="1">
      <c r="M786" s="130"/>
      <c r="AR786" s="61"/>
    </row>
    <row r="787" ht="15.75" customHeight="1">
      <c r="M787" s="130"/>
      <c r="AR787" s="61"/>
    </row>
    <row r="788" ht="15.75" customHeight="1">
      <c r="M788" s="130"/>
      <c r="AR788" s="61"/>
    </row>
    <row r="789" ht="15.75" customHeight="1">
      <c r="M789" s="130"/>
      <c r="AR789" s="61"/>
    </row>
    <row r="790" ht="15.75" customHeight="1">
      <c r="M790" s="130"/>
      <c r="AR790" s="61"/>
    </row>
    <row r="791" ht="15.75" customHeight="1">
      <c r="M791" s="130"/>
      <c r="AR791" s="61"/>
    </row>
    <row r="792" ht="15.75" customHeight="1">
      <c r="M792" s="130"/>
      <c r="AR792" s="61"/>
    </row>
    <row r="793" ht="15.75" customHeight="1">
      <c r="M793" s="130"/>
      <c r="AR793" s="61"/>
    </row>
    <row r="794" ht="15.75" customHeight="1">
      <c r="M794" s="130"/>
      <c r="AR794" s="61"/>
    </row>
    <row r="795" ht="15.75" customHeight="1">
      <c r="M795" s="130"/>
      <c r="AR795" s="61"/>
    </row>
    <row r="796" ht="15.75" customHeight="1">
      <c r="M796" s="130"/>
      <c r="AR796" s="61"/>
    </row>
    <row r="797" ht="15.75" customHeight="1">
      <c r="M797" s="130"/>
      <c r="AR797" s="61"/>
    </row>
    <row r="798" ht="15.75" customHeight="1">
      <c r="M798" s="130"/>
      <c r="AR798" s="61"/>
    </row>
    <row r="799" ht="15.75" customHeight="1">
      <c r="M799" s="130"/>
      <c r="AR799" s="61"/>
    </row>
    <row r="800" ht="15.75" customHeight="1">
      <c r="M800" s="130"/>
      <c r="AR800" s="61"/>
    </row>
    <row r="801" ht="15.75" customHeight="1">
      <c r="M801" s="130"/>
      <c r="AR801" s="61"/>
    </row>
    <row r="802" ht="15.75" customHeight="1">
      <c r="M802" s="130"/>
      <c r="AR802" s="61"/>
    </row>
    <row r="803" ht="15.75" customHeight="1">
      <c r="M803" s="130"/>
      <c r="AR803" s="61"/>
    </row>
    <row r="804" ht="15.75" customHeight="1">
      <c r="M804" s="130"/>
      <c r="AR804" s="61"/>
    </row>
    <row r="805" ht="15.75" customHeight="1">
      <c r="M805" s="130"/>
      <c r="AR805" s="61"/>
    </row>
    <row r="806" ht="15.75" customHeight="1">
      <c r="M806" s="130"/>
      <c r="AR806" s="61"/>
    </row>
    <row r="807" ht="15.75" customHeight="1">
      <c r="M807" s="130"/>
      <c r="AR807" s="61"/>
    </row>
    <row r="808" ht="15.75" customHeight="1">
      <c r="M808" s="130"/>
      <c r="AR808" s="61"/>
    </row>
    <row r="809" ht="15.75" customHeight="1">
      <c r="M809" s="130"/>
      <c r="AR809" s="61"/>
    </row>
    <row r="810" ht="15.75" customHeight="1">
      <c r="M810" s="130"/>
      <c r="AR810" s="61"/>
    </row>
    <row r="811" ht="15.75" customHeight="1">
      <c r="M811" s="130"/>
      <c r="AR811" s="61"/>
    </row>
    <row r="812" ht="15.75" customHeight="1">
      <c r="M812" s="130"/>
      <c r="AR812" s="61"/>
    </row>
    <row r="813" ht="15.75" customHeight="1">
      <c r="M813" s="130"/>
      <c r="AR813" s="61"/>
    </row>
    <row r="814" ht="15.75" customHeight="1">
      <c r="M814" s="130"/>
      <c r="AR814" s="61"/>
    </row>
    <row r="815" ht="15.75" customHeight="1">
      <c r="M815" s="130"/>
      <c r="AR815" s="61"/>
    </row>
    <row r="816" ht="15.75" customHeight="1">
      <c r="M816" s="130"/>
      <c r="AR816" s="61"/>
    </row>
    <row r="817" ht="15.75" customHeight="1">
      <c r="M817" s="130"/>
      <c r="AR817" s="61"/>
    </row>
    <row r="818" ht="15.75" customHeight="1">
      <c r="M818" s="130"/>
      <c r="AR818" s="61"/>
    </row>
    <row r="819" ht="15.75" customHeight="1">
      <c r="M819" s="130"/>
      <c r="AR819" s="61"/>
    </row>
    <row r="820" ht="15.75" customHeight="1">
      <c r="M820" s="130"/>
      <c r="AR820" s="61"/>
    </row>
    <row r="821" ht="15.75" customHeight="1">
      <c r="M821" s="130"/>
      <c r="AR821" s="61"/>
    </row>
    <row r="822" ht="15.75" customHeight="1">
      <c r="M822" s="130"/>
      <c r="AR822" s="61"/>
    </row>
    <row r="823" ht="15.75" customHeight="1">
      <c r="M823" s="130"/>
      <c r="AR823" s="61"/>
    </row>
    <row r="824" ht="15.75" customHeight="1">
      <c r="M824" s="130"/>
      <c r="AR824" s="61"/>
    </row>
    <row r="825" ht="15.75" customHeight="1">
      <c r="M825" s="130"/>
      <c r="AR825" s="61"/>
    </row>
    <row r="826" ht="15.75" customHeight="1">
      <c r="M826" s="130"/>
      <c r="AR826" s="61"/>
    </row>
    <row r="827" ht="15.75" customHeight="1">
      <c r="M827" s="130"/>
      <c r="AR827" s="61"/>
    </row>
    <row r="828" ht="15.75" customHeight="1">
      <c r="M828" s="130"/>
      <c r="AR828" s="61"/>
    </row>
    <row r="829" ht="15.75" customHeight="1">
      <c r="M829" s="130"/>
      <c r="AR829" s="61"/>
    </row>
    <row r="830" ht="15.75" customHeight="1">
      <c r="M830" s="130"/>
      <c r="AR830" s="61"/>
    </row>
    <row r="831" ht="15.75" customHeight="1">
      <c r="M831" s="130"/>
      <c r="AR831" s="61"/>
    </row>
    <row r="832" ht="15.75" customHeight="1">
      <c r="M832" s="130"/>
      <c r="AR832" s="61"/>
    </row>
    <row r="833" ht="15.75" customHeight="1">
      <c r="M833" s="130"/>
      <c r="AR833" s="61"/>
    </row>
    <row r="834" ht="15.75" customHeight="1">
      <c r="M834" s="130"/>
      <c r="AR834" s="61"/>
    </row>
    <row r="835" ht="15.75" customHeight="1">
      <c r="M835" s="130"/>
      <c r="AR835" s="61"/>
    </row>
    <row r="836" ht="15.75" customHeight="1">
      <c r="M836" s="130"/>
      <c r="AR836" s="61"/>
    </row>
    <row r="837" ht="15.75" customHeight="1">
      <c r="M837" s="130"/>
      <c r="AR837" s="61"/>
    </row>
    <row r="838" ht="15.75" customHeight="1">
      <c r="M838" s="130"/>
      <c r="AR838" s="61"/>
    </row>
    <row r="839" ht="15.75" customHeight="1">
      <c r="M839" s="130"/>
      <c r="AR839" s="61"/>
    </row>
    <row r="840" ht="15.75" customHeight="1">
      <c r="M840" s="130"/>
      <c r="AR840" s="61"/>
    </row>
    <row r="841" ht="15.75" customHeight="1">
      <c r="M841" s="130"/>
      <c r="AR841" s="61"/>
    </row>
    <row r="842" ht="15.75" customHeight="1">
      <c r="M842" s="130"/>
      <c r="AR842" s="61"/>
    </row>
    <row r="843" ht="15.75" customHeight="1">
      <c r="M843" s="130"/>
      <c r="AR843" s="61"/>
    </row>
    <row r="844" ht="15.75" customHeight="1">
      <c r="M844" s="130"/>
      <c r="AR844" s="61"/>
    </row>
    <row r="845" ht="15.75" customHeight="1">
      <c r="M845" s="130"/>
      <c r="AR845" s="61"/>
    </row>
    <row r="846" ht="15.75" customHeight="1">
      <c r="M846" s="130"/>
      <c r="AR846" s="61"/>
    </row>
    <row r="847" ht="15.75" customHeight="1">
      <c r="M847" s="130"/>
      <c r="AR847" s="61"/>
    </row>
    <row r="848" ht="15.75" customHeight="1">
      <c r="M848" s="130"/>
      <c r="AR848" s="61"/>
    </row>
    <row r="849" ht="15.75" customHeight="1">
      <c r="M849" s="130"/>
      <c r="AR849" s="61"/>
    </row>
    <row r="850" ht="15.75" customHeight="1">
      <c r="M850" s="130"/>
      <c r="AR850" s="61"/>
    </row>
    <row r="851" ht="15.75" customHeight="1">
      <c r="M851" s="130"/>
      <c r="AR851" s="61"/>
    </row>
    <row r="852" ht="15.75" customHeight="1">
      <c r="M852" s="130"/>
      <c r="AR852" s="61"/>
    </row>
    <row r="853" ht="15.75" customHeight="1">
      <c r="M853" s="130"/>
      <c r="AR853" s="61"/>
    </row>
    <row r="854" ht="15.75" customHeight="1">
      <c r="M854" s="130"/>
      <c r="AR854" s="61"/>
    </row>
    <row r="855" ht="15.75" customHeight="1">
      <c r="M855" s="130"/>
      <c r="AR855" s="61"/>
    </row>
    <row r="856" ht="15.75" customHeight="1">
      <c r="M856" s="130"/>
      <c r="AR856" s="61"/>
    </row>
    <row r="857" ht="15.75" customHeight="1">
      <c r="M857" s="130"/>
      <c r="AR857" s="61"/>
    </row>
    <row r="858" ht="15.75" customHeight="1">
      <c r="M858" s="130"/>
      <c r="AR858" s="61"/>
    </row>
    <row r="859" ht="15.75" customHeight="1">
      <c r="M859" s="130"/>
      <c r="AR859" s="61"/>
    </row>
    <row r="860" ht="15.75" customHeight="1">
      <c r="M860" s="130"/>
      <c r="AR860" s="61"/>
    </row>
    <row r="861" ht="15.75" customHeight="1">
      <c r="M861" s="130"/>
      <c r="AR861" s="61"/>
    </row>
    <row r="862" ht="15.75" customHeight="1">
      <c r="M862" s="130"/>
      <c r="AR862" s="61"/>
    </row>
    <row r="863" ht="15.75" customHeight="1">
      <c r="M863" s="130"/>
      <c r="AR863" s="61"/>
    </row>
    <row r="864" ht="15.75" customHeight="1">
      <c r="M864" s="130"/>
      <c r="AR864" s="61"/>
    </row>
    <row r="865" ht="15.75" customHeight="1">
      <c r="M865" s="130"/>
      <c r="AR865" s="61"/>
    </row>
    <row r="866" ht="15.75" customHeight="1">
      <c r="M866" s="130"/>
      <c r="AR866" s="61"/>
    </row>
    <row r="867" ht="15.75" customHeight="1">
      <c r="M867" s="130"/>
      <c r="AR867" s="61"/>
    </row>
    <row r="868" ht="15.75" customHeight="1">
      <c r="M868" s="130"/>
      <c r="AR868" s="61"/>
    </row>
    <row r="869" ht="15.75" customHeight="1">
      <c r="M869" s="130"/>
      <c r="AR869" s="61"/>
    </row>
    <row r="870" ht="15.75" customHeight="1">
      <c r="M870" s="130"/>
      <c r="AR870" s="61"/>
    </row>
    <row r="871" ht="15.75" customHeight="1">
      <c r="M871" s="130"/>
      <c r="AR871" s="61"/>
    </row>
    <row r="872" ht="15.75" customHeight="1">
      <c r="M872" s="130"/>
      <c r="AR872" s="61"/>
    </row>
    <row r="873" ht="15.75" customHeight="1">
      <c r="M873" s="130"/>
      <c r="AR873" s="61"/>
    </row>
    <row r="874" ht="15.75" customHeight="1">
      <c r="M874" s="130"/>
      <c r="AR874" s="61"/>
    </row>
    <row r="875" ht="15.75" customHeight="1">
      <c r="M875" s="130"/>
      <c r="AR875" s="61"/>
    </row>
    <row r="876" ht="15.75" customHeight="1">
      <c r="M876" s="130"/>
      <c r="AR876" s="61"/>
    </row>
    <row r="877" ht="15.75" customHeight="1">
      <c r="M877" s="130"/>
      <c r="AR877" s="61"/>
    </row>
    <row r="878" ht="15.75" customHeight="1">
      <c r="M878" s="130"/>
      <c r="AR878" s="61"/>
    </row>
    <row r="879" ht="15.75" customHeight="1">
      <c r="M879" s="130"/>
      <c r="AR879" s="61"/>
    </row>
    <row r="880" ht="15.75" customHeight="1">
      <c r="M880" s="130"/>
      <c r="AR880" s="61"/>
    </row>
    <row r="881" ht="15.75" customHeight="1">
      <c r="M881" s="130"/>
      <c r="AR881" s="61"/>
    </row>
    <row r="882" ht="15.75" customHeight="1">
      <c r="M882" s="130"/>
      <c r="AR882" s="61"/>
    </row>
    <row r="883" ht="15.75" customHeight="1">
      <c r="M883" s="130"/>
      <c r="AR883" s="61"/>
    </row>
    <row r="884" ht="15.75" customHeight="1">
      <c r="M884" s="130"/>
      <c r="AR884" s="61"/>
    </row>
    <row r="885" ht="15.75" customHeight="1">
      <c r="M885" s="130"/>
      <c r="AR885" s="61"/>
    </row>
    <row r="886" ht="15.75" customHeight="1">
      <c r="M886" s="130"/>
      <c r="AR886" s="61"/>
    </row>
    <row r="887" ht="15.75" customHeight="1">
      <c r="M887" s="130"/>
      <c r="AR887" s="61"/>
    </row>
    <row r="888" ht="15.75" customHeight="1">
      <c r="M888" s="130"/>
      <c r="AR888" s="61"/>
    </row>
    <row r="889" ht="15.75" customHeight="1">
      <c r="M889" s="130"/>
      <c r="AR889" s="61"/>
    </row>
    <row r="890" ht="15.75" customHeight="1">
      <c r="M890" s="130"/>
      <c r="AR890" s="61"/>
    </row>
    <row r="891" ht="15.75" customHeight="1">
      <c r="M891" s="130"/>
      <c r="AR891" s="61"/>
    </row>
    <row r="892" ht="15.75" customHeight="1">
      <c r="M892" s="130"/>
      <c r="AR892" s="61"/>
    </row>
    <row r="893" ht="15.75" customHeight="1">
      <c r="M893" s="130"/>
      <c r="AR893" s="61"/>
    </row>
    <row r="894" ht="15.75" customHeight="1">
      <c r="M894" s="130"/>
      <c r="AR894" s="61"/>
    </row>
    <row r="895" ht="15.75" customHeight="1">
      <c r="M895" s="130"/>
      <c r="AR895" s="61"/>
    </row>
    <row r="896" ht="15.75" customHeight="1">
      <c r="M896" s="130"/>
      <c r="AR896" s="61"/>
    </row>
    <row r="897" ht="15.75" customHeight="1">
      <c r="M897" s="130"/>
      <c r="AR897" s="61"/>
    </row>
    <row r="898" ht="15.75" customHeight="1">
      <c r="M898" s="130"/>
      <c r="AR898" s="61"/>
    </row>
    <row r="899" ht="15.75" customHeight="1">
      <c r="M899" s="130"/>
      <c r="AR899" s="61"/>
    </row>
    <row r="900" ht="15.75" customHeight="1">
      <c r="M900" s="130"/>
      <c r="AR900" s="61"/>
    </row>
    <row r="901" ht="15.75" customHeight="1">
      <c r="M901" s="130"/>
      <c r="AR901" s="61"/>
    </row>
    <row r="902" ht="15.75" customHeight="1">
      <c r="M902" s="130"/>
      <c r="AR902" s="61"/>
    </row>
    <row r="903" ht="15.75" customHeight="1">
      <c r="M903" s="130"/>
      <c r="AR903" s="61"/>
    </row>
    <row r="904" ht="15.75" customHeight="1">
      <c r="M904" s="130"/>
      <c r="AR904" s="61"/>
    </row>
    <row r="905" ht="15.75" customHeight="1">
      <c r="M905" s="130"/>
      <c r="AR905" s="61"/>
    </row>
    <row r="906" ht="15.75" customHeight="1">
      <c r="M906" s="130"/>
      <c r="AR906" s="61"/>
    </row>
    <row r="907" ht="15.75" customHeight="1">
      <c r="M907" s="130"/>
      <c r="AR907" s="61"/>
    </row>
    <row r="908" ht="15.75" customHeight="1">
      <c r="M908" s="130"/>
      <c r="AR908" s="61"/>
    </row>
    <row r="909" ht="15.75" customHeight="1">
      <c r="M909" s="130"/>
      <c r="AR909" s="61"/>
    </row>
    <row r="910" ht="15.75" customHeight="1">
      <c r="M910" s="130"/>
      <c r="AR910" s="61"/>
    </row>
    <row r="911" ht="15.75" customHeight="1">
      <c r="M911" s="130"/>
      <c r="AR911" s="61"/>
    </row>
    <row r="912" ht="15.75" customHeight="1">
      <c r="M912" s="130"/>
      <c r="AR912" s="61"/>
    </row>
    <row r="913" ht="15.75" customHeight="1">
      <c r="M913" s="130"/>
      <c r="AR913" s="61"/>
    </row>
    <row r="914" ht="15.75" customHeight="1">
      <c r="M914" s="130"/>
      <c r="AR914" s="61"/>
    </row>
    <row r="915" ht="15.75" customHeight="1">
      <c r="M915" s="130"/>
      <c r="AR915" s="61"/>
    </row>
    <row r="916" ht="15.75" customHeight="1">
      <c r="M916" s="130"/>
      <c r="AR916" s="61"/>
    </row>
    <row r="917" ht="15.75" customHeight="1">
      <c r="M917" s="130"/>
      <c r="AR917" s="61"/>
    </row>
    <row r="918" ht="15.75" customHeight="1">
      <c r="M918" s="130"/>
      <c r="AR918" s="61"/>
    </row>
    <row r="919" ht="15.75" customHeight="1">
      <c r="M919" s="130"/>
      <c r="AR919" s="61"/>
    </row>
    <row r="920" ht="15.75" customHeight="1">
      <c r="M920" s="130"/>
      <c r="AR920" s="61"/>
    </row>
    <row r="921" ht="15.75" customHeight="1">
      <c r="M921" s="130"/>
      <c r="AR921" s="61"/>
    </row>
    <row r="922" ht="15.75" customHeight="1">
      <c r="M922" s="130"/>
      <c r="AR922" s="61"/>
    </row>
    <row r="923" ht="15.75" customHeight="1">
      <c r="M923" s="130"/>
      <c r="AR923" s="61"/>
    </row>
    <row r="924" ht="15.75" customHeight="1">
      <c r="M924" s="130"/>
      <c r="AR924" s="61"/>
    </row>
    <row r="925" ht="15.75" customHeight="1">
      <c r="M925" s="130"/>
      <c r="AR925" s="61"/>
    </row>
    <row r="926" ht="15.75" customHeight="1">
      <c r="M926" s="130"/>
      <c r="AR926" s="61"/>
    </row>
    <row r="927" ht="15.75" customHeight="1">
      <c r="M927" s="130"/>
      <c r="AR927" s="61"/>
    </row>
    <row r="928" ht="15.75" customHeight="1">
      <c r="M928" s="130"/>
      <c r="AR928" s="61"/>
    </row>
    <row r="929" ht="15.75" customHeight="1">
      <c r="M929" s="130"/>
      <c r="AR929" s="61"/>
    </row>
    <row r="930" ht="15.75" customHeight="1">
      <c r="M930" s="130"/>
      <c r="AR930" s="61"/>
    </row>
    <row r="931" ht="15.75" customHeight="1">
      <c r="M931" s="130"/>
      <c r="AR931" s="61"/>
    </row>
    <row r="932" ht="15.75" customHeight="1">
      <c r="M932" s="130"/>
      <c r="AR932" s="61"/>
    </row>
    <row r="933" ht="15.75" customHeight="1">
      <c r="M933" s="130"/>
      <c r="AR933" s="61"/>
    </row>
    <row r="934" ht="15.75" customHeight="1">
      <c r="M934" s="130"/>
      <c r="AR934" s="61"/>
    </row>
    <row r="935" ht="15.75" customHeight="1">
      <c r="M935" s="130"/>
      <c r="AR935" s="61"/>
    </row>
    <row r="936" ht="15.75" customHeight="1">
      <c r="M936" s="130"/>
      <c r="AR936" s="61"/>
    </row>
    <row r="937" ht="15.75" customHeight="1">
      <c r="M937" s="130"/>
      <c r="AR937" s="61"/>
    </row>
    <row r="938" ht="15.75" customHeight="1">
      <c r="M938" s="130"/>
      <c r="AR938" s="61"/>
    </row>
    <row r="939" ht="15.75" customHeight="1">
      <c r="M939" s="130"/>
      <c r="AR939" s="61"/>
    </row>
    <row r="940" ht="15.75" customHeight="1">
      <c r="M940" s="130"/>
      <c r="AR940" s="61"/>
    </row>
    <row r="941" ht="15.75" customHeight="1">
      <c r="M941" s="130"/>
      <c r="AR941" s="61"/>
    </row>
    <row r="942" ht="15.75" customHeight="1">
      <c r="M942" s="130"/>
      <c r="AR942" s="61"/>
    </row>
    <row r="943" ht="15.75" customHeight="1">
      <c r="M943" s="130"/>
      <c r="AR943" s="61"/>
    </row>
    <row r="944" ht="15.75" customHeight="1">
      <c r="M944" s="130"/>
      <c r="AR944" s="61"/>
    </row>
    <row r="945" ht="15.75" customHeight="1">
      <c r="M945" s="130"/>
      <c r="AR945" s="61"/>
    </row>
    <row r="946" ht="15.75" customHeight="1">
      <c r="M946" s="130"/>
      <c r="AR946" s="61"/>
    </row>
    <row r="947" ht="15.75" customHeight="1">
      <c r="M947" s="130"/>
      <c r="AR947" s="61"/>
    </row>
    <row r="948" ht="15.75" customHeight="1">
      <c r="M948" s="130"/>
      <c r="AR948" s="61"/>
    </row>
    <row r="949" ht="15.75" customHeight="1">
      <c r="M949" s="130"/>
      <c r="AR949" s="61"/>
    </row>
    <row r="950" ht="15.75" customHeight="1">
      <c r="M950" s="130"/>
      <c r="AR950" s="61"/>
    </row>
    <row r="951" ht="15.75" customHeight="1">
      <c r="M951" s="130"/>
      <c r="AR951" s="61"/>
    </row>
    <row r="952" ht="15.75" customHeight="1">
      <c r="M952" s="130"/>
      <c r="AR952" s="61"/>
    </row>
    <row r="953" ht="15.75" customHeight="1">
      <c r="M953" s="130"/>
      <c r="AR953" s="61"/>
    </row>
    <row r="954" ht="15.75" customHeight="1">
      <c r="M954" s="130"/>
      <c r="AR954" s="61"/>
    </row>
    <row r="955" ht="15.75" customHeight="1">
      <c r="M955" s="130"/>
      <c r="AR955" s="61"/>
    </row>
    <row r="956" ht="15.75" customHeight="1">
      <c r="M956" s="130"/>
      <c r="AR956" s="61"/>
    </row>
    <row r="957" ht="15.75" customHeight="1">
      <c r="M957" s="130"/>
      <c r="AR957" s="61"/>
    </row>
    <row r="958" ht="15.75" customHeight="1">
      <c r="M958" s="130"/>
      <c r="AR958" s="61"/>
    </row>
    <row r="959" ht="15.75" customHeight="1">
      <c r="M959" s="130"/>
      <c r="AR959" s="61"/>
    </row>
    <row r="960" ht="15.75" customHeight="1">
      <c r="M960" s="130"/>
      <c r="AR960" s="61"/>
    </row>
    <row r="961" ht="15.75" customHeight="1">
      <c r="M961" s="130"/>
      <c r="AR961" s="61"/>
    </row>
    <row r="962" ht="15.75" customHeight="1">
      <c r="M962" s="130"/>
      <c r="AR962" s="61"/>
    </row>
    <row r="963" ht="15.75" customHeight="1">
      <c r="M963" s="130"/>
      <c r="AR963" s="61"/>
    </row>
    <row r="964" ht="15.75" customHeight="1">
      <c r="M964" s="130"/>
      <c r="AR964" s="61"/>
    </row>
    <row r="965" ht="15.75" customHeight="1">
      <c r="M965" s="130"/>
      <c r="AR965" s="61"/>
    </row>
    <row r="966" ht="15.75" customHeight="1">
      <c r="M966" s="130"/>
      <c r="AR966" s="61"/>
    </row>
    <row r="967" ht="15.75" customHeight="1">
      <c r="M967" s="130"/>
      <c r="AR967" s="61"/>
    </row>
    <row r="968" ht="15.75" customHeight="1">
      <c r="M968" s="130"/>
      <c r="AR968" s="61"/>
    </row>
    <row r="969" ht="15.75" customHeight="1">
      <c r="M969" s="130"/>
      <c r="AR969" s="61"/>
    </row>
    <row r="970" ht="15.75" customHeight="1">
      <c r="M970" s="130"/>
      <c r="AR970" s="61"/>
    </row>
    <row r="971" ht="15.75" customHeight="1">
      <c r="M971" s="130"/>
      <c r="AR971" s="61"/>
    </row>
    <row r="972" ht="15.75" customHeight="1">
      <c r="M972" s="130"/>
      <c r="AR972" s="61"/>
    </row>
    <row r="973" ht="15.75" customHeight="1">
      <c r="M973" s="130"/>
      <c r="AR973" s="61"/>
    </row>
    <row r="974" ht="15.75" customHeight="1">
      <c r="M974" s="130"/>
      <c r="AR974" s="61"/>
    </row>
    <row r="975" ht="15.75" customHeight="1">
      <c r="M975" s="130"/>
      <c r="AR975" s="61"/>
    </row>
    <row r="976" ht="15.75" customHeight="1">
      <c r="M976" s="130"/>
      <c r="AR976" s="61"/>
    </row>
    <row r="977" ht="15.75" customHeight="1">
      <c r="M977" s="130"/>
      <c r="AR977" s="61"/>
    </row>
    <row r="978" ht="15.75" customHeight="1">
      <c r="M978" s="130"/>
      <c r="AR978" s="61"/>
    </row>
    <row r="979" ht="15.75" customHeight="1">
      <c r="M979" s="130"/>
      <c r="AR979" s="61"/>
    </row>
    <row r="980" ht="15.75" customHeight="1">
      <c r="M980" s="130"/>
      <c r="AR980" s="61"/>
    </row>
    <row r="981" ht="15.75" customHeight="1">
      <c r="M981" s="130"/>
      <c r="AR981" s="61"/>
    </row>
    <row r="982" ht="15.75" customHeight="1">
      <c r="M982" s="130"/>
      <c r="AR982" s="61"/>
    </row>
    <row r="983" ht="15.75" customHeight="1">
      <c r="M983" s="130"/>
      <c r="AR983" s="61"/>
    </row>
    <row r="984" ht="15.75" customHeight="1">
      <c r="M984" s="130"/>
      <c r="AR984" s="61"/>
    </row>
    <row r="985" ht="15.75" customHeight="1">
      <c r="M985" s="130"/>
      <c r="AR985" s="61"/>
    </row>
    <row r="986" ht="15.75" customHeight="1">
      <c r="M986" s="130"/>
      <c r="AR986" s="61"/>
    </row>
    <row r="987" ht="15.75" customHeight="1">
      <c r="M987" s="130"/>
      <c r="AR987" s="61"/>
    </row>
    <row r="988" ht="15.75" customHeight="1">
      <c r="M988" s="130"/>
      <c r="AR988" s="61"/>
    </row>
    <row r="989" ht="15.75" customHeight="1">
      <c r="M989" s="130"/>
      <c r="AR989" s="61"/>
    </row>
    <row r="990" ht="15.75" customHeight="1">
      <c r="M990" s="130"/>
      <c r="AR990" s="61"/>
    </row>
    <row r="991" ht="15.75" customHeight="1">
      <c r="M991" s="130"/>
      <c r="AR991" s="61"/>
    </row>
    <row r="992" ht="15.75" customHeight="1">
      <c r="M992" s="130"/>
      <c r="AR992" s="61"/>
    </row>
    <row r="993" ht="15.75" customHeight="1">
      <c r="M993" s="130"/>
      <c r="AR993" s="61"/>
    </row>
    <row r="994" ht="15.75" customHeight="1">
      <c r="M994" s="130"/>
      <c r="AR994" s="61"/>
    </row>
    <row r="995" ht="15.75" customHeight="1">
      <c r="M995" s="130"/>
      <c r="AR995" s="61"/>
    </row>
    <row r="996" ht="15.75" customHeight="1">
      <c r="M996" s="130"/>
      <c r="AR996" s="61"/>
    </row>
    <row r="997" ht="15.75" customHeight="1">
      <c r="M997" s="130"/>
      <c r="AR997" s="61"/>
    </row>
    <row r="998" ht="15.75" customHeight="1">
      <c r="M998" s="130"/>
      <c r="AR998" s="61"/>
    </row>
    <row r="999" ht="15.75" customHeight="1">
      <c r="M999" s="130"/>
      <c r="AR999" s="61"/>
    </row>
    <row r="1000" ht="15.75" customHeight="1">
      <c r="M1000" s="130"/>
      <c r="AR1000" s="61"/>
    </row>
    <row r="1001" ht="15.75" customHeight="1">
      <c r="M1001" s="130"/>
      <c r="AR1001" s="61"/>
    </row>
    <row r="1002" ht="15.75" customHeight="1">
      <c r="M1002" s="130"/>
      <c r="AR1002" s="61"/>
    </row>
    <row r="1003" ht="15.75" customHeight="1">
      <c r="M1003" s="130"/>
      <c r="AR1003" s="61"/>
    </row>
    <row r="1004" ht="15.75" customHeight="1">
      <c r="M1004" s="130"/>
      <c r="AR1004" s="61"/>
    </row>
    <row r="1005" ht="15.75" customHeight="1">
      <c r="M1005" s="130"/>
      <c r="AR1005" s="61"/>
    </row>
    <row r="1006" ht="15.75" customHeight="1">
      <c r="M1006" s="130"/>
      <c r="AR1006" s="61"/>
    </row>
    <row r="1007" ht="15.75" customHeight="1">
      <c r="M1007" s="130"/>
      <c r="AR1007" s="61"/>
    </row>
    <row r="1008" ht="15.75" customHeight="1">
      <c r="M1008" s="130"/>
      <c r="AR1008" s="61"/>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5:AX27">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4.88"/>
    <col customWidth="1" min="2" max="2" width="24.25"/>
    <col customWidth="1" min="3" max="3" width="11.63"/>
    <col customWidth="1" min="4" max="4" width="10.63"/>
    <col customWidth="1" min="5" max="5" width="10.5"/>
    <col customWidth="1" min="6" max="6" width="7.88"/>
    <col customWidth="1" min="7" max="7" width="10.5"/>
    <col customWidth="1" min="8" max="8" width="9.38"/>
    <col customWidth="1" min="9" max="9" width="10.0"/>
    <col customWidth="1" min="10" max="10" width="7.88"/>
    <col customWidth="1" min="11" max="11" width="9.13"/>
    <col customWidth="1" min="12" max="12" width="6.0"/>
    <col customWidth="1" min="13" max="13" width="9.25"/>
    <col customWidth="1" min="14" max="14" width="5.63"/>
    <col customWidth="1" min="15" max="15" width="7.25"/>
    <col customWidth="1" min="16" max="16" width="8.63"/>
    <col customWidth="1" min="17" max="17" width="9.5"/>
    <col customWidth="1" min="18" max="18" width="8.88"/>
    <col customWidth="1" min="19" max="19" width="9.0"/>
    <col customWidth="1" min="20" max="20" width="10.88"/>
    <col customWidth="1" min="21" max="21" width="12.0"/>
    <col customWidth="1" min="22" max="22" width="5.5"/>
    <col customWidth="1" min="23" max="23" width="11.13"/>
    <col customWidth="1" min="24" max="24" width="10.75"/>
    <col customWidth="1" min="26" max="44" width="13.63"/>
    <col customWidth="1" min="46" max="46" width="14.0"/>
    <col customWidth="1" min="51" max="51" width="114.0"/>
  </cols>
  <sheetData>
    <row r="1" ht="15.75" customHeight="1">
      <c r="A1" s="118" t="s">
        <v>153</v>
      </c>
      <c r="B1" s="37"/>
      <c r="C1" s="38"/>
      <c r="D1" s="38"/>
      <c r="E1" s="38"/>
      <c r="F1" s="38"/>
      <c r="G1" s="39"/>
      <c r="H1" s="39"/>
      <c r="I1" s="39"/>
      <c r="J1" s="39"/>
      <c r="K1" s="187"/>
      <c r="L1" s="188"/>
      <c r="M1" s="39"/>
      <c r="N1" s="39"/>
      <c r="O1" s="39"/>
      <c r="P1" s="39"/>
      <c r="Q1" s="39"/>
      <c r="R1" s="39"/>
      <c r="S1" s="39"/>
      <c r="T1" s="39"/>
      <c r="U1" s="37"/>
      <c r="V1" s="37"/>
      <c r="W1" s="37"/>
      <c r="X1" s="37"/>
      <c r="Y1" s="40"/>
      <c r="Z1" s="37"/>
      <c r="AA1" s="37"/>
      <c r="AB1" s="37"/>
      <c r="AC1" s="37"/>
      <c r="AD1" s="37"/>
      <c r="AE1" s="37"/>
      <c r="AF1" s="37"/>
      <c r="AG1" s="37"/>
      <c r="AH1" s="37"/>
      <c r="AI1" s="37"/>
      <c r="AJ1" s="37"/>
      <c r="AK1" s="37"/>
      <c r="AL1" s="37"/>
      <c r="AM1" s="37"/>
      <c r="AN1" s="37"/>
      <c r="AO1" s="37"/>
      <c r="AP1" s="37"/>
      <c r="AQ1" s="37"/>
      <c r="AR1" s="41"/>
      <c r="AS1" s="37"/>
      <c r="AT1" s="37"/>
      <c r="AU1" s="40"/>
      <c r="AV1" s="40"/>
      <c r="AW1" s="40"/>
      <c r="AX1" s="40"/>
      <c r="AY1" s="132"/>
    </row>
    <row r="2" ht="15.75" customHeight="1">
      <c r="A2" s="40"/>
      <c r="B2" s="37"/>
      <c r="C2" s="38"/>
      <c r="D2" s="38"/>
      <c r="E2" s="38"/>
      <c r="F2" s="38"/>
      <c r="G2" s="39"/>
      <c r="H2" s="39"/>
      <c r="I2" s="39"/>
      <c r="J2" s="39"/>
      <c r="K2" s="187"/>
      <c r="L2" s="188"/>
      <c r="M2" s="39"/>
      <c r="N2" s="39"/>
      <c r="O2" s="39"/>
      <c r="P2" s="39"/>
      <c r="Q2" s="39"/>
      <c r="R2" s="39"/>
      <c r="S2" s="39"/>
      <c r="T2" s="39"/>
      <c r="U2" s="37"/>
      <c r="V2" s="37"/>
      <c r="W2" s="37"/>
      <c r="X2" s="37"/>
      <c r="Y2" s="40"/>
      <c r="Z2" s="37"/>
      <c r="AA2" s="37"/>
      <c r="AB2" s="37"/>
      <c r="AC2" s="37"/>
      <c r="AD2" s="37"/>
      <c r="AE2" s="37"/>
      <c r="AF2" s="37"/>
      <c r="AG2" s="37"/>
      <c r="AH2" s="37"/>
      <c r="AI2" s="37"/>
      <c r="AJ2" s="37"/>
      <c r="AK2" s="37"/>
      <c r="AL2" s="37"/>
      <c r="AM2" s="37"/>
      <c r="AN2" s="37"/>
      <c r="AO2" s="37"/>
      <c r="AP2" s="37"/>
      <c r="AQ2" s="37"/>
      <c r="AR2" s="41"/>
      <c r="AS2" s="37"/>
      <c r="AT2" s="37"/>
      <c r="AU2" s="40"/>
      <c r="AV2" s="40"/>
      <c r="AW2" s="40"/>
      <c r="AX2" s="40"/>
      <c r="AY2" s="132"/>
    </row>
    <row r="3" ht="15.75" customHeight="1">
      <c r="A3" s="42" t="s">
        <v>60</v>
      </c>
      <c r="B3" s="43" t="s">
        <v>61</v>
      </c>
      <c r="C3" s="44" t="s">
        <v>62</v>
      </c>
      <c r="D3" s="45"/>
      <c r="E3" s="45"/>
      <c r="F3" s="46"/>
      <c r="G3" s="47" t="s">
        <v>63</v>
      </c>
      <c r="H3" s="45"/>
      <c r="I3" s="45"/>
      <c r="J3" s="46"/>
      <c r="K3" s="48" t="s">
        <v>64</v>
      </c>
      <c r="L3" s="45"/>
      <c r="M3" s="45"/>
      <c r="N3" s="46"/>
      <c r="O3" s="49" t="s">
        <v>296</v>
      </c>
      <c r="P3" s="45"/>
      <c r="Q3" s="45"/>
      <c r="R3" s="46"/>
      <c r="S3" s="50" t="s">
        <v>66</v>
      </c>
      <c r="T3" s="45"/>
      <c r="U3" s="45"/>
      <c r="V3" s="46"/>
      <c r="W3" s="51" t="s">
        <v>67</v>
      </c>
      <c r="X3" s="45"/>
      <c r="Y3" s="45"/>
      <c r="Z3" s="46"/>
      <c r="AA3" s="52" t="s">
        <v>68</v>
      </c>
      <c r="AB3" s="45"/>
      <c r="AC3" s="45"/>
      <c r="AD3" s="46"/>
      <c r="AE3" s="53" t="s">
        <v>69</v>
      </c>
      <c r="AF3" s="45"/>
      <c r="AG3" s="45"/>
      <c r="AH3" s="46"/>
      <c r="AI3" s="54" t="s">
        <v>70</v>
      </c>
      <c r="AJ3" s="45"/>
      <c r="AK3" s="45"/>
      <c r="AL3" s="46"/>
      <c r="AM3" s="55" t="s">
        <v>71</v>
      </c>
      <c r="AN3" s="45"/>
      <c r="AO3" s="45"/>
      <c r="AP3" s="46"/>
      <c r="AQ3" s="56"/>
      <c r="AR3" s="57" t="s">
        <v>72</v>
      </c>
      <c r="AS3" s="43" t="s">
        <v>73</v>
      </c>
      <c r="AT3" s="43" t="s">
        <v>74</v>
      </c>
      <c r="AU3" s="42" t="s">
        <v>75</v>
      </c>
      <c r="AV3" s="42" t="s">
        <v>76</v>
      </c>
      <c r="AW3" s="42" t="s">
        <v>77</v>
      </c>
      <c r="AX3" s="42" t="s">
        <v>78</v>
      </c>
      <c r="AY3" s="96" t="s">
        <v>79</v>
      </c>
    </row>
    <row r="4" ht="15.75" customHeight="1">
      <c r="A4" s="42"/>
      <c r="B4" s="43"/>
      <c r="C4" s="56" t="s">
        <v>80</v>
      </c>
      <c r="D4" s="56" t="s">
        <v>81</v>
      </c>
      <c r="E4" s="56" t="s">
        <v>82</v>
      </c>
      <c r="F4" s="56" t="s">
        <v>83</v>
      </c>
      <c r="G4" s="56" t="s">
        <v>80</v>
      </c>
      <c r="H4" s="56" t="s">
        <v>81</v>
      </c>
      <c r="I4" s="56" t="s">
        <v>82</v>
      </c>
      <c r="J4" s="56" t="s">
        <v>83</v>
      </c>
      <c r="K4" s="189" t="s">
        <v>80</v>
      </c>
      <c r="L4" s="190" t="s">
        <v>81</v>
      </c>
      <c r="M4" s="56" t="s">
        <v>82</v>
      </c>
      <c r="N4" s="56" t="s">
        <v>83</v>
      </c>
      <c r="O4" s="56" t="s">
        <v>80</v>
      </c>
      <c r="P4" s="56" t="s">
        <v>81</v>
      </c>
      <c r="Q4" s="56" t="s">
        <v>82</v>
      </c>
      <c r="R4" s="56" t="s">
        <v>83</v>
      </c>
      <c r="S4" s="56" t="s">
        <v>80</v>
      </c>
      <c r="T4" s="56" t="s">
        <v>81</v>
      </c>
      <c r="U4" s="56" t="s">
        <v>82</v>
      </c>
      <c r="V4" s="56" t="s">
        <v>83</v>
      </c>
      <c r="W4" s="56" t="s">
        <v>80</v>
      </c>
      <c r="X4" s="56" t="s">
        <v>81</v>
      </c>
      <c r="Y4" s="56" t="s">
        <v>82</v>
      </c>
      <c r="Z4" s="56" t="s">
        <v>83</v>
      </c>
      <c r="AA4" s="60" t="s">
        <v>80</v>
      </c>
      <c r="AB4" s="60" t="s">
        <v>81</v>
      </c>
      <c r="AC4" s="60" t="s">
        <v>82</v>
      </c>
      <c r="AD4" s="60" t="s">
        <v>83</v>
      </c>
      <c r="AE4" s="60" t="s">
        <v>80</v>
      </c>
      <c r="AF4" s="60" t="s">
        <v>81</v>
      </c>
      <c r="AG4" s="60" t="s">
        <v>82</v>
      </c>
      <c r="AH4" s="60" t="s">
        <v>83</v>
      </c>
      <c r="AI4" s="60" t="s">
        <v>80</v>
      </c>
      <c r="AJ4" s="60" t="s">
        <v>81</v>
      </c>
      <c r="AK4" s="60" t="s">
        <v>82</v>
      </c>
      <c r="AL4" s="60" t="s">
        <v>83</v>
      </c>
      <c r="AM4" s="60" t="s">
        <v>80</v>
      </c>
      <c r="AN4" s="60" t="s">
        <v>81</v>
      </c>
      <c r="AO4" s="60" t="s">
        <v>82</v>
      </c>
      <c r="AP4" s="60" t="s">
        <v>83</v>
      </c>
      <c r="AQ4" s="60"/>
      <c r="AR4" s="191"/>
      <c r="AS4" s="43"/>
      <c r="AT4" s="43"/>
      <c r="AU4" s="42"/>
      <c r="AV4" s="42"/>
      <c r="AW4" s="42"/>
      <c r="AX4" s="42"/>
      <c r="AY4" s="96"/>
    </row>
    <row r="5">
      <c r="A5" s="192"/>
      <c r="B5" s="192"/>
      <c r="C5" s="192"/>
      <c r="D5" s="192"/>
      <c r="E5" s="192"/>
      <c r="F5" s="192"/>
      <c r="G5" s="192"/>
      <c r="H5" s="192"/>
      <c r="I5" s="192"/>
      <c r="J5" s="192"/>
      <c r="K5" s="192"/>
      <c r="L5" s="192"/>
      <c r="M5" s="192"/>
      <c r="N5" s="192"/>
      <c r="O5" s="192"/>
      <c r="P5" s="192"/>
      <c r="Q5" s="192"/>
      <c r="R5" s="192"/>
      <c r="S5" s="192"/>
      <c r="T5" s="192"/>
      <c r="U5" s="192"/>
      <c r="V5" s="192"/>
      <c r="W5" s="192"/>
      <c r="X5" s="192"/>
      <c r="Y5" s="192"/>
      <c r="Z5" s="192"/>
      <c r="AA5" s="83"/>
      <c r="AB5" s="83"/>
      <c r="AC5" s="192"/>
      <c r="AD5" s="192"/>
      <c r="AE5" s="192"/>
      <c r="AF5" s="192"/>
      <c r="AG5" s="192"/>
      <c r="AH5" s="192"/>
      <c r="AI5" s="192"/>
      <c r="AJ5" s="192"/>
      <c r="AK5" s="192"/>
      <c r="AL5" s="192"/>
      <c r="AM5" s="192"/>
      <c r="AN5" s="192"/>
      <c r="AO5" s="192"/>
      <c r="AP5" s="192"/>
      <c r="AQ5" s="192"/>
      <c r="AR5" s="191"/>
      <c r="AS5" s="192"/>
      <c r="AT5" s="192"/>
      <c r="AU5" s="192"/>
      <c r="AV5" s="192"/>
      <c r="AW5" s="192"/>
      <c r="AX5" s="192"/>
      <c r="AY5" s="193"/>
    </row>
    <row r="6" ht="15.75" customHeight="1">
      <c r="A6" s="42">
        <v>1.0</v>
      </c>
      <c r="B6" s="87" t="s">
        <v>343</v>
      </c>
      <c r="C6" s="66">
        <v>26.0</v>
      </c>
      <c r="D6" s="66">
        <v>38.0</v>
      </c>
      <c r="E6" s="56">
        <f t="shared" ref="E6:E30" si="1">C6+D6</f>
        <v>64</v>
      </c>
      <c r="F6" s="56" t="str">
        <f t="shared" ref="F6:F30" si="2">VLOOKUP(E6,$B$44:$C$52,2)</f>
        <v>C</v>
      </c>
      <c r="G6" s="66">
        <v>28.0</v>
      </c>
      <c r="H6" s="66">
        <v>34.0</v>
      </c>
      <c r="I6" s="56">
        <f t="shared" ref="I6:I30" si="3">G6+H6</f>
        <v>62</v>
      </c>
      <c r="J6" s="56" t="str">
        <f t="shared" ref="J6:J30" si="4">VLOOKUP(I6,$B$44:$C$52,2)</f>
        <v>C</v>
      </c>
      <c r="K6" s="194">
        <v>35.0</v>
      </c>
      <c r="L6" s="195">
        <v>45.0</v>
      </c>
      <c r="M6" s="196">
        <f t="shared" ref="M6:M30" si="5">K6+L6</f>
        <v>80</v>
      </c>
      <c r="N6" s="56" t="str">
        <f t="shared" ref="N6:N30" si="6">VLOOKUP(M6,$B$44:$C$52,2)</f>
        <v>A</v>
      </c>
      <c r="O6" s="66">
        <v>33.0</v>
      </c>
      <c r="P6" s="66">
        <v>50.0</v>
      </c>
      <c r="Q6" s="56">
        <f t="shared" ref="Q6:Q30" si="7">O6+P6</f>
        <v>83</v>
      </c>
      <c r="R6" s="56" t="str">
        <f t="shared" ref="R6:R30" si="8">VLOOKUP(Q6,$B$44:$C$52,2)</f>
        <v>A</v>
      </c>
      <c r="S6" s="66">
        <v>28.0</v>
      </c>
      <c r="T6" s="197">
        <v>42.0</v>
      </c>
      <c r="U6" s="56">
        <f t="shared" ref="U6:U30" si="9">S6+T6</f>
        <v>70</v>
      </c>
      <c r="V6" s="56" t="str">
        <f t="shared" ref="V6:V30" si="10">VLOOKUP(U6,$B$44:$C$52,2)</f>
        <v>B</v>
      </c>
      <c r="W6" s="66">
        <v>35.0</v>
      </c>
      <c r="X6" s="66">
        <v>50.0</v>
      </c>
      <c r="Y6" s="56">
        <f t="shared" ref="Y6:Y22" si="11">W6+X6</f>
        <v>85</v>
      </c>
      <c r="Z6" s="56" t="str">
        <f t="shared" ref="Z6:Z30" si="12">VLOOKUP(Y6,$B$44:$C$52,2)</f>
        <v>A</v>
      </c>
      <c r="AA6" s="123">
        <v>39.0</v>
      </c>
      <c r="AB6" s="123">
        <v>44.0</v>
      </c>
      <c r="AC6" s="60">
        <f>AA6+AB6</f>
        <v>83</v>
      </c>
      <c r="AD6" s="56" t="str">
        <f t="shared" ref="AD6:AD30" si="13">VLOOKUP(AC6,$B$44:$C$52,2)</f>
        <v>A</v>
      </c>
      <c r="AE6" s="123">
        <v>34.0</v>
      </c>
      <c r="AF6" s="123">
        <v>48.0</v>
      </c>
      <c r="AG6" s="60">
        <f t="shared" ref="AG6:AG30" si="14">AE6+AF6</f>
        <v>82</v>
      </c>
      <c r="AH6" s="56" t="str">
        <f t="shared" ref="AH6:AH30" si="15">VLOOKUP(AG6,$B$44:$C$52,2)</f>
        <v>A</v>
      </c>
      <c r="AI6" s="123">
        <v>24.0</v>
      </c>
      <c r="AJ6" s="123">
        <v>43.0</v>
      </c>
      <c r="AK6" s="60">
        <f t="shared" ref="AK6:AK30" si="16">AI6+AJ6</f>
        <v>67</v>
      </c>
      <c r="AL6" s="56" t="str">
        <f t="shared" ref="AL6:AL30" si="17">VLOOKUP(AK6,$B$44:$C$52,2)</f>
        <v>C</v>
      </c>
      <c r="AM6" s="123">
        <v>26.0</v>
      </c>
      <c r="AN6" s="123">
        <v>51.0</v>
      </c>
      <c r="AO6" s="60">
        <f t="shared" ref="AO6:AO30" si="18">AM6+AN6</f>
        <v>77</v>
      </c>
      <c r="AP6" s="56" t="str">
        <f t="shared" ref="AP6:AP30" si="19">VLOOKUP(AO6,$B$44:$C$52,2)</f>
        <v>B</v>
      </c>
      <c r="AQ6" s="60"/>
      <c r="AR6" s="57">
        <f t="shared" ref="AR6:AR30" si="20">AVERAGE(E6,I6,M6,Q6,U6,Y6,AC6,AG6,AK6,AO6)</f>
        <v>75.3</v>
      </c>
      <c r="AS6" s="72">
        <f t="shared" ref="AS6:AS27" si="21">RANK(AR6,$AR$6:$AR$27)</f>
        <v>3</v>
      </c>
      <c r="AT6" s="134" t="s">
        <v>85</v>
      </c>
      <c r="AU6" s="134" t="s">
        <v>85</v>
      </c>
      <c r="AV6" s="134" t="s">
        <v>85</v>
      </c>
      <c r="AW6" s="134" t="s">
        <v>85</v>
      </c>
      <c r="AX6" s="134" t="s">
        <v>85</v>
      </c>
      <c r="AY6" s="198" t="s">
        <v>344</v>
      </c>
    </row>
    <row r="7" ht="15.75" customHeight="1">
      <c r="A7" s="42">
        <v>2.0</v>
      </c>
      <c r="B7" s="87" t="s">
        <v>345</v>
      </c>
      <c r="C7" s="66">
        <v>16.0</v>
      </c>
      <c r="D7" s="66">
        <v>26.0</v>
      </c>
      <c r="E7" s="56">
        <f t="shared" si="1"/>
        <v>42</v>
      </c>
      <c r="F7" s="77" t="str">
        <f t="shared" si="2"/>
        <v>E</v>
      </c>
      <c r="G7" s="66">
        <v>7.0</v>
      </c>
      <c r="H7" s="66">
        <v>15.0</v>
      </c>
      <c r="I7" s="56">
        <f t="shared" si="3"/>
        <v>22</v>
      </c>
      <c r="J7" s="77" t="str">
        <f t="shared" si="4"/>
        <v>G</v>
      </c>
      <c r="K7" s="194">
        <v>25.5</v>
      </c>
      <c r="L7" s="195">
        <v>16.0</v>
      </c>
      <c r="M7" s="196">
        <f t="shared" si="5"/>
        <v>41.5</v>
      </c>
      <c r="N7" s="77" t="str">
        <f t="shared" si="6"/>
        <v>E</v>
      </c>
      <c r="O7" s="66">
        <v>20.0</v>
      </c>
      <c r="P7" s="66">
        <v>31.0</v>
      </c>
      <c r="Q7" s="56">
        <f t="shared" si="7"/>
        <v>51</v>
      </c>
      <c r="R7" s="56" t="str">
        <f t="shared" si="8"/>
        <v>D</v>
      </c>
      <c r="S7" s="66">
        <v>17.0</v>
      </c>
      <c r="T7" s="197">
        <v>28.0</v>
      </c>
      <c r="U7" s="56">
        <f t="shared" si="9"/>
        <v>45</v>
      </c>
      <c r="V7" s="56" t="str">
        <f t="shared" si="10"/>
        <v>E</v>
      </c>
      <c r="W7" s="66">
        <v>10.0</v>
      </c>
      <c r="X7" s="66">
        <v>15.0</v>
      </c>
      <c r="Y7" s="56">
        <f t="shared" si="11"/>
        <v>25</v>
      </c>
      <c r="Z7" s="56" t="str">
        <f t="shared" si="12"/>
        <v>G</v>
      </c>
      <c r="AA7" s="123">
        <v>21.0</v>
      </c>
      <c r="AB7" s="123">
        <v>27.0</v>
      </c>
      <c r="AC7" s="123">
        <v>48.0</v>
      </c>
      <c r="AD7" s="56" t="str">
        <f t="shared" si="13"/>
        <v>E</v>
      </c>
      <c r="AE7" s="123">
        <v>27.0</v>
      </c>
      <c r="AF7" s="123">
        <v>35.0</v>
      </c>
      <c r="AG7" s="60">
        <f t="shared" si="14"/>
        <v>62</v>
      </c>
      <c r="AH7" s="56" t="str">
        <f t="shared" si="15"/>
        <v>C</v>
      </c>
      <c r="AI7" s="123">
        <v>26.0</v>
      </c>
      <c r="AJ7" s="123">
        <v>38.0</v>
      </c>
      <c r="AK7" s="60">
        <f t="shared" si="16"/>
        <v>64</v>
      </c>
      <c r="AL7" s="56" t="str">
        <f t="shared" si="17"/>
        <v>C</v>
      </c>
      <c r="AM7" s="123">
        <v>16.0</v>
      </c>
      <c r="AN7" s="123">
        <v>39.0</v>
      </c>
      <c r="AO7" s="60">
        <f t="shared" si="18"/>
        <v>55</v>
      </c>
      <c r="AP7" s="56" t="str">
        <f t="shared" si="19"/>
        <v>D</v>
      </c>
      <c r="AQ7" s="60"/>
      <c r="AR7" s="57">
        <f t="shared" si="20"/>
        <v>45.55</v>
      </c>
      <c r="AS7" s="72">
        <f t="shared" si="21"/>
        <v>20</v>
      </c>
      <c r="AT7" s="134" t="s">
        <v>87</v>
      </c>
      <c r="AU7" s="134" t="s">
        <v>85</v>
      </c>
      <c r="AV7" s="134" t="s">
        <v>87</v>
      </c>
      <c r="AW7" s="134" t="s">
        <v>87</v>
      </c>
      <c r="AX7" s="134" t="s">
        <v>87</v>
      </c>
      <c r="AY7" s="199" t="s">
        <v>346</v>
      </c>
    </row>
    <row r="8" ht="15.75" customHeight="1">
      <c r="A8" s="42">
        <v>3.0</v>
      </c>
      <c r="B8" s="87" t="s">
        <v>347</v>
      </c>
      <c r="C8" s="66">
        <v>20.0</v>
      </c>
      <c r="D8" s="66">
        <v>37.0</v>
      </c>
      <c r="E8" s="56">
        <f t="shared" si="1"/>
        <v>57</v>
      </c>
      <c r="F8" s="56" t="str">
        <f t="shared" si="2"/>
        <v>D</v>
      </c>
      <c r="G8" s="66">
        <v>27.0</v>
      </c>
      <c r="H8" s="66">
        <v>29.0</v>
      </c>
      <c r="I8" s="56">
        <f t="shared" si="3"/>
        <v>56</v>
      </c>
      <c r="J8" s="56" t="str">
        <f t="shared" si="4"/>
        <v>D</v>
      </c>
      <c r="K8" s="194">
        <v>28.0</v>
      </c>
      <c r="L8" s="195">
        <v>30.0</v>
      </c>
      <c r="M8" s="196">
        <f t="shared" si="5"/>
        <v>58</v>
      </c>
      <c r="N8" s="56" t="str">
        <f t="shared" si="6"/>
        <v>D</v>
      </c>
      <c r="O8" s="66">
        <v>28.0</v>
      </c>
      <c r="P8" s="66">
        <v>33.0</v>
      </c>
      <c r="Q8" s="56">
        <f t="shared" si="7"/>
        <v>61</v>
      </c>
      <c r="R8" s="56" t="str">
        <f t="shared" si="8"/>
        <v>C</v>
      </c>
      <c r="S8" s="66">
        <v>20.0</v>
      </c>
      <c r="T8" s="197">
        <v>22.0</v>
      </c>
      <c r="U8" s="56">
        <f t="shared" si="9"/>
        <v>42</v>
      </c>
      <c r="V8" s="56" t="str">
        <f t="shared" si="10"/>
        <v>E</v>
      </c>
      <c r="W8" s="66">
        <v>25.0</v>
      </c>
      <c r="X8" s="66">
        <v>44.0</v>
      </c>
      <c r="Y8" s="56">
        <f t="shared" si="11"/>
        <v>69</v>
      </c>
      <c r="Z8" s="56" t="str">
        <f t="shared" si="12"/>
        <v>C</v>
      </c>
      <c r="AA8" s="123">
        <v>27.0</v>
      </c>
      <c r="AB8" s="123">
        <v>24.0</v>
      </c>
      <c r="AC8" s="60">
        <f t="shared" ref="AC8:AC30" si="22">AA8+AB8</f>
        <v>51</v>
      </c>
      <c r="AD8" s="56" t="str">
        <f t="shared" si="13"/>
        <v>D</v>
      </c>
      <c r="AE8" s="123">
        <v>29.0</v>
      </c>
      <c r="AF8" s="123">
        <v>39.0</v>
      </c>
      <c r="AG8" s="60">
        <f t="shared" si="14"/>
        <v>68</v>
      </c>
      <c r="AH8" s="56" t="str">
        <f t="shared" si="15"/>
        <v>C</v>
      </c>
      <c r="AI8" s="123">
        <v>16.0</v>
      </c>
      <c r="AJ8" s="123">
        <v>39.0</v>
      </c>
      <c r="AK8" s="60">
        <f t="shared" si="16"/>
        <v>55</v>
      </c>
      <c r="AL8" s="56" t="str">
        <f t="shared" si="17"/>
        <v>D</v>
      </c>
      <c r="AM8" s="123">
        <v>20.0</v>
      </c>
      <c r="AN8" s="123">
        <v>52.0</v>
      </c>
      <c r="AO8" s="60">
        <f t="shared" si="18"/>
        <v>72</v>
      </c>
      <c r="AP8" s="56" t="str">
        <f t="shared" si="19"/>
        <v>B</v>
      </c>
      <c r="AQ8" s="60"/>
      <c r="AR8" s="57">
        <f t="shared" si="20"/>
        <v>58.9</v>
      </c>
      <c r="AS8" s="72">
        <f t="shared" si="21"/>
        <v>12</v>
      </c>
      <c r="AT8" s="134" t="s">
        <v>87</v>
      </c>
      <c r="AU8" s="134" t="s">
        <v>85</v>
      </c>
      <c r="AV8" s="134" t="s">
        <v>87</v>
      </c>
      <c r="AW8" s="134" t="s">
        <v>87</v>
      </c>
      <c r="AX8" s="134" t="s">
        <v>87</v>
      </c>
      <c r="AY8" s="80" t="s">
        <v>348</v>
      </c>
    </row>
    <row r="9" ht="15.75" customHeight="1">
      <c r="A9" s="42">
        <v>4.0</v>
      </c>
      <c r="B9" s="87" t="s">
        <v>349</v>
      </c>
      <c r="C9" s="66">
        <v>14.0</v>
      </c>
      <c r="D9" s="66">
        <v>31.0</v>
      </c>
      <c r="E9" s="56">
        <f t="shared" si="1"/>
        <v>45</v>
      </c>
      <c r="F9" s="77" t="str">
        <f t="shared" si="2"/>
        <v>E</v>
      </c>
      <c r="G9" s="66">
        <v>22.0</v>
      </c>
      <c r="H9" s="66">
        <v>22.0</v>
      </c>
      <c r="I9" s="56">
        <f t="shared" si="3"/>
        <v>44</v>
      </c>
      <c r="J9" s="77" t="str">
        <f t="shared" si="4"/>
        <v>E</v>
      </c>
      <c r="K9" s="194">
        <v>21.0</v>
      </c>
      <c r="L9" s="195">
        <v>33.0</v>
      </c>
      <c r="M9" s="196">
        <f t="shared" si="5"/>
        <v>54</v>
      </c>
      <c r="N9" s="56" t="str">
        <f t="shared" si="6"/>
        <v>D</v>
      </c>
      <c r="O9" s="66">
        <v>33.0</v>
      </c>
      <c r="P9" s="66">
        <v>34.0</v>
      </c>
      <c r="Q9" s="56">
        <f t="shared" si="7"/>
        <v>67</v>
      </c>
      <c r="R9" s="56" t="str">
        <f t="shared" si="8"/>
        <v>C</v>
      </c>
      <c r="S9" s="66">
        <v>20.0</v>
      </c>
      <c r="T9" s="197">
        <v>26.0</v>
      </c>
      <c r="U9" s="56">
        <f t="shared" si="9"/>
        <v>46</v>
      </c>
      <c r="V9" s="56" t="str">
        <f t="shared" si="10"/>
        <v>E</v>
      </c>
      <c r="W9" s="66">
        <v>27.0</v>
      </c>
      <c r="X9" s="66">
        <v>40.0</v>
      </c>
      <c r="Y9" s="56">
        <f t="shared" si="11"/>
        <v>67</v>
      </c>
      <c r="Z9" s="56" t="str">
        <f t="shared" si="12"/>
        <v>C</v>
      </c>
      <c r="AA9" s="123">
        <v>15.0</v>
      </c>
      <c r="AB9" s="123">
        <v>30.0</v>
      </c>
      <c r="AC9" s="60">
        <f t="shared" si="22"/>
        <v>45</v>
      </c>
      <c r="AD9" s="56" t="str">
        <f t="shared" si="13"/>
        <v>E</v>
      </c>
      <c r="AE9" s="123">
        <v>31.0</v>
      </c>
      <c r="AF9" s="123">
        <v>44.0</v>
      </c>
      <c r="AG9" s="60">
        <f t="shared" si="14"/>
        <v>75</v>
      </c>
      <c r="AH9" s="56" t="str">
        <f t="shared" si="15"/>
        <v>B</v>
      </c>
      <c r="AI9" s="123">
        <v>25.0</v>
      </c>
      <c r="AJ9" s="123">
        <v>37.0</v>
      </c>
      <c r="AK9" s="60">
        <f t="shared" si="16"/>
        <v>62</v>
      </c>
      <c r="AL9" s="56" t="str">
        <f t="shared" si="17"/>
        <v>C</v>
      </c>
      <c r="AM9" s="123">
        <v>13.6</v>
      </c>
      <c r="AN9" s="123">
        <v>46.0</v>
      </c>
      <c r="AO9" s="60">
        <f t="shared" si="18"/>
        <v>59.6</v>
      </c>
      <c r="AP9" s="56" t="str">
        <f t="shared" si="19"/>
        <v>D</v>
      </c>
      <c r="AQ9" s="60"/>
      <c r="AR9" s="57">
        <f t="shared" si="20"/>
        <v>56.46</v>
      </c>
      <c r="AS9" s="72">
        <f t="shared" si="21"/>
        <v>13</v>
      </c>
      <c r="AT9" s="134" t="s">
        <v>87</v>
      </c>
      <c r="AU9" s="134" t="s">
        <v>85</v>
      </c>
      <c r="AV9" s="134" t="s">
        <v>87</v>
      </c>
      <c r="AW9" s="134" t="s">
        <v>87</v>
      </c>
      <c r="AX9" s="134" t="s">
        <v>85</v>
      </c>
      <c r="AY9" s="80" t="s">
        <v>350</v>
      </c>
    </row>
    <row r="10" ht="15.75" customHeight="1">
      <c r="A10" s="42">
        <v>5.0</v>
      </c>
      <c r="B10" s="94" t="s">
        <v>351</v>
      </c>
      <c r="C10" s="66">
        <v>17.0</v>
      </c>
      <c r="D10" s="66">
        <v>29.0</v>
      </c>
      <c r="E10" s="56">
        <f t="shared" si="1"/>
        <v>46</v>
      </c>
      <c r="F10" s="77" t="str">
        <f t="shared" si="2"/>
        <v>E</v>
      </c>
      <c r="G10" s="66">
        <v>25.0</v>
      </c>
      <c r="H10" s="66">
        <v>15.0</v>
      </c>
      <c r="I10" s="56">
        <f t="shared" si="3"/>
        <v>40</v>
      </c>
      <c r="J10" s="77" t="str">
        <f t="shared" si="4"/>
        <v>E</v>
      </c>
      <c r="K10" s="194">
        <v>0.0</v>
      </c>
      <c r="L10" s="195">
        <v>29.0</v>
      </c>
      <c r="M10" s="196">
        <f t="shared" si="5"/>
        <v>29</v>
      </c>
      <c r="N10" s="77" t="str">
        <f t="shared" si="6"/>
        <v>G</v>
      </c>
      <c r="O10" s="66">
        <v>23.0</v>
      </c>
      <c r="P10" s="66">
        <v>33.0</v>
      </c>
      <c r="Q10" s="56">
        <f t="shared" si="7"/>
        <v>56</v>
      </c>
      <c r="R10" s="56" t="str">
        <f t="shared" si="8"/>
        <v>D</v>
      </c>
      <c r="S10" s="66">
        <v>18.0</v>
      </c>
      <c r="T10" s="197">
        <v>34.0</v>
      </c>
      <c r="U10" s="56">
        <f t="shared" si="9"/>
        <v>52</v>
      </c>
      <c r="V10" s="56" t="str">
        <f t="shared" si="10"/>
        <v>D</v>
      </c>
      <c r="W10" s="66">
        <v>26.0</v>
      </c>
      <c r="X10" s="66">
        <v>41.0</v>
      </c>
      <c r="Y10" s="56">
        <f t="shared" si="11"/>
        <v>67</v>
      </c>
      <c r="Z10" s="56" t="str">
        <f t="shared" si="12"/>
        <v>C</v>
      </c>
      <c r="AA10" s="67">
        <v>30.0</v>
      </c>
      <c r="AB10" s="68">
        <v>31.0</v>
      </c>
      <c r="AC10" s="60">
        <f t="shared" si="22"/>
        <v>61</v>
      </c>
      <c r="AD10" s="56" t="str">
        <f t="shared" si="13"/>
        <v>C</v>
      </c>
      <c r="AE10" s="67">
        <v>33.0</v>
      </c>
      <c r="AF10" s="68">
        <v>44.0</v>
      </c>
      <c r="AG10" s="59">
        <f t="shared" si="14"/>
        <v>77</v>
      </c>
      <c r="AH10" s="56" t="str">
        <f t="shared" si="15"/>
        <v>B</v>
      </c>
      <c r="AI10" s="67">
        <v>25.0</v>
      </c>
      <c r="AJ10" s="68">
        <v>37.0</v>
      </c>
      <c r="AK10" s="59">
        <f t="shared" si="16"/>
        <v>62</v>
      </c>
      <c r="AL10" s="56" t="str">
        <f t="shared" si="17"/>
        <v>C</v>
      </c>
      <c r="AM10" s="67">
        <v>16.8</v>
      </c>
      <c r="AN10" s="68">
        <v>48.0</v>
      </c>
      <c r="AO10" s="59">
        <f t="shared" si="18"/>
        <v>64.8</v>
      </c>
      <c r="AP10" s="56" t="str">
        <f t="shared" si="19"/>
        <v>C</v>
      </c>
      <c r="AQ10" s="59"/>
      <c r="AR10" s="57">
        <f t="shared" si="20"/>
        <v>55.48</v>
      </c>
      <c r="AS10" s="72">
        <f t="shared" si="21"/>
        <v>15</v>
      </c>
      <c r="AT10" s="134" t="s">
        <v>87</v>
      </c>
      <c r="AU10" s="134" t="s">
        <v>87</v>
      </c>
      <c r="AV10" s="134" t="s">
        <v>87</v>
      </c>
      <c r="AW10" s="134" t="s">
        <v>87</v>
      </c>
      <c r="AX10" s="134" t="s">
        <v>87</v>
      </c>
      <c r="AY10" s="80" t="s">
        <v>352</v>
      </c>
    </row>
    <row r="11" ht="15.75" customHeight="1">
      <c r="A11" s="42">
        <v>6.0</v>
      </c>
      <c r="B11" s="94" t="s">
        <v>353</v>
      </c>
      <c r="C11" s="66">
        <v>29.0</v>
      </c>
      <c r="D11" s="66">
        <v>44.0</v>
      </c>
      <c r="E11" s="56">
        <f t="shared" si="1"/>
        <v>73</v>
      </c>
      <c r="F11" s="56" t="str">
        <f t="shared" si="2"/>
        <v>B</v>
      </c>
      <c r="G11" s="66">
        <v>35.0</v>
      </c>
      <c r="H11" s="66">
        <v>46.0</v>
      </c>
      <c r="I11" s="56">
        <f t="shared" si="3"/>
        <v>81</v>
      </c>
      <c r="J11" s="56" t="str">
        <f t="shared" si="4"/>
        <v>A</v>
      </c>
      <c r="K11" s="200">
        <v>36.0</v>
      </c>
      <c r="L11" s="201">
        <v>44.0</v>
      </c>
      <c r="M11" s="196">
        <f t="shared" si="5"/>
        <v>80</v>
      </c>
      <c r="N11" s="56" t="str">
        <f t="shared" si="6"/>
        <v>A</v>
      </c>
      <c r="O11" s="66">
        <v>33.0</v>
      </c>
      <c r="P11" s="66">
        <v>55.0</v>
      </c>
      <c r="Q11" s="56">
        <f t="shared" si="7"/>
        <v>88</v>
      </c>
      <c r="R11" s="56" t="str">
        <f t="shared" si="8"/>
        <v>A</v>
      </c>
      <c r="S11" s="66">
        <v>36.0</v>
      </c>
      <c r="T11" s="197">
        <v>52.0</v>
      </c>
      <c r="U11" s="56">
        <f t="shared" si="9"/>
        <v>88</v>
      </c>
      <c r="V11" s="56" t="str">
        <f t="shared" si="10"/>
        <v>A</v>
      </c>
      <c r="W11" s="66">
        <v>36.0</v>
      </c>
      <c r="X11" s="66">
        <v>55.0</v>
      </c>
      <c r="Y11" s="56">
        <f t="shared" si="11"/>
        <v>91</v>
      </c>
      <c r="Z11" s="56" t="str">
        <f t="shared" si="12"/>
        <v>A*</v>
      </c>
      <c r="AA11" s="67">
        <v>34.0</v>
      </c>
      <c r="AB11" s="68">
        <v>44.0</v>
      </c>
      <c r="AC11" s="60">
        <f t="shared" si="22"/>
        <v>78</v>
      </c>
      <c r="AD11" s="56" t="str">
        <f t="shared" si="13"/>
        <v>B</v>
      </c>
      <c r="AE11" s="67">
        <v>35.0</v>
      </c>
      <c r="AF11" s="68">
        <v>52.0</v>
      </c>
      <c r="AG11" s="59">
        <f t="shared" si="14"/>
        <v>87</v>
      </c>
      <c r="AH11" s="56" t="str">
        <f t="shared" si="15"/>
        <v>A</v>
      </c>
      <c r="AI11" s="67">
        <v>25.0</v>
      </c>
      <c r="AJ11" s="68">
        <v>37.0</v>
      </c>
      <c r="AK11" s="59">
        <f t="shared" si="16"/>
        <v>62</v>
      </c>
      <c r="AL11" s="56" t="str">
        <f t="shared" si="17"/>
        <v>C</v>
      </c>
      <c r="AM11" s="67">
        <v>28.8</v>
      </c>
      <c r="AN11" s="68">
        <v>53.0</v>
      </c>
      <c r="AO11" s="59">
        <f t="shared" si="18"/>
        <v>81.8</v>
      </c>
      <c r="AP11" s="56" t="str">
        <f t="shared" si="19"/>
        <v>A</v>
      </c>
      <c r="AQ11" s="59"/>
      <c r="AR11" s="57">
        <f t="shared" si="20"/>
        <v>80.98</v>
      </c>
      <c r="AS11" s="72">
        <f t="shared" si="21"/>
        <v>1</v>
      </c>
      <c r="AT11" s="134" t="s">
        <v>85</v>
      </c>
      <c r="AU11" s="134" t="s">
        <v>85</v>
      </c>
      <c r="AV11" s="134" t="s">
        <v>85</v>
      </c>
      <c r="AW11" s="134" t="s">
        <v>85</v>
      </c>
      <c r="AX11" s="134" t="s">
        <v>85</v>
      </c>
      <c r="AY11" s="199" t="s">
        <v>354</v>
      </c>
    </row>
    <row r="12" ht="15.75" customHeight="1">
      <c r="A12" s="42">
        <v>7.0</v>
      </c>
      <c r="B12" s="94" t="s">
        <v>355</v>
      </c>
      <c r="C12" s="66">
        <v>29.0</v>
      </c>
      <c r="D12" s="66">
        <v>41.0</v>
      </c>
      <c r="E12" s="56">
        <f t="shared" si="1"/>
        <v>70</v>
      </c>
      <c r="F12" s="56" t="str">
        <f t="shared" si="2"/>
        <v>B</v>
      </c>
      <c r="G12" s="66">
        <v>36.0</v>
      </c>
      <c r="H12" s="66">
        <v>42.0</v>
      </c>
      <c r="I12" s="56">
        <f t="shared" si="3"/>
        <v>78</v>
      </c>
      <c r="J12" s="56" t="str">
        <f t="shared" si="4"/>
        <v>B</v>
      </c>
      <c r="K12" s="200">
        <v>26.0</v>
      </c>
      <c r="L12" s="201">
        <v>44.0</v>
      </c>
      <c r="M12" s="196">
        <f t="shared" si="5"/>
        <v>70</v>
      </c>
      <c r="N12" s="56" t="str">
        <f t="shared" si="6"/>
        <v>B</v>
      </c>
      <c r="O12" s="66">
        <v>32.0</v>
      </c>
      <c r="P12" s="66">
        <v>39.0</v>
      </c>
      <c r="Q12" s="56">
        <f t="shared" si="7"/>
        <v>71</v>
      </c>
      <c r="R12" s="56" t="str">
        <f t="shared" si="8"/>
        <v>B</v>
      </c>
      <c r="S12" s="66">
        <v>24.0</v>
      </c>
      <c r="T12" s="197">
        <v>49.0</v>
      </c>
      <c r="U12" s="56">
        <f t="shared" si="9"/>
        <v>73</v>
      </c>
      <c r="V12" s="56" t="str">
        <f t="shared" si="10"/>
        <v>B</v>
      </c>
      <c r="W12" s="66">
        <v>31.0</v>
      </c>
      <c r="X12" s="66">
        <v>53.0</v>
      </c>
      <c r="Y12" s="56">
        <f t="shared" si="11"/>
        <v>84</v>
      </c>
      <c r="Z12" s="56" t="str">
        <f t="shared" si="12"/>
        <v>A</v>
      </c>
      <c r="AA12" s="67">
        <v>26.0</v>
      </c>
      <c r="AB12" s="68">
        <v>42.0</v>
      </c>
      <c r="AC12" s="60">
        <f t="shared" si="22"/>
        <v>68</v>
      </c>
      <c r="AD12" s="56" t="str">
        <f t="shared" si="13"/>
        <v>C</v>
      </c>
      <c r="AE12" s="67">
        <v>30.0</v>
      </c>
      <c r="AF12" s="68">
        <v>54.0</v>
      </c>
      <c r="AG12" s="59">
        <f t="shared" si="14"/>
        <v>84</v>
      </c>
      <c r="AH12" s="56" t="str">
        <f t="shared" si="15"/>
        <v>A</v>
      </c>
      <c r="AI12" s="67">
        <v>12.0</v>
      </c>
      <c r="AJ12" s="68">
        <v>38.0</v>
      </c>
      <c r="AK12" s="59">
        <f t="shared" si="16"/>
        <v>50</v>
      </c>
      <c r="AL12" s="56" t="str">
        <f t="shared" si="17"/>
        <v>D</v>
      </c>
      <c r="AM12" s="67">
        <v>28.8</v>
      </c>
      <c r="AN12" s="68">
        <v>49.0</v>
      </c>
      <c r="AO12" s="59">
        <f t="shared" si="18"/>
        <v>77.8</v>
      </c>
      <c r="AP12" s="56" t="str">
        <f t="shared" si="19"/>
        <v>B</v>
      </c>
      <c r="AQ12" s="59"/>
      <c r="AR12" s="57">
        <f t="shared" si="20"/>
        <v>72.58</v>
      </c>
      <c r="AS12" s="72">
        <f t="shared" si="21"/>
        <v>4</v>
      </c>
      <c r="AT12" s="134" t="s">
        <v>85</v>
      </c>
      <c r="AU12" s="134" t="s">
        <v>85</v>
      </c>
      <c r="AV12" s="134" t="s">
        <v>87</v>
      </c>
      <c r="AW12" s="134" t="s">
        <v>85</v>
      </c>
      <c r="AX12" s="134" t="s">
        <v>85</v>
      </c>
      <c r="AY12" s="199" t="s">
        <v>356</v>
      </c>
    </row>
    <row r="13" ht="15.75" customHeight="1">
      <c r="A13" s="42">
        <v>8.0</v>
      </c>
      <c r="B13" s="94" t="s">
        <v>357</v>
      </c>
      <c r="C13" s="66">
        <v>30.0</v>
      </c>
      <c r="D13" s="66">
        <v>38.0</v>
      </c>
      <c r="E13" s="56">
        <f t="shared" si="1"/>
        <v>68</v>
      </c>
      <c r="F13" s="56" t="str">
        <f t="shared" si="2"/>
        <v>C</v>
      </c>
      <c r="G13" s="66">
        <v>34.0</v>
      </c>
      <c r="H13" s="66">
        <v>46.0</v>
      </c>
      <c r="I13" s="56">
        <f t="shared" si="3"/>
        <v>80</v>
      </c>
      <c r="J13" s="56" t="str">
        <f t="shared" si="4"/>
        <v>A</v>
      </c>
      <c r="K13" s="200">
        <v>28.0</v>
      </c>
      <c r="L13" s="201">
        <v>53.0</v>
      </c>
      <c r="M13" s="196">
        <f t="shared" si="5"/>
        <v>81</v>
      </c>
      <c r="N13" s="56" t="str">
        <f t="shared" si="6"/>
        <v>A</v>
      </c>
      <c r="O13" s="66">
        <v>35.0</v>
      </c>
      <c r="P13" s="66">
        <v>47.0</v>
      </c>
      <c r="Q13" s="56">
        <f t="shared" si="7"/>
        <v>82</v>
      </c>
      <c r="R13" s="56" t="str">
        <f t="shared" si="8"/>
        <v>A</v>
      </c>
      <c r="S13" s="66">
        <v>29.0</v>
      </c>
      <c r="T13" s="197">
        <v>44.0</v>
      </c>
      <c r="U13" s="56">
        <f t="shared" si="9"/>
        <v>73</v>
      </c>
      <c r="V13" s="56" t="str">
        <f t="shared" si="10"/>
        <v>B</v>
      </c>
      <c r="W13" s="66">
        <v>36.0</v>
      </c>
      <c r="X13" s="66">
        <v>57.0</v>
      </c>
      <c r="Y13" s="56">
        <f t="shared" si="11"/>
        <v>93</v>
      </c>
      <c r="Z13" s="56" t="str">
        <f t="shared" si="12"/>
        <v>A*</v>
      </c>
      <c r="AA13" s="67">
        <v>38.0</v>
      </c>
      <c r="AB13" s="68">
        <v>53.0</v>
      </c>
      <c r="AC13" s="60">
        <f t="shared" si="22"/>
        <v>91</v>
      </c>
      <c r="AD13" s="56" t="str">
        <f t="shared" si="13"/>
        <v>A*</v>
      </c>
      <c r="AE13" s="67">
        <v>31.0</v>
      </c>
      <c r="AF13" s="68">
        <v>42.0</v>
      </c>
      <c r="AG13" s="59">
        <f t="shared" si="14"/>
        <v>73</v>
      </c>
      <c r="AH13" s="56" t="str">
        <f t="shared" si="15"/>
        <v>B</v>
      </c>
      <c r="AI13" s="67">
        <v>27.0</v>
      </c>
      <c r="AJ13" s="68">
        <v>45.0</v>
      </c>
      <c r="AK13" s="59">
        <f t="shared" si="16"/>
        <v>72</v>
      </c>
      <c r="AL13" s="56" t="str">
        <f t="shared" si="17"/>
        <v>B</v>
      </c>
      <c r="AM13" s="67">
        <v>29.0</v>
      </c>
      <c r="AN13" s="68">
        <v>49.0</v>
      </c>
      <c r="AO13" s="59">
        <f t="shared" si="18"/>
        <v>78</v>
      </c>
      <c r="AP13" s="56" t="str">
        <f t="shared" si="19"/>
        <v>B</v>
      </c>
      <c r="AQ13" s="59"/>
      <c r="AR13" s="57">
        <f t="shared" si="20"/>
        <v>79.1</v>
      </c>
      <c r="AS13" s="72">
        <f t="shared" si="21"/>
        <v>2</v>
      </c>
      <c r="AT13" s="134" t="s">
        <v>85</v>
      </c>
      <c r="AU13" s="134" t="s">
        <v>85</v>
      </c>
      <c r="AV13" s="134" t="s">
        <v>85</v>
      </c>
      <c r="AW13" s="134" t="s">
        <v>85</v>
      </c>
      <c r="AX13" s="134" t="s">
        <v>85</v>
      </c>
      <c r="AY13" s="80" t="s">
        <v>358</v>
      </c>
    </row>
    <row r="14" ht="15.75" customHeight="1">
      <c r="A14" s="42">
        <v>9.0</v>
      </c>
      <c r="B14" s="94" t="s">
        <v>359</v>
      </c>
      <c r="C14" s="66">
        <v>22.0</v>
      </c>
      <c r="D14" s="66">
        <v>25.0</v>
      </c>
      <c r="E14" s="56">
        <f t="shared" si="1"/>
        <v>47</v>
      </c>
      <c r="F14" s="77" t="str">
        <f t="shared" si="2"/>
        <v>E</v>
      </c>
      <c r="G14" s="66">
        <v>17.0</v>
      </c>
      <c r="H14" s="66">
        <v>28.0</v>
      </c>
      <c r="I14" s="56">
        <f t="shared" si="3"/>
        <v>45</v>
      </c>
      <c r="J14" s="77" t="str">
        <f t="shared" si="4"/>
        <v>E</v>
      </c>
      <c r="K14" s="200">
        <v>0.0</v>
      </c>
      <c r="L14" s="201">
        <v>21.0</v>
      </c>
      <c r="M14" s="196">
        <f t="shared" si="5"/>
        <v>21</v>
      </c>
      <c r="N14" s="77" t="str">
        <f t="shared" si="6"/>
        <v>G</v>
      </c>
      <c r="O14" s="66">
        <v>33.0</v>
      </c>
      <c r="P14" s="66">
        <v>0.0</v>
      </c>
      <c r="Q14" s="56">
        <f t="shared" si="7"/>
        <v>33</v>
      </c>
      <c r="R14" s="56" t="str">
        <f t="shared" si="8"/>
        <v>F</v>
      </c>
      <c r="S14" s="202">
        <v>0.0</v>
      </c>
      <c r="T14" s="197">
        <v>27.0</v>
      </c>
      <c r="U14" s="56">
        <f t="shared" si="9"/>
        <v>27</v>
      </c>
      <c r="V14" s="56" t="str">
        <f t="shared" si="10"/>
        <v>G</v>
      </c>
      <c r="W14" s="66">
        <v>26.0</v>
      </c>
      <c r="X14" s="66">
        <v>30.0</v>
      </c>
      <c r="Y14" s="56">
        <f t="shared" si="11"/>
        <v>56</v>
      </c>
      <c r="Z14" s="56" t="str">
        <f t="shared" si="12"/>
        <v>D</v>
      </c>
      <c r="AA14" s="67">
        <v>40.0</v>
      </c>
      <c r="AB14" s="68">
        <v>7.0</v>
      </c>
      <c r="AC14" s="60">
        <f t="shared" si="22"/>
        <v>47</v>
      </c>
      <c r="AD14" s="56" t="str">
        <f t="shared" si="13"/>
        <v>E</v>
      </c>
      <c r="AE14" s="67">
        <v>25.0</v>
      </c>
      <c r="AF14" s="68">
        <v>42.0</v>
      </c>
      <c r="AG14" s="59">
        <f t="shared" si="14"/>
        <v>67</v>
      </c>
      <c r="AH14" s="56" t="str">
        <f t="shared" si="15"/>
        <v>C</v>
      </c>
      <c r="AI14" s="67">
        <v>21.0</v>
      </c>
      <c r="AJ14" s="68">
        <v>29.0</v>
      </c>
      <c r="AK14" s="59">
        <f t="shared" si="16"/>
        <v>50</v>
      </c>
      <c r="AL14" s="56" t="str">
        <f t="shared" si="17"/>
        <v>D</v>
      </c>
      <c r="AM14" s="67">
        <v>21.0</v>
      </c>
      <c r="AN14" s="68">
        <v>53.0</v>
      </c>
      <c r="AO14" s="59">
        <f t="shared" si="18"/>
        <v>74</v>
      </c>
      <c r="AP14" s="56" t="str">
        <f t="shared" si="19"/>
        <v>B</v>
      </c>
      <c r="AQ14" s="59"/>
      <c r="AR14" s="57">
        <f t="shared" si="20"/>
        <v>46.7</v>
      </c>
      <c r="AS14" s="72">
        <f t="shared" si="21"/>
        <v>19</v>
      </c>
      <c r="AT14" s="134" t="s">
        <v>87</v>
      </c>
      <c r="AU14" s="134" t="s">
        <v>87</v>
      </c>
      <c r="AV14" s="134" t="s">
        <v>90</v>
      </c>
      <c r="AW14" s="134" t="s">
        <v>90</v>
      </c>
      <c r="AX14" s="134" t="s">
        <v>90</v>
      </c>
      <c r="AY14" s="80" t="s">
        <v>360</v>
      </c>
    </row>
    <row r="15" ht="15.75" customHeight="1">
      <c r="A15" s="42">
        <v>10.0</v>
      </c>
      <c r="B15" s="94" t="s">
        <v>361</v>
      </c>
      <c r="C15" s="66">
        <v>27.0</v>
      </c>
      <c r="D15" s="66">
        <v>39.0</v>
      </c>
      <c r="E15" s="56">
        <f t="shared" si="1"/>
        <v>66</v>
      </c>
      <c r="F15" s="56" t="str">
        <f t="shared" si="2"/>
        <v>C</v>
      </c>
      <c r="G15" s="66">
        <v>27.0</v>
      </c>
      <c r="H15" s="66">
        <v>32.0</v>
      </c>
      <c r="I15" s="56">
        <f t="shared" si="3"/>
        <v>59</v>
      </c>
      <c r="J15" s="56" t="str">
        <f t="shared" si="4"/>
        <v>D</v>
      </c>
      <c r="K15" s="200">
        <v>31.5</v>
      </c>
      <c r="L15" s="201">
        <v>44.0</v>
      </c>
      <c r="M15" s="196">
        <f t="shared" si="5"/>
        <v>75.5</v>
      </c>
      <c r="N15" s="56" t="str">
        <f t="shared" si="6"/>
        <v>B</v>
      </c>
      <c r="O15" s="66">
        <v>31.0</v>
      </c>
      <c r="P15" s="66">
        <v>38.0</v>
      </c>
      <c r="Q15" s="56">
        <f t="shared" si="7"/>
        <v>69</v>
      </c>
      <c r="R15" s="56" t="str">
        <f t="shared" si="8"/>
        <v>C</v>
      </c>
      <c r="S15" s="66">
        <v>30.0</v>
      </c>
      <c r="T15" s="197">
        <v>44.0</v>
      </c>
      <c r="U15" s="56">
        <f t="shared" si="9"/>
        <v>74</v>
      </c>
      <c r="V15" s="56" t="str">
        <f t="shared" si="10"/>
        <v>B</v>
      </c>
      <c r="W15" s="66">
        <v>36.0</v>
      </c>
      <c r="X15" s="66">
        <v>54.0</v>
      </c>
      <c r="Y15" s="56">
        <f t="shared" si="11"/>
        <v>90</v>
      </c>
      <c r="Z15" s="56" t="str">
        <f t="shared" si="12"/>
        <v>A*</v>
      </c>
      <c r="AA15" s="67">
        <v>24.0</v>
      </c>
      <c r="AB15" s="68">
        <v>27.0</v>
      </c>
      <c r="AC15" s="60">
        <f t="shared" si="22"/>
        <v>51</v>
      </c>
      <c r="AD15" s="56" t="str">
        <f t="shared" si="13"/>
        <v>D</v>
      </c>
      <c r="AE15" s="67">
        <v>30.0</v>
      </c>
      <c r="AF15" s="68">
        <v>53.0</v>
      </c>
      <c r="AG15" s="59">
        <f t="shared" si="14"/>
        <v>83</v>
      </c>
      <c r="AH15" s="56" t="str">
        <f t="shared" si="15"/>
        <v>A</v>
      </c>
      <c r="AI15" s="67">
        <v>27.0</v>
      </c>
      <c r="AJ15" s="68">
        <v>45.0</v>
      </c>
      <c r="AK15" s="59">
        <f t="shared" si="16"/>
        <v>72</v>
      </c>
      <c r="AL15" s="56" t="str">
        <f t="shared" si="17"/>
        <v>B</v>
      </c>
      <c r="AM15" s="67">
        <v>27.0</v>
      </c>
      <c r="AN15" s="68">
        <v>46.0</v>
      </c>
      <c r="AO15" s="59">
        <f t="shared" si="18"/>
        <v>73</v>
      </c>
      <c r="AP15" s="56" t="str">
        <f t="shared" si="19"/>
        <v>B</v>
      </c>
      <c r="AQ15" s="59"/>
      <c r="AR15" s="57">
        <f t="shared" si="20"/>
        <v>71.25</v>
      </c>
      <c r="AS15" s="72">
        <f t="shared" si="21"/>
        <v>6</v>
      </c>
      <c r="AT15" s="134" t="s">
        <v>85</v>
      </c>
      <c r="AU15" s="134" t="s">
        <v>85</v>
      </c>
      <c r="AV15" s="134" t="s">
        <v>87</v>
      </c>
      <c r="AW15" s="134" t="s">
        <v>87</v>
      </c>
      <c r="AX15" s="134" t="s">
        <v>87</v>
      </c>
      <c r="AY15" s="199" t="s">
        <v>362</v>
      </c>
    </row>
    <row r="16" ht="15.75" customHeight="1">
      <c r="A16" s="42">
        <v>11.0</v>
      </c>
      <c r="B16" s="94" t="s">
        <v>363</v>
      </c>
      <c r="C16" s="66">
        <v>27.0</v>
      </c>
      <c r="D16" s="66">
        <v>38.0</v>
      </c>
      <c r="E16" s="56">
        <f t="shared" si="1"/>
        <v>65</v>
      </c>
      <c r="F16" s="56" t="str">
        <f t="shared" si="2"/>
        <v>C</v>
      </c>
      <c r="G16" s="66">
        <v>24.0</v>
      </c>
      <c r="H16" s="66">
        <v>40.0</v>
      </c>
      <c r="I16" s="56">
        <f t="shared" si="3"/>
        <v>64</v>
      </c>
      <c r="J16" s="56" t="str">
        <f t="shared" si="4"/>
        <v>C</v>
      </c>
      <c r="K16" s="200">
        <v>28.0</v>
      </c>
      <c r="L16" s="201">
        <v>33.0</v>
      </c>
      <c r="M16" s="196">
        <f t="shared" si="5"/>
        <v>61</v>
      </c>
      <c r="N16" s="56" t="str">
        <f t="shared" si="6"/>
        <v>C</v>
      </c>
      <c r="O16" s="66">
        <v>31.0</v>
      </c>
      <c r="P16" s="66">
        <v>39.0</v>
      </c>
      <c r="Q16" s="56">
        <f t="shared" si="7"/>
        <v>70</v>
      </c>
      <c r="R16" s="56" t="str">
        <f t="shared" si="8"/>
        <v>B</v>
      </c>
      <c r="S16" s="66">
        <v>31.0</v>
      </c>
      <c r="T16" s="197">
        <v>55.0</v>
      </c>
      <c r="U16" s="56">
        <f t="shared" si="9"/>
        <v>86</v>
      </c>
      <c r="V16" s="56" t="str">
        <f t="shared" si="10"/>
        <v>A</v>
      </c>
      <c r="W16" s="66">
        <v>30.0</v>
      </c>
      <c r="X16" s="66">
        <v>45.0</v>
      </c>
      <c r="Y16" s="56">
        <f t="shared" si="11"/>
        <v>75</v>
      </c>
      <c r="Z16" s="56" t="str">
        <f t="shared" si="12"/>
        <v>B</v>
      </c>
      <c r="AA16" s="67">
        <v>28.0</v>
      </c>
      <c r="AB16" s="68">
        <v>26.0</v>
      </c>
      <c r="AC16" s="60">
        <f t="shared" si="22"/>
        <v>54</v>
      </c>
      <c r="AD16" s="56" t="str">
        <f t="shared" si="13"/>
        <v>D</v>
      </c>
      <c r="AE16" s="67">
        <v>34.0</v>
      </c>
      <c r="AF16" s="68">
        <v>54.0</v>
      </c>
      <c r="AG16" s="59">
        <f t="shared" si="14"/>
        <v>88</v>
      </c>
      <c r="AH16" s="56" t="str">
        <f t="shared" si="15"/>
        <v>A</v>
      </c>
      <c r="AI16" s="67">
        <v>26.0</v>
      </c>
      <c r="AJ16" s="68">
        <v>29.0</v>
      </c>
      <c r="AK16" s="59">
        <f t="shared" si="16"/>
        <v>55</v>
      </c>
      <c r="AL16" s="56" t="str">
        <f t="shared" si="17"/>
        <v>D</v>
      </c>
      <c r="AM16" s="67">
        <v>27.0</v>
      </c>
      <c r="AN16" s="68">
        <v>44.0</v>
      </c>
      <c r="AO16" s="59">
        <f t="shared" si="18"/>
        <v>71</v>
      </c>
      <c r="AP16" s="56" t="str">
        <f t="shared" si="19"/>
        <v>B</v>
      </c>
      <c r="AQ16" s="59"/>
      <c r="AR16" s="57">
        <f t="shared" si="20"/>
        <v>68.9</v>
      </c>
      <c r="AS16" s="72">
        <f t="shared" si="21"/>
        <v>8</v>
      </c>
      <c r="AT16" s="134" t="s">
        <v>85</v>
      </c>
      <c r="AU16" s="134" t="s">
        <v>85</v>
      </c>
      <c r="AV16" s="134" t="s">
        <v>87</v>
      </c>
      <c r="AW16" s="134" t="s">
        <v>87</v>
      </c>
      <c r="AX16" s="134" t="s">
        <v>85</v>
      </c>
      <c r="AY16" s="80" t="s">
        <v>364</v>
      </c>
    </row>
    <row r="17" ht="15.75" customHeight="1">
      <c r="A17" s="42">
        <v>12.0</v>
      </c>
      <c r="B17" s="94" t="s">
        <v>365</v>
      </c>
      <c r="C17" s="66">
        <v>16.0</v>
      </c>
      <c r="D17" s="66">
        <v>29.0</v>
      </c>
      <c r="E17" s="56">
        <f t="shared" si="1"/>
        <v>45</v>
      </c>
      <c r="F17" s="77" t="str">
        <f t="shared" si="2"/>
        <v>E</v>
      </c>
      <c r="G17" s="66">
        <v>29.0</v>
      </c>
      <c r="H17" s="66">
        <v>43.0</v>
      </c>
      <c r="I17" s="56">
        <f t="shared" si="3"/>
        <v>72</v>
      </c>
      <c r="J17" s="56" t="str">
        <f t="shared" si="4"/>
        <v>B</v>
      </c>
      <c r="K17" s="200">
        <v>16.0</v>
      </c>
      <c r="L17" s="201">
        <v>28.0</v>
      </c>
      <c r="M17" s="196">
        <f t="shared" si="5"/>
        <v>44</v>
      </c>
      <c r="N17" s="77" t="str">
        <f t="shared" si="6"/>
        <v>E</v>
      </c>
      <c r="O17" s="66">
        <v>14.0</v>
      </c>
      <c r="P17" s="66">
        <v>23.0</v>
      </c>
      <c r="Q17" s="56">
        <f t="shared" si="7"/>
        <v>37</v>
      </c>
      <c r="R17" s="56" t="str">
        <f t="shared" si="8"/>
        <v>F</v>
      </c>
      <c r="S17" s="66">
        <v>15.0</v>
      </c>
      <c r="T17" s="197">
        <v>14.0</v>
      </c>
      <c r="U17" s="56">
        <f t="shared" si="9"/>
        <v>29</v>
      </c>
      <c r="V17" s="56" t="str">
        <f t="shared" si="10"/>
        <v>G</v>
      </c>
      <c r="W17" s="66">
        <v>0.0</v>
      </c>
      <c r="X17" s="66">
        <v>18.0</v>
      </c>
      <c r="Y17" s="56">
        <f t="shared" si="11"/>
        <v>18</v>
      </c>
      <c r="Z17" s="56" t="str">
        <f t="shared" si="12"/>
        <v>U</v>
      </c>
      <c r="AA17" s="67">
        <v>28.0</v>
      </c>
      <c r="AB17" s="68">
        <v>4.0</v>
      </c>
      <c r="AC17" s="60">
        <f t="shared" si="22"/>
        <v>32</v>
      </c>
      <c r="AD17" s="56" t="str">
        <f t="shared" si="13"/>
        <v>F</v>
      </c>
      <c r="AE17" s="67">
        <v>26.0</v>
      </c>
      <c r="AF17" s="68">
        <v>41.0</v>
      </c>
      <c r="AG17" s="59">
        <f t="shared" si="14"/>
        <v>67</v>
      </c>
      <c r="AH17" s="56" t="str">
        <f t="shared" si="15"/>
        <v>C</v>
      </c>
      <c r="AI17" s="67">
        <v>16.0</v>
      </c>
      <c r="AJ17" s="68">
        <v>5.0</v>
      </c>
      <c r="AK17" s="59">
        <f t="shared" si="16"/>
        <v>21</v>
      </c>
      <c r="AL17" s="56" t="str">
        <f t="shared" si="17"/>
        <v>G</v>
      </c>
      <c r="AM17" s="67">
        <v>16.0</v>
      </c>
      <c r="AN17" s="68">
        <v>38.0</v>
      </c>
      <c r="AO17" s="59">
        <f t="shared" si="18"/>
        <v>54</v>
      </c>
      <c r="AP17" s="56" t="str">
        <f t="shared" si="19"/>
        <v>D</v>
      </c>
      <c r="AQ17" s="59"/>
      <c r="AR17" s="57">
        <f t="shared" si="20"/>
        <v>41.9</v>
      </c>
      <c r="AS17" s="72">
        <f t="shared" si="21"/>
        <v>22</v>
      </c>
      <c r="AT17" s="134" t="s">
        <v>85</v>
      </c>
      <c r="AU17" s="134" t="s">
        <v>85</v>
      </c>
      <c r="AV17" s="134" t="s">
        <v>87</v>
      </c>
      <c r="AW17" s="134" t="s">
        <v>87</v>
      </c>
      <c r="AX17" s="134" t="s">
        <v>87</v>
      </c>
      <c r="AY17" s="199" t="s">
        <v>366</v>
      </c>
    </row>
    <row r="18" ht="15.75" customHeight="1">
      <c r="A18" s="42">
        <v>13.0</v>
      </c>
      <c r="B18" s="94" t="s">
        <v>367</v>
      </c>
      <c r="C18" s="66">
        <v>18.0</v>
      </c>
      <c r="D18" s="66">
        <v>49.0</v>
      </c>
      <c r="E18" s="56">
        <f t="shared" si="1"/>
        <v>67</v>
      </c>
      <c r="F18" s="56" t="str">
        <f t="shared" si="2"/>
        <v>C</v>
      </c>
      <c r="G18" s="66">
        <v>31.0</v>
      </c>
      <c r="H18" s="66">
        <v>53.0</v>
      </c>
      <c r="I18" s="56">
        <f t="shared" si="3"/>
        <v>84</v>
      </c>
      <c r="J18" s="56" t="str">
        <f t="shared" si="4"/>
        <v>A</v>
      </c>
      <c r="K18" s="200">
        <v>35.0</v>
      </c>
      <c r="L18" s="201">
        <v>49.0</v>
      </c>
      <c r="M18" s="196">
        <f t="shared" si="5"/>
        <v>84</v>
      </c>
      <c r="N18" s="56" t="str">
        <f t="shared" si="6"/>
        <v>A</v>
      </c>
      <c r="O18" s="66">
        <v>33.0</v>
      </c>
      <c r="P18" s="66">
        <v>38.0</v>
      </c>
      <c r="Q18" s="56">
        <f t="shared" si="7"/>
        <v>71</v>
      </c>
      <c r="R18" s="56" t="str">
        <f t="shared" si="8"/>
        <v>B</v>
      </c>
      <c r="S18" s="66">
        <v>12.0</v>
      </c>
      <c r="T18" s="197">
        <v>52.0</v>
      </c>
      <c r="U18" s="56">
        <f t="shared" si="9"/>
        <v>64</v>
      </c>
      <c r="V18" s="56" t="str">
        <f t="shared" si="10"/>
        <v>C</v>
      </c>
      <c r="W18" s="66">
        <v>32.0</v>
      </c>
      <c r="X18" s="66">
        <v>51.0</v>
      </c>
      <c r="Y18" s="56">
        <f t="shared" si="11"/>
        <v>83</v>
      </c>
      <c r="Z18" s="56" t="str">
        <f t="shared" si="12"/>
        <v>A</v>
      </c>
      <c r="AA18" s="67">
        <v>20.0</v>
      </c>
      <c r="AB18" s="68">
        <v>52.0</v>
      </c>
      <c r="AC18" s="60">
        <f t="shared" si="22"/>
        <v>72</v>
      </c>
      <c r="AD18" s="56" t="str">
        <f t="shared" si="13"/>
        <v>B</v>
      </c>
      <c r="AE18" s="67">
        <v>30.0</v>
      </c>
      <c r="AF18" s="68">
        <v>51.0</v>
      </c>
      <c r="AG18" s="59">
        <f t="shared" si="14"/>
        <v>81</v>
      </c>
      <c r="AH18" s="56" t="str">
        <f t="shared" si="15"/>
        <v>A</v>
      </c>
      <c r="AI18" s="67">
        <v>20.0</v>
      </c>
      <c r="AJ18" s="68">
        <v>39.0</v>
      </c>
      <c r="AK18" s="59">
        <f t="shared" si="16"/>
        <v>59</v>
      </c>
      <c r="AL18" s="56" t="str">
        <f t="shared" si="17"/>
        <v>D</v>
      </c>
      <c r="AM18" s="67">
        <v>19.0</v>
      </c>
      <c r="AN18" s="68">
        <v>39.0</v>
      </c>
      <c r="AO18" s="59">
        <f t="shared" si="18"/>
        <v>58</v>
      </c>
      <c r="AP18" s="56" t="str">
        <f t="shared" si="19"/>
        <v>D</v>
      </c>
      <c r="AQ18" s="59"/>
      <c r="AR18" s="57">
        <f t="shared" si="20"/>
        <v>72.3</v>
      </c>
      <c r="AS18" s="72">
        <f t="shared" si="21"/>
        <v>5</v>
      </c>
      <c r="AT18" s="134" t="s">
        <v>86</v>
      </c>
      <c r="AU18" s="134" t="s">
        <v>85</v>
      </c>
      <c r="AV18" s="134" t="s">
        <v>85</v>
      </c>
      <c r="AW18" s="134" t="s">
        <v>85</v>
      </c>
      <c r="AX18" s="134" t="s">
        <v>85</v>
      </c>
      <c r="AY18" s="199" t="s">
        <v>368</v>
      </c>
    </row>
    <row r="19" ht="15.75" customHeight="1">
      <c r="A19" s="42">
        <v>14.0</v>
      </c>
      <c r="B19" s="94" t="s">
        <v>369</v>
      </c>
      <c r="C19" s="66">
        <v>26.0</v>
      </c>
      <c r="D19" s="66">
        <v>44.0</v>
      </c>
      <c r="E19" s="56">
        <f t="shared" si="1"/>
        <v>70</v>
      </c>
      <c r="F19" s="56" t="str">
        <f t="shared" si="2"/>
        <v>B</v>
      </c>
      <c r="G19" s="66">
        <v>32.0</v>
      </c>
      <c r="H19" s="66">
        <v>38.0</v>
      </c>
      <c r="I19" s="56">
        <f t="shared" si="3"/>
        <v>70</v>
      </c>
      <c r="J19" s="56" t="str">
        <f t="shared" si="4"/>
        <v>B</v>
      </c>
      <c r="K19" s="200">
        <v>27.0</v>
      </c>
      <c r="L19" s="201">
        <v>37.0</v>
      </c>
      <c r="M19" s="196">
        <f t="shared" si="5"/>
        <v>64</v>
      </c>
      <c r="N19" s="56" t="str">
        <f t="shared" si="6"/>
        <v>C</v>
      </c>
      <c r="O19" s="66">
        <v>32.0</v>
      </c>
      <c r="P19" s="66">
        <v>30.0</v>
      </c>
      <c r="Q19" s="56">
        <f t="shared" si="7"/>
        <v>62</v>
      </c>
      <c r="R19" s="56" t="str">
        <f t="shared" si="8"/>
        <v>C</v>
      </c>
      <c r="S19" s="66">
        <v>26.0</v>
      </c>
      <c r="T19" s="197">
        <v>35.0</v>
      </c>
      <c r="U19" s="56">
        <f t="shared" si="9"/>
        <v>61</v>
      </c>
      <c r="V19" s="56" t="str">
        <f t="shared" si="10"/>
        <v>C</v>
      </c>
      <c r="W19" s="66">
        <v>32.0</v>
      </c>
      <c r="X19" s="66">
        <v>44.0</v>
      </c>
      <c r="Y19" s="56">
        <f t="shared" si="11"/>
        <v>76</v>
      </c>
      <c r="Z19" s="56" t="str">
        <f t="shared" si="12"/>
        <v>B</v>
      </c>
      <c r="AA19" s="67">
        <v>36.0</v>
      </c>
      <c r="AB19" s="68">
        <v>45.0</v>
      </c>
      <c r="AC19" s="60">
        <f t="shared" si="22"/>
        <v>81</v>
      </c>
      <c r="AD19" s="56" t="str">
        <f t="shared" si="13"/>
        <v>A</v>
      </c>
      <c r="AE19" s="67">
        <v>32.0</v>
      </c>
      <c r="AF19" s="68">
        <v>47.0</v>
      </c>
      <c r="AG19" s="59">
        <f t="shared" si="14"/>
        <v>79</v>
      </c>
      <c r="AH19" s="56" t="str">
        <f t="shared" si="15"/>
        <v>B</v>
      </c>
      <c r="AI19" s="67">
        <v>21.0</v>
      </c>
      <c r="AJ19" s="68">
        <v>36.0</v>
      </c>
      <c r="AK19" s="59">
        <f t="shared" si="16"/>
        <v>57</v>
      </c>
      <c r="AL19" s="56" t="str">
        <f t="shared" si="17"/>
        <v>D</v>
      </c>
      <c r="AM19" s="67">
        <v>26.0</v>
      </c>
      <c r="AN19" s="68">
        <v>48.0</v>
      </c>
      <c r="AO19" s="59">
        <f t="shared" si="18"/>
        <v>74</v>
      </c>
      <c r="AP19" s="56" t="str">
        <f t="shared" si="19"/>
        <v>B</v>
      </c>
      <c r="AQ19" s="59"/>
      <c r="AR19" s="57">
        <f t="shared" si="20"/>
        <v>69.4</v>
      </c>
      <c r="AS19" s="72">
        <f t="shared" si="21"/>
        <v>7</v>
      </c>
      <c r="AT19" s="134" t="s">
        <v>85</v>
      </c>
      <c r="AU19" s="134" t="s">
        <v>85</v>
      </c>
      <c r="AV19" s="134" t="s">
        <v>85</v>
      </c>
      <c r="AW19" s="134" t="s">
        <v>87</v>
      </c>
      <c r="AX19" s="134" t="s">
        <v>85</v>
      </c>
      <c r="AY19" s="199" t="s">
        <v>370</v>
      </c>
    </row>
    <row r="20" ht="15.75" customHeight="1">
      <c r="A20" s="42">
        <v>15.0</v>
      </c>
      <c r="B20" s="94" t="s">
        <v>371</v>
      </c>
      <c r="C20" s="66">
        <v>21.0</v>
      </c>
      <c r="D20" s="66">
        <v>32.0</v>
      </c>
      <c r="E20" s="56">
        <f t="shared" si="1"/>
        <v>53</v>
      </c>
      <c r="F20" s="56" t="str">
        <f t="shared" si="2"/>
        <v>D</v>
      </c>
      <c r="G20" s="66">
        <v>16.0</v>
      </c>
      <c r="H20" s="66">
        <v>21.0</v>
      </c>
      <c r="I20" s="56">
        <f t="shared" si="3"/>
        <v>37</v>
      </c>
      <c r="J20" s="77" t="str">
        <f t="shared" si="4"/>
        <v>F</v>
      </c>
      <c r="K20" s="200">
        <v>24.0</v>
      </c>
      <c r="L20" s="201">
        <v>24.0</v>
      </c>
      <c r="M20" s="196">
        <f t="shared" si="5"/>
        <v>48</v>
      </c>
      <c r="N20" s="77" t="str">
        <f t="shared" si="6"/>
        <v>E</v>
      </c>
      <c r="O20" s="66">
        <v>25.0</v>
      </c>
      <c r="P20" s="66">
        <v>29.0</v>
      </c>
      <c r="Q20" s="56">
        <f t="shared" si="7"/>
        <v>54</v>
      </c>
      <c r="R20" s="56" t="str">
        <f t="shared" si="8"/>
        <v>D</v>
      </c>
      <c r="S20" s="66">
        <v>23.0</v>
      </c>
      <c r="T20" s="197">
        <v>32.0</v>
      </c>
      <c r="U20" s="56">
        <f t="shared" si="9"/>
        <v>55</v>
      </c>
      <c r="V20" s="56" t="str">
        <f t="shared" si="10"/>
        <v>D</v>
      </c>
      <c r="W20" s="66">
        <v>18.0</v>
      </c>
      <c r="X20" s="66">
        <v>37.0</v>
      </c>
      <c r="Y20" s="56">
        <f t="shared" si="11"/>
        <v>55</v>
      </c>
      <c r="Z20" s="56" t="str">
        <f t="shared" si="12"/>
        <v>D</v>
      </c>
      <c r="AA20" s="67">
        <v>25.0</v>
      </c>
      <c r="AB20" s="68">
        <v>27.0</v>
      </c>
      <c r="AC20" s="60">
        <f t="shared" si="22"/>
        <v>52</v>
      </c>
      <c r="AD20" s="56" t="str">
        <f t="shared" si="13"/>
        <v>D</v>
      </c>
      <c r="AE20" s="67">
        <v>24.0</v>
      </c>
      <c r="AF20" s="68">
        <v>47.0</v>
      </c>
      <c r="AG20" s="59">
        <f t="shared" si="14"/>
        <v>71</v>
      </c>
      <c r="AH20" s="56" t="str">
        <f t="shared" si="15"/>
        <v>B</v>
      </c>
      <c r="AI20" s="67">
        <v>30.0</v>
      </c>
      <c r="AJ20" s="68">
        <v>33.0</v>
      </c>
      <c r="AK20" s="59">
        <f t="shared" si="16"/>
        <v>63</v>
      </c>
      <c r="AL20" s="56" t="str">
        <f t="shared" si="17"/>
        <v>C</v>
      </c>
      <c r="AM20" s="67">
        <v>20.8</v>
      </c>
      <c r="AN20" s="68">
        <v>52.0</v>
      </c>
      <c r="AO20" s="59">
        <f t="shared" si="18"/>
        <v>72.8</v>
      </c>
      <c r="AP20" s="56" t="str">
        <f t="shared" si="19"/>
        <v>B</v>
      </c>
      <c r="AQ20" s="59"/>
      <c r="AR20" s="57">
        <f t="shared" si="20"/>
        <v>56.08</v>
      </c>
      <c r="AS20" s="72">
        <f t="shared" si="21"/>
        <v>14</v>
      </c>
      <c r="AT20" s="134" t="s">
        <v>87</v>
      </c>
      <c r="AU20" s="134" t="s">
        <v>85</v>
      </c>
      <c r="AV20" s="134" t="s">
        <v>85</v>
      </c>
      <c r="AW20" s="134" t="s">
        <v>85</v>
      </c>
      <c r="AX20" s="134" t="s">
        <v>85</v>
      </c>
      <c r="AY20" s="199" t="s">
        <v>372</v>
      </c>
    </row>
    <row r="21" ht="15.75" customHeight="1">
      <c r="A21" s="42">
        <v>16.0</v>
      </c>
      <c r="B21" s="94" t="s">
        <v>373</v>
      </c>
      <c r="C21" s="66">
        <v>18.0</v>
      </c>
      <c r="D21" s="66">
        <v>16.0</v>
      </c>
      <c r="E21" s="56">
        <f t="shared" si="1"/>
        <v>34</v>
      </c>
      <c r="F21" s="77" t="str">
        <f t="shared" si="2"/>
        <v>F</v>
      </c>
      <c r="G21" s="66">
        <v>21.0</v>
      </c>
      <c r="H21" s="66">
        <v>22.0</v>
      </c>
      <c r="I21" s="56">
        <f t="shared" si="3"/>
        <v>43</v>
      </c>
      <c r="J21" s="77" t="str">
        <f t="shared" si="4"/>
        <v>E</v>
      </c>
      <c r="K21" s="200">
        <v>31.5</v>
      </c>
      <c r="L21" s="201">
        <v>33.0</v>
      </c>
      <c r="M21" s="196">
        <f t="shared" si="5"/>
        <v>64.5</v>
      </c>
      <c r="N21" s="56" t="str">
        <f t="shared" si="6"/>
        <v>C</v>
      </c>
      <c r="O21" s="66">
        <v>29.0</v>
      </c>
      <c r="P21" s="66">
        <v>28.0</v>
      </c>
      <c r="Q21" s="56">
        <f t="shared" si="7"/>
        <v>57</v>
      </c>
      <c r="R21" s="56" t="str">
        <f t="shared" si="8"/>
        <v>D</v>
      </c>
      <c r="S21" s="66">
        <v>11.0</v>
      </c>
      <c r="T21" s="197">
        <v>36.0</v>
      </c>
      <c r="U21" s="56">
        <f t="shared" si="9"/>
        <v>47</v>
      </c>
      <c r="V21" s="56" t="str">
        <f t="shared" si="10"/>
        <v>E</v>
      </c>
      <c r="W21" s="66">
        <v>27.0</v>
      </c>
      <c r="X21" s="66">
        <v>30.0</v>
      </c>
      <c r="Y21" s="56">
        <f t="shared" si="11"/>
        <v>57</v>
      </c>
      <c r="Z21" s="56" t="str">
        <f t="shared" si="12"/>
        <v>D</v>
      </c>
      <c r="AA21" s="67">
        <v>35.0</v>
      </c>
      <c r="AB21" s="68">
        <v>28.0</v>
      </c>
      <c r="AC21" s="60">
        <f t="shared" si="22"/>
        <v>63</v>
      </c>
      <c r="AD21" s="56" t="str">
        <f t="shared" si="13"/>
        <v>C</v>
      </c>
      <c r="AE21" s="67">
        <v>30.0</v>
      </c>
      <c r="AF21" s="68">
        <v>53.0</v>
      </c>
      <c r="AG21" s="59">
        <f t="shared" si="14"/>
        <v>83</v>
      </c>
      <c r="AH21" s="56" t="str">
        <f t="shared" si="15"/>
        <v>A</v>
      </c>
      <c r="AI21" s="67">
        <v>25.0</v>
      </c>
      <c r="AJ21" s="68">
        <v>46.0</v>
      </c>
      <c r="AK21" s="59">
        <f t="shared" si="16"/>
        <v>71</v>
      </c>
      <c r="AL21" s="56" t="str">
        <f t="shared" si="17"/>
        <v>B</v>
      </c>
      <c r="AM21" s="67">
        <v>18.0</v>
      </c>
      <c r="AN21" s="68">
        <v>53.0</v>
      </c>
      <c r="AO21" s="59">
        <f t="shared" si="18"/>
        <v>71</v>
      </c>
      <c r="AP21" s="56" t="str">
        <f t="shared" si="19"/>
        <v>B</v>
      </c>
      <c r="AQ21" s="59"/>
      <c r="AR21" s="57">
        <f t="shared" si="20"/>
        <v>59.05</v>
      </c>
      <c r="AS21" s="72">
        <f t="shared" si="21"/>
        <v>11</v>
      </c>
      <c r="AT21" s="134" t="s">
        <v>87</v>
      </c>
      <c r="AU21" s="134" t="s">
        <v>85</v>
      </c>
      <c r="AV21" s="134" t="s">
        <v>87</v>
      </c>
      <c r="AW21" s="134" t="s">
        <v>85</v>
      </c>
      <c r="AX21" s="134" t="s">
        <v>85</v>
      </c>
      <c r="AY21" s="80" t="s">
        <v>374</v>
      </c>
    </row>
    <row r="22" ht="15.75" customHeight="1">
      <c r="A22" s="42">
        <v>17.0</v>
      </c>
      <c r="B22" s="94" t="s">
        <v>375</v>
      </c>
      <c r="C22" s="66">
        <v>19.0</v>
      </c>
      <c r="D22" s="66">
        <v>37.0</v>
      </c>
      <c r="E22" s="56">
        <f t="shared" si="1"/>
        <v>56</v>
      </c>
      <c r="F22" s="56" t="str">
        <f t="shared" si="2"/>
        <v>D</v>
      </c>
      <c r="G22" s="66">
        <v>17.0</v>
      </c>
      <c r="H22" s="66">
        <v>34.0</v>
      </c>
      <c r="I22" s="56">
        <f t="shared" si="3"/>
        <v>51</v>
      </c>
      <c r="J22" s="56" t="str">
        <f t="shared" si="4"/>
        <v>D</v>
      </c>
      <c r="K22" s="203">
        <v>27.0</v>
      </c>
      <c r="L22" s="204">
        <v>35.0</v>
      </c>
      <c r="M22" s="196">
        <f t="shared" si="5"/>
        <v>62</v>
      </c>
      <c r="N22" s="56" t="str">
        <f t="shared" si="6"/>
        <v>C</v>
      </c>
      <c r="O22" s="66">
        <v>31.0</v>
      </c>
      <c r="P22" s="66">
        <v>32.0</v>
      </c>
      <c r="Q22" s="56">
        <f t="shared" si="7"/>
        <v>63</v>
      </c>
      <c r="R22" s="56" t="str">
        <f t="shared" si="8"/>
        <v>C</v>
      </c>
      <c r="S22" s="66">
        <v>25.0</v>
      </c>
      <c r="T22" s="197">
        <v>37.0</v>
      </c>
      <c r="U22" s="56">
        <f t="shared" si="9"/>
        <v>62</v>
      </c>
      <c r="V22" s="56" t="str">
        <f t="shared" si="10"/>
        <v>C</v>
      </c>
      <c r="W22" s="66">
        <v>24.0</v>
      </c>
      <c r="X22" s="66">
        <v>48.0</v>
      </c>
      <c r="Y22" s="56">
        <f t="shared" si="11"/>
        <v>72</v>
      </c>
      <c r="Z22" s="56" t="str">
        <f t="shared" si="12"/>
        <v>B</v>
      </c>
      <c r="AA22" s="67">
        <v>31.0</v>
      </c>
      <c r="AB22" s="68">
        <v>32.0</v>
      </c>
      <c r="AC22" s="60">
        <f t="shared" si="22"/>
        <v>63</v>
      </c>
      <c r="AD22" s="56" t="str">
        <f t="shared" si="13"/>
        <v>C</v>
      </c>
      <c r="AE22" s="67">
        <v>29.0</v>
      </c>
      <c r="AF22" s="68">
        <v>42.0</v>
      </c>
      <c r="AG22" s="59">
        <f t="shared" si="14"/>
        <v>71</v>
      </c>
      <c r="AH22" s="56" t="str">
        <f t="shared" si="15"/>
        <v>B</v>
      </c>
      <c r="AI22" s="67">
        <v>18.0</v>
      </c>
      <c r="AJ22" s="68">
        <v>40.0</v>
      </c>
      <c r="AK22" s="59">
        <f t="shared" si="16"/>
        <v>58</v>
      </c>
      <c r="AL22" s="56" t="str">
        <f t="shared" si="17"/>
        <v>D</v>
      </c>
      <c r="AM22" s="67">
        <v>19.0</v>
      </c>
      <c r="AN22" s="68">
        <v>50.0</v>
      </c>
      <c r="AO22" s="59">
        <f t="shared" si="18"/>
        <v>69</v>
      </c>
      <c r="AP22" s="56" t="str">
        <f t="shared" si="19"/>
        <v>C</v>
      </c>
      <c r="AQ22" s="59"/>
      <c r="AR22" s="57">
        <f t="shared" si="20"/>
        <v>62.7</v>
      </c>
      <c r="AS22" s="72">
        <f t="shared" si="21"/>
        <v>9</v>
      </c>
      <c r="AT22" s="134" t="s">
        <v>87</v>
      </c>
      <c r="AU22" s="134" t="s">
        <v>85</v>
      </c>
      <c r="AV22" s="134" t="s">
        <v>87</v>
      </c>
      <c r="AW22" s="134" t="s">
        <v>85</v>
      </c>
      <c r="AX22" s="134" t="s">
        <v>85</v>
      </c>
      <c r="AY22" s="80" t="s">
        <v>376</v>
      </c>
    </row>
    <row r="23" ht="15.75" customHeight="1">
      <c r="A23" s="42">
        <v>18.0</v>
      </c>
      <c r="B23" s="87" t="s">
        <v>377</v>
      </c>
      <c r="C23" s="66">
        <v>19.0</v>
      </c>
      <c r="D23" s="66">
        <v>28.0</v>
      </c>
      <c r="E23" s="56">
        <f t="shared" si="1"/>
        <v>47</v>
      </c>
      <c r="F23" s="77" t="str">
        <f t="shared" si="2"/>
        <v>E</v>
      </c>
      <c r="G23" s="66">
        <v>21.0</v>
      </c>
      <c r="H23" s="66">
        <v>26.0</v>
      </c>
      <c r="I23" s="56">
        <f t="shared" si="3"/>
        <v>47</v>
      </c>
      <c r="J23" s="77" t="str">
        <f t="shared" si="4"/>
        <v>E</v>
      </c>
      <c r="K23" s="200">
        <v>26.0</v>
      </c>
      <c r="L23" s="201">
        <v>40.0</v>
      </c>
      <c r="M23" s="196">
        <f t="shared" si="5"/>
        <v>66</v>
      </c>
      <c r="N23" s="56" t="str">
        <f t="shared" si="6"/>
        <v>C</v>
      </c>
      <c r="O23" s="66">
        <v>29.0</v>
      </c>
      <c r="P23" s="66">
        <v>34.0</v>
      </c>
      <c r="Q23" s="56">
        <f t="shared" si="7"/>
        <v>63</v>
      </c>
      <c r="R23" s="56" t="str">
        <f t="shared" si="8"/>
        <v>C</v>
      </c>
      <c r="S23" s="66">
        <v>15.0</v>
      </c>
      <c r="T23" s="197">
        <v>25.0</v>
      </c>
      <c r="U23" s="56">
        <f t="shared" si="9"/>
        <v>40</v>
      </c>
      <c r="V23" s="56" t="str">
        <f t="shared" si="10"/>
        <v>E</v>
      </c>
      <c r="W23" s="66">
        <v>27.0</v>
      </c>
      <c r="X23" s="66">
        <v>30.0</v>
      </c>
      <c r="Y23" s="56">
        <v>52.0</v>
      </c>
      <c r="Z23" s="56" t="str">
        <f t="shared" si="12"/>
        <v>D</v>
      </c>
      <c r="AA23" s="123">
        <v>13.0</v>
      </c>
      <c r="AB23" s="123">
        <v>5.0</v>
      </c>
      <c r="AC23" s="60">
        <f t="shared" si="22"/>
        <v>18</v>
      </c>
      <c r="AD23" s="56" t="str">
        <f t="shared" si="13"/>
        <v>U</v>
      </c>
      <c r="AE23" s="123">
        <v>29.0</v>
      </c>
      <c r="AF23" s="123">
        <v>45.0</v>
      </c>
      <c r="AG23" s="59">
        <f t="shared" si="14"/>
        <v>74</v>
      </c>
      <c r="AH23" s="56" t="str">
        <f t="shared" si="15"/>
        <v>B</v>
      </c>
      <c r="AI23" s="123">
        <v>19.0</v>
      </c>
      <c r="AJ23" s="123">
        <v>26.0</v>
      </c>
      <c r="AK23" s="59">
        <f t="shared" si="16"/>
        <v>45</v>
      </c>
      <c r="AL23" s="56" t="str">
        <f t="shared" si="17"/>
        <v>E</v>
      </c>
      <c r="AM23" s="123">
        <v>19.0</v>
      </c>
      <c r="AN23" s="123">
        <v>48.0</v>
      </c>
      <c r="AO23" s="59">
        <f t="shared" si="18"/>
        <v>67</v>
      </c>
      <c r="AP23" s="56" t="str">
        <f t="shared" si="19"/>
        <v>C</v>
      </c>
      <c r="AQ23" s="60"/>
      <c r="AR23" s="57">
        <f t="shared" si="20"/>
        <v>51.9</v>
      </c>
      <c r="AS23" s="72">
        <f t="shared" si="21"/>
        <v>16</v>
      </c>
      <c r="AT23" s="134" t="s">
        <v>87</v>
      </c>
      <c r="AU23" s="134" t="s">
        <v>87</v>
      </c>
      <c r="AV23" s="134" t="s">
        <v>87</v>
      </c>
      <c r="AW23" s="134" t="s">
        <v>85</v>
      </c>
      <c r="AX23" s="134" t="s">
        <v>87</v>
      </c>
      <c r="AY23" s="199" t="s">
        <v>378</v>
      </c>
    </row>
    <row r="24" ht="15.75" customHeight="1">
      <c r="A24" s="42">
        <v>19.0</v>
      </c>
      <c r="B24" s="87" t="s">
        <v>379</v>
      </c>
      <c r="C24" s="66">
        <v>18.0</v>
      </c>
      <c r="D24" s="66">
        <v>28.0</v>
      </c>
      <c r="E24" s="56">
        <f t="shared" si="1"/>
        <v>46</v>
      </c>
      <c r="F24" s="77" t="str">
        <f t="shared" si="2"/>
        <v>E</v>
      </c>
      <c r="G24" s="66">
        <v>28.0</v>
      </c>
      <c r="H24" s="66">
        <v>35.0</v>
      </c>
      <c r="I24" s="56">
        <f t="shared" si="3"/>
        <v>63</v>
      </c>
      <c r="J24" s="56" t="str">
        <f t="shared" si="4"/>
        <v>C</v>
      </c>
      <c r="K24" s="200">
        <v>22.5</v>
      </c>
      <c r="L24" s="201">
        <v>22.0</v>
      </c>
      <c r="M24" s="196">
        <f t="shared" si="5"/>
        <v>44.5</v>
      </c>
      <c r="N24" s="77" t="str">
        <f t="shared" si="6"/>
        <v>E</v>
      </c>
      <c r="O24" s="66">
        <v>32.0</v>
      </c>
      <c r="P24" s="66">
        <v>43.0</v>
      </c>
      <c r="Q24" s="56">
        <f t="shared" si="7"/>
        <v>75</v>
      </c>
      <c r="R24" s="56" t="str">
        <f t="shared" si="8"/>
        <v>B</v>
      </c>
      <c r="S24" s="66">
        <v>13.0</v>
      </c>
      <c r="T24" s="197">
        <v>38.0</v>
      </c>
      <c r="U24" s="56">
        <f t="shared" si="9"/>
        <v>51</v>
      </c>
      <c r="V24" s="56" t="str">
        <f t="shared" si="10"/>
        <v>D</v>
      </c>
      <c r="W24" s="66">
        <v>28.0</v>
      </c>
      <c r="X24" s="66">
        <v>37.0</v>
      </c>
      <c r="Y24" s="56">
        <f t="shared" ref="Y24:Y30" si="23">W24+X24</f>
        <v>65</v>
      </c>
      <c r="Z24" s="56" t="str">
        <f t="shared" si="12"/>
        <v>C</v>
      </c>
      <c r="AA24" s="205">
        <v>29.0</v>
      </c>
      <c r="AB24" s="205">
        <v>32.0</v>
      </c>
      <c r="AC24" s="206">
        <f t="shared" si="22"/>
        <v>61</v>
      </c>
      <c r="AD24" s="56" t="str">
        <f t="shared" si="13"/>
        <v>C</v>
      </c>
      <c r="AE24" s="205">
        <v>32.0</v>
      </c>
      <c r="AF24" s="205">
        <v>38.0</v>
      </c>
      <c r="AG24" s="71">
        <f t="shared" si="14"/>
        <v>70</v>
      </c>
      <c r="AH24" s="56" t="str">
        <f t="shared" si="15"/>
        <v>B</v>
      </c>
      <c r="AI24" s="205">
        <v>17.0</v>
      </c>
      <c r="AJ24" s="205">
        <v>29.0</v>
      </c>
      <c r="AK24" s="71">
        <f t="shared" si="16"/>
        <v>46</v>
      </c>
      <c r="AL24" s="56" t="str">
        <f t="shared" si="17"/>
        <v>E</v>
      </c>
      <c r="AM24" s="205">
        <v>18.0</v>
      </c>
      <c r="AN24" s="205">
        <v>54.0</v>
      </c>
      <c r="AO24" s="71">
        <f t="shared" si="18"/>
        <v>72</v>
      </c>
      <c r="AP24" s="56" t="str">
        <f t="shared" si="19"/>
        <v>B</v>
      </c>
      <c r="AQ24" s="60"/>
      <c r="AR24" s="57">
        <f t="shared" si="20"/>
        <v>59.35</v>
      </c>
      <c r="AS24" s="72">
        <f t="shared" si="21"/>
        <v>10</v>
      </c>
      <c r="AT24" s="134" t="s">
        <v>85</v>
      </c>
      <c r="AU24" s="134" t="s">
        <v>87</v>
      </c>
      <c r="AV24" s="134" t="s">
        <v>87</v>
      </c>
      <c r="AW24" s="134" t="s">
        <v>87</v>
      </c>
      <c r="AX24" s="134" t="s">
        <v>87</v>
      </c>
      <c r="AY24" s="199" t="s">
        <v>380</v>
      </c>
    </row>
    <row r="25" ht="15.75" customHeight="1">
      <c r="A25" s="42">
        <v>20.0</v>
      </c>
      <c r="B25" s="183" t="s">
        <v>381</v>
      </c>
      <c r="C25" s="66">
        <v>15.0</v>
      </c>
      <c r="D25" s="66">
        <v>30.0</v>
      </c>
      <c r="E25" s="56">
        <f t="shared" si="1"/>
        <v>45</v>
      </c>
      <c r="F25" s="77" t="str">
        <f t="shared" si="2"/>
        <v>E</v>
      </c>
      <c r="G25" s="73">
        <v>8.0</v>
      </c>
      <c r="H25" s="73">
        <v>23.0</v>
      </c>
      <c r="I25" s="56">
        <f t="shared" si="3"/>
        <v>31</v>
      </c>
      <c r="J25" s="77" t="str">
        <f t="shared" si="4"/>
        <v>F</v>
      </c>
      <c r="K25" s="203">
        <v>20.0</v>
      </c>
      <c r="L25" s="204">
        <v>25.0</v>
      </c>
      <c r="M25" s="196">
        <f t="shared" si="5"/>
        <v>45</v>
      </c>
      <c r="N25" s="77" t="str">
        <f t="shared" si="6"/>
        <v>E</v>
      </c>
      <c r="O25" s="73">
        <v>27.0</v>
      </c>
      <c r="P25" s="73">
        <v>33.0</v>
      </c>
      <c r="Q25" s="56">
        <f t="shared" si="7"/>
        <v>60</v>
      </c>
      <c r="R25" s="56" t="str">
        <f t="shared" si="8"/>
        <v>C</v>
      </c>
      <c r="S25" s="73">
        <v>10.0</v>
      </c>
      <c r="T25" s="197">
        <v>26.0</v>
      </c>
      <c r="U25" s="56">
        <f t="shared" si="9"/>
        <v>36</v>
      </c>
      <c r="V25" s="56" t="str">
        <f t="shared" si="10"/>
        <v>F</v>
      </c>
      <c r="W25" s="207">
        <v>19.0</v>
      </c>
      <c r="X25" s="207">
        <v>37.0</v>
      </c>
      <c r="Y25" s="56">
        <f t="shared" si="23"/>
        <v>56</v>
      </c>
      <c r="Z25" s="56" t="str">
        <f t="shared" si="12"/>
        <v>D</v>
      </c>
      <c r="AA25" s="83">
        <v>22.0</v>
      </c>
      <c r="AB25" s="83">
        <v>24.0</v>
      </c>
      <c r="AC25" s="60">
        <f t="shared" si="22"/>
        <v>46</v>
      </c>
      <c r="AD25" s="56" t="str">
        <f t="shared" si="13"/>
        <v>E</v>
      </c>
      <c r="AE25" s="83">
        <v>28.0</v>
      </c>
      <c r="AF25" s="83">
        <v>42.0</v>
      </c>
      <c r="AG25" s="60">
        <f t="shared" si="14"/>
        <v>70</v>
      </c>
      <c r="AH25" s="56" t="str">
        <f t="shared" si="15"/>
        <v>B</v>
      </c>
      <c r="AI25" s="83">
        <v>21.0</v>
      </c>
      <c r="AJ25" s="83">
        <v>33.0</v>
      </c>
      <c r="AK25" s="60">
        <f t="shared" si="16"/>
        <v>54</v>
      </c>
      <c r="AL25" s="56" t="str">
        <f t="shared" si="17"/>
        <v>D</v>
      </c>
      <c r="AM25" s="83">
        <v>15.0</v>
      </c>
      <c r="AN25" s="83">
        <v>49.0</v>
      </c>
      <c r="AO25" s="60">
        <f t="shared" si="18"/>
        <v>64</v>
      </c>
      <c r="AP25" s="56" t="str">
        <f t="shared" si="19"/>
        <v>C</v>
      </c>
      <c r="AQ25" s="206"/>
      <c r="AR25" s="57">
        <f t="shared" si="20"/>
        <v>50.7</v>
      </c>
      <c r="AS25" s="72">
        <f t="shared" si="21"/>
        <v>17</v>
      </c>
      <c r="AT25" s="134" t="s">
        <v>87</v>
      </c>
      <c r="AU25" s="134" t="s">
        <v>85</v>
      </c>
      <c r="AV25" s="134" t="s">
        <v>87</v>
      </c>
      <c r="AW25" s="134" t="s">
        <v>87</v>
      </c>
      <c r="AX25" s="134" t="s">
        <v>85</v>
      </c>
      <c r="AY25" s="199" t="s">
        <v>382</v>
      </c>
    </row>
    <row r="26" ht="15.75" customHeight="1">
      <c r="A26" s="42">
        <v>21.0</v>
      </c>
      <c r="B26" s="87" t="s">
        <v>383</v>
      </c>
      <c r="C26" s="66">
        <v>16.0</v>
      </c>
      <c r="D26" s="66">
        <v>29.0</v>
      </c>
      <c r="E26" s="56">
        <f t="shared" si="1"/>
        <v>45</v>
      </c>
      <c r="F26" s="77" t="str">
        <f t="shared" si="2"/>
        <v>E</v>
      </c>
      <c r="G26" s="66">
        <v>14.0</v>
      </c>
      <c r="H26" s="66">
        <v>5.0</v>
      </c>
      <c r="I26" s="56">
        <f t="shared" si="3"/>
        <v>19</v>
      </c>
      <c r="J26" s="77" t="str">
        <f t="shared" si="4"/>
        <v>U</v>
      </c>
      <c r="K26" s="194">
        <v>6.0</v>
      </c>
      <c r="L26" s="195">
        <v>25.0</v>
      </c>
      <c r="M26" s="196">
        <f t="shared" si="5"/>
        <v>31</v>
      </c>
      <c r="N26" s="77" t="str">
        <f t="shared" si="6"/>
        <v>F</v>
      </c>
      <c r="O26" s="66">
        <v>22.0</v>
      </c>
      <c r="P26" s="66">
        <v>36.0</v>
      </c>
      <c r="Q26" s="56">
        <f t="shared" si="7"/>
        <v>58</v>
      </c>
      <c r="R26" s="56" t="str">
        <f t="shared" si="8"/>
        <v>D</v>
      </c>
      <c r="S26" s="66">
        <v>20.0</v>
      </c>
      <c r="T26" s="197">
        <v>33.0</v>
      </c>
      <c r="U26" s="56">
        <f t="shared" si="9"/>
        <v>53</v>
      </c>
      <c r="V26" s="56" t="str">
        <f t="shared" si="10"/>
        <v>D</v>
      </c>
      <c r="W26" s="66">
        <v>15.0</v>
      </c>
      <c r="X26" s="66">
        <v>14.0</v>
      </c>
      <c r="Y26" s="56">
        <f t="shared" si="23"/>
        <v>29</v>
      </c>
      <c r="Z26" s="56" t="str">
        <f t="shared" si="12"/>
        <v>G</v>
      </c>
      <c r="AA26" s="123">
        <v>25.0</v>
      </c>
      <c r="AB26" s="123">
        <v>16.0</v>
      </c>
      <c r="AC26" s="60">
        <f t="shared" si="22"/>
        <v>41</v>
      </c>
      <c r="AD26" s="56" t="str">
        <f t="shared" si="13"/>
        <v>E</v>
      </c>
      <c r="AE26" s="123">
        <v>33.0</v>
      </c>
      <c r="AF26" s="123">
        <v>46.0</v>
      </c>
      <c r="AG26" s="60">
        <f t="shared" si="14"/>
        <v>79</v>
      </c>
      <c r="AH26" s="56" t="str">
        <f t="shared" si="15"/>
        <v>B</v>
      </c>
      <c r="AI26" s="123">
        <v>27.0</v>
      </c>
      <c r="AJ26" s="123">
        <v>29.0</v>
      </c>
      <c r="AK26" s="60">
        <f t="shared" si="16"/>
        <v>56</v>
      </c>
      <c r="AL26" s="56" t="str">
        <f t="shared" si="17"/>
        <v>D</v>
      </c>
      <c r="AM26" s="123">
        <v>16.0</v>
      </c>
      <c r="AN26" s="123">
        <v>48.0</v>
      </c>
      <c r="AO26" s="60">
        <f t="shared" si="18"/>
        <v>64</v>
      </c>
      <c r="AP26" s="56" t="str">
        <f t="shared" si="19"/>
        <v>C</v>
      </c>
      <c r="AQ26" s="60"/>
      <c r="AR26" s="57">
        <f t="shared" si="20"/>
        <v>47.5</v>
      </c>
      <c r="AS26" s="72">
        <f t="shared" si="21"/>
        <v>18</v>
      </c>
      <c r="AT26" s="134" t="s">
        <v>87</v>
      </c>
      <c r="AU26" s="134" t="s">
        <v>85</v>
      </c>
      <c r="AV26" s="134" t="s">
        <v>90</v>
      </c>
      <c r="AW26" s="134" t="s">
        <v>85</v>
      </c>
      <c r="AX26" s="134" t="s">
        <v>85</v>
      </c>
      <c r="AY26" s="80" t="s">
        <v>384</v>
      </c>
    </row>
    <row r="27" ht="15.75" customHeight="1">
      <c r="A27" s="42">
        <v>22.0</v>
      </c>
      <c r="B27" s="87" t="s">
        <v>385</v>
      </c>
      <c r="C27" s="66">
        <v>17.0</v>
      </c>
      <c r="D27" s="66">
        <v>32.0</v>
      </c>
      <c r="E27" s="56">
        <f t="shared" si="1"/>
        <v>49</v>
      </c>
      <c r="F27" s="77" t="str">
        <f t="shared" si="2"/>
        <v>E</v>
      </c>
      <c r="G27" s="66">
        <v>15.0</v>
      </c>
      <c r="H27" s="66">
        <v>13.0</v>
      </c>
      <c r="I27" s="56">
        <f t="shared" si="3"/>
        <v>28</v>
      </c>
      <c r="J27" s="77" t="str">
        <f t="shared" si="4"/>
        <v>G</v>
      </c>
      <c r="K27" s="194">
        <v>22.5</v>
      </c>
      <c r="L27" s="195">
        <v>10.0</v>
      </c>
      <c r="M27" s="196">
        <f t="shared" si="5"/>
        <v>32.5</v>
      </c>
      <c r="N27" s="77" t="str">
        <f t="shared" si="6"/>
        <v>F</v>
      </c>
      <c r="O27" s="66">
        <v>23.0</v>
      </c>
      <c r="P27" s="66">
        <v>0.0</v>
      </c>
      <c r="Q27" s="56">
        <f t="shared" si="7"/>
        <v>23</v>
      </c>
      <c r="R27" s="56" t="str">
        <f t="shared" si="8"/>
        <v>G</v>
      </c>
      <c r="S27" s="66">
        <v>17.0</v>
      </c>
      <c r="T27" s="197">
        <v>17.0</v>
      </c>
      <c r="U27" s="56">
        <f t="shared" si="9"/>
        <v>34</v>
      </c>
      <c r="V27" s="56" t="str">
        <f t="shared" si="10"/>
        <v>F</v>
      </c>
      <c r="W27" s="66">
        <v>25.0</v>
      </c>
      <c r="X27" s="66">
        <v>22.0</v>
      </c>
      <c r="Y27" s="56">
        <f t="shared" si="23"/>
        <v>47</v>
      </c>
      <c r="Z27" s="56" t="str">
        <f t="shared" si="12"/>
        <v>E</v>
      </c>
      <c r="AA27" s="123">
        <v>21.0</v>
      </c>
      <c r="AB27" s="123">
        <v>17.0</v>
      </c>
      <c r="AC27" s="60">
        <f t="shared" si="22"/>
        <v>38</v>
      </c>
      <c r="AD27" s="56" t="str">
        <f t="shared" si="13"/>
        <v>F</v>
      </c>
      <c r="AE27" s="123">
        <v>28.0</v>
      </c>
      <c r="AF27" s="123">
        <v>42.0</v>
      </c>
      <c r="AG27" s="60">
        <f t="shared" si="14"/>
        <v>70</v>
      </c>
      <c r="AH27" s="56" t="str">
        <f t="shared" si="15"/>
        <v>B</v>
      </c>
      <c r="AI27" s="123">
        <v>23.0</v>
      </c>
      <c r="AJ27" s="123">
        <v>29.0</v>
      </c>
      <c r="AK27" s="60">
        <f t="shared" si="16"/>
        <v>52</v>
      </c>
      <c r="AL27" s="56" t="str">
        <f t="shared" si="17"/>
        <v>D</v>
      </c>
      <c r="AM27" s="123">
        <v>16.0</v>
      </c>
      <c r="AN27" s="123">
        <v>50.0</v>
      </c>
      <c r="AO27" s="60">
        <f t="shared" si="18"/>
        <v>66</v>
      </c>
      <c r="AP27" s="56" t="str">
        <f t="shared" si="19"/>
        <v>C</v>
      </c>
      <c r="AQ27" s="60"/>
      <c r="AR27" s="57">
        <f t="shared" si="20"/>
        <v>43.95</v>
      </c>
      <c r="AS27" s="72">
        <f t="shared" si="21"/>
        <v>21</v>
      </c>
      <c r="AT27" s="134" t="s">
        <v>87</v>
      </c>
      <c r="AU27" s="134" t="s">
        <v>90</v>
      </c>
      <c r="AV27" s="134" t="s">
        <v>90</v>
      </c>
      <c r="AW27" s="134" t="s">
        <v>90</v>
      </c>
      <c r="AX27" s="134" t="s">
        <v>90</v>
      </c>
      <c r="AY27" s="199" t="s">
        <v>386</v>
      </c>
    </row>
    <row r="28" ht="15.75" customHeight="1">
      <c r="A28" s="42">
        <v>23.0</v>
      </c>
      <c r="B28" s="129" t="s">
        <v>387</v>
      </c>
      <c r="C28" s="66">
        <v>29.0</v>
      </c>
      <c r="D28" s="66">
        <v>41.0</v>
      </c>
      <c r="E28" s="56">
        <f t="shared" si="1"/>
        <v>70</v>
      </c>
      <c r="F28" s="56" t="str">
        <f t="shared" si="2"/>
        <v>B</v>
      </c>
      <c r="G28" s="73">
        <v>28.0</v>
      </c>
      <c r="H28" s="73">
        <v>38.0</v>
      </c>
      <c r="I28" s="56">
        <f t="shared" si="3"/>
        <v>66</v>
      </c>
      <c r="J28" s="56" t="str">
        <f t="shared" si="4"/>
        <v>C</v>
      </c>
      <c r="K28" s="203">
        <v>27.0</v>
      </c>
      <c r="L28" s="204">
        <v>46.0</v>
      </c>
      <c r="M28" s="196">
        <f t="shared" si="5"/>
        <v>73</v>
      </c>
      <c r="N28" s="56" t="str">
        <f t="shared" si="6"/>
        <v>B</v>
      </c>
      <c r="O28" s="73">
        <v>30.0</v>
      </c>
      <c r="P28" s="73">
        <v>47.0</v>
      </c>
      <c r="Q28" s="56">
        <f t="shared" si="7"/>
        <v>77</v>
      </c>
      <c r="R28" s="56" t="str">
        <f t="shared" si="8"/>
        <v>B</v>
      </c>
      <c r="S28" s="73">
        <v>26.0</v>
      </c>
      <c r="T28" s="197">
        <v>46.0</v>
      </c>
      <c r="U28" s="56">
        <f t="shared" si="9"/>
        <v>72</v>
      </c>
      <c r="V28" s="56" t="str">
        <f t="shared" si="10"/>
        <v>B</v>
      </c>
      <c r="W28" s="208">
        <v>37.0</v>
      </c>
      <c r="X28" s="208">
        <v>57.0</v>
      </c>
      <c r="Y28" s="56">
        <f t="shared" si="23"/>
        <v>94</v>
      </c>
      <c r="Z28" s="56" t="str">
        <f t="shared" si="12"/>
        <v>A*</v>
      </c>
      <c r="AA28" s="208">
        <v>40.0</v>
      </c>
      <c r="AB28" s="208">
        <v>51.0</v>
      </c>
      <c r="AC28" s="60">
        <f t="shared" si="22"/>
        <v>91</v>
      </c>
      <c r="AD28" s="56" t="str">
        <f t="shared" si="13"/>
        <v>A*</v>
      </c>
      <c r="AE28" s="208">
        <v>31.0</v>
      </c>
      <c r="AF28" s="208">
        <v>42.0</v>
      </c>
      <c r="AG28" s="60">
        <f t="shared" si="14"/>
        <v>73</v>
      </c>
      <c r="AH28" s="56" t="str">
        <f t="shared" si="15"/>
        <v>B</v>
      </c>
      <c r="AI28" s="208">
        <v>25.0</v>
      </c>
      <c r="AJ28" s="208">
        <v>35.0</v>
      </c>
      <c r="AK28" s="60">
        <f t="shared" si="16"/>
        <v>60</v>
      </c>
      <c r="AL28" s="56" t="str">
        <f t="shared" si="17"/>
        <v>C</v>
      </c>
      <c r="AM28" s="208">
        <v>28.8</v>
      </c>
      <c r="AN28" s="208">
        <v>50.0</v>
      </c>
      <c r="AO28" s="60">
        <f t="shared" si="18"/>
        <v>78.8</v>
      </c>
      <c r="AP28" s="56" t="str">
        <f t="shared" si="19"/>
        <v>B</v>
      </c>
      <c r="AQ28" s="209"/>
      <c r="AR28" s="57">
        <f t="shared" si="20"/>
        <v>75.48</v>
      </c>
      <c r="AS28" s="72">
        <f t="shared" ref="AS28:AS30" si="24">RANK(AR28,$AR$6:$AR$30)</f>
        <v>3</v>
      </c>
      <c r="AT28" s="134" t="s">
        <v>85</v>
      </c>
      <c r="AU28" s="134" t="s">
        <v>85</v>
      </c>
      <c r="AV28" s="134" t="s">
        <v>87</v>
      </c>
      <c r="AW28" s="134" t="s">
        <v>85</v>
      </c>
      <c r="AX28" s="134" t="s">
        <v>85</v>
      </c>
      <c r="AY28" s="199" t="s">
        <v>388</v>
      </c>
    </row>
    <row r="29" ht="15.75" customHeight="1">
      <c r="A29" s="42">
        <v>24.0</v>
      </c>
      <c r="B29" s="129" t="s">
        <v>389</v>
      </c>
      <c r="C29" s="66">
        <v>20.0</v>
      </c>
      <c r="D29" s="66">
        <v>26.0</v>
      </c>
      <c r="E29" s="56">
        <f t="shared" si="1"/>
        <v>46</v>
      </c>
      <c r="F29" s="77" t="str">
        <f t="shared" si="2"/>
        <v>E</v>
      </c>
      <c r="G29" s="73">
        <v>28.0</v>
      </c>
      <c r="H29" s="73">
        <v>23.0</v>
      </c>
      <c r="I29" s="56">
        <f t="shared" si="3"/>
        <v>51</v>
      </c>
      <c r="J29" s="56" t="str">
        <f t="shared" si="4"/>
        <v>D</v>
      </c>
      <c r="K29" s="203">
        <v>28.0</v>
      </c>
      <c r="L29" s="204">
        <v>33.0</v>
      </c>
      <c r="M29" s="196">
        <f t="shared" si="5"/>
        <v>61</v>
      </c>
      <c r="N29" s="56" t="str">
        <f t="shared" si="6"/>
        <v>C</v>
      </c>
      <c r="O29" s="73">
        <v>27.0</v>
      </c>
      <c r="P29" s="73">
        <v>38.0</v>
      </c>
      <c r="Q29" s="56">
        <f t="shared" si="7"/>
        <v>65</v>
      </c>
      <c r="R29" s="56" t="str">
        <f t="shared" si="8"/>
        <v>C</v>
      </c>
      <c r="S29" s="73">
        <v>25.0</v>
      </c>
      <c r="T29" s="197">
        <v>35.0</v>
      </c>
      <c r="U29" s="56">
        <f t="shared" si="9"/>
        <v>60</v>
      </c>
      <c r="V29" s="56" t="str">
        <f t="shared" si="10"/>
        <v>C</v>
      </c>
      <c r="W29" s="208">
        <v>31.0</v>
      </c>
      <c r="X29" s="208">
        <v>47.0</v>
      </c>
      <c r="Y29" s="56">
        <f t="shared" si="23"/>
        <v>78</v>
      </c>
      <c r="Z29" s="56" t="str">
        <f t="shared" si="12"/>
        <v>B</v>
      </c>
      <c r="AA29" s="208">
        <v>21.0</v>
      </c>
      <c r="AB29" s="208">
        <v>30.0</v>
      </c>
      <c r="AC29" s="60">
        <f t="shared" si="22"/>
        <v>51</v>
      </c>
      <c r="AD29" s="56" t="str">
        <f t="shared" si="13"/>
        <v>D</v>
      </c>
      <c r="AE29" s="208">
        <v>30.0</v>
      </c>
      <c r="AF29" s="208">
        <v>49.0</v>
      </c>
      <c r="AG29" s="60">
        <f t="shared" si="14"/>
        <v>79</v>
      </c>
      <c r="AH29" s="56" t="str">
        <f t="shared" si="15"/>
        <v>B</v>
      </c>
      <c r="AI29" s="208">
        <v>25.0</v>
      </c>
      <c r="AJ29" s="208">
        <v>36.0</v>
      </c>
      <c r="AK29" s="60">
        <f t="shared" si="16"/>
        <v>61</v>
      </c>
      <c r="AL29" s="56" t="str">
        <f t="shared" si="17"/>
        <v>C</v>
      </c>
      <c r="AM29" s="208">
        <v>20.0</v>
      </c>
      <c r="AN29" s="208">
        <v>46.0</v>
      </c>
      <c r="AO29" s="60">
        <f t="shared" si="18"/>
        <v>66</v>
      </c>
      <c r="AP29" s="56" t="str">
        <f t="shared" si="19"/>
        <v>C</v>
      </c>
      <c r="AQ29" s="209"/>
      <c r="AR29" s="57">
        <f t="shared" si="20"/>
        <v>61.8</v>
      </c>
      <c r="AS29" s="72">
        <f t="shared" si="24"/>
        <v>12</v>
      </c>
      <c r="AT29" s="134" t="s">
        <v>87</v>
      </c>
      <c r="AU29" s="134" t="s">
        <v>85</v>
      </c>
      <c r="AV29" s="134" t="s">
        <v>85</v>
      </c>
      <c r="AW29" s="134" t="s">
        <v>87</v>
      </c>
      <c r="AX29" s="134" t="s">
        <v>85</v>
      </c>
      <c r="AY29" s="80" t="s">
        <v>390</v>
      </c>
    </row>
    <row r="30" ht="15.75" customHeight="1">
      <c r="A30" s="42">
        <v>25.0</v>
      </c>
      <c r="B30" s="129" t="s">
        <v>391</v>
      </c>
      <c r="C30" s="66">
        <v>18.0</v>
      </c>
      <c r="D30" s="66">
        <v>28.0</v>
      </c>
      <c r="E30" s="56">
        <f t="shared" si="1"/>
        <v>46</v>
      </c>
      <c r="F30" s="77" t="str">
        <f t="shared" si="2"/>
        <v>E</v>
      </c>
      <c r="G30" s="73">
        <v>25.0</v>
      </c>
      <c r="H30" s="73">
        <v>32.0</v>
      </c>
      <c r="I30" s="56">
        <f t="shared" si="3"/>
        <v>57</v>
      </c>
      <c r="J30" s="56" t="str">
        <f t="shared" si="4"/>
        <v>D</v>
      </c>
      <c r="K30" s="203">
        <v>29.0</v>
      </c>
      <c r="L30" s="204">
        <v>34.0</v>
      </c>
      <c r="M30" s="196">
        <f t="shared" si="5"/>
        <v>63</v>
      </c>
      <c r="N30" s="56" t="str">
        <f t="shared" si="6"/>
        <v>C</v>
      </c>
      <c r="O30" s="73">
        <v>22.0</v>
      </c>
      <c r="P30" s="73">
        <v>41.0</v>
      </c>
      <c r="Q30" s="56">
        <f t="shared" si="7"/>
        <v>63</v>
      </c>
      <c r="R30" s="56" t="str">
        <f t="shared" si="8"/>
        <v>C</v>
      </c>
      <c r="S30" s="73">
        <v>17.0</v>
      </c>
      <c r="T30" s="197">
        <v>37.0</v>
      </c>
      <c r="U30" s="56">
        <f t="shared" si="9"/>
        <v>54</v>
      </c>
      <c r="V30" s="56" t="str">
        <f t="shared" si="10"/>
        <v>D</v>
      </c>
      <c r="W30" s="208">
        <v>30.0</v>
      </c>
      <c r="X30" s="208">
        <v>50.0</v>
      </c>
      <c r="Y30" s="56">
        <f t="shared" si="23"/>
        <v>80</v>
      </c>
      <c r="Z30" s="56" t="str">
        <f t="shared" si="12"/>
        <v>A</v>
      </c>
      <c r="AA30" s="208">
        <v>29.0</v>
      </c>
      <c r="AB30" s="208">
        <v>40.0</v>
      </c>
      <c r="AC30" s="60">
        <f t="shared" si="22"/>
        <v>69</v>
      </c>
      <c r="AD30" s="56" t="str">
        <f t="shared" si="13"/>
        <v>C</v>
      </c>
      <c r="AE30" s="208">
        <v>29.0</v>
      </c>
      <c r="AF30" s="208">
        <v>48.0</v>
      </c>
      <c r="AG30" s="60">
        <f t="shared" si="14"/>
        <v>77</v>
      </c>
      <c r="AH30" s="56" t="str">
        <f t="shared" si="15"/>
        <v>B</v>
      </c>
      <c r="AI30" s="208">
        <v>26.0</v>
      </c>
      <c r="AJ30" s="208">
        <v>40.0</v>
      </c>
      <c r="AK30" s="60">
        <f t="shared" si="16"/>
        <v>66</v>
      </c>
      <c r="AL30" s="56" t="str">
        <f t="shared" si="17"/>
        <v>C</v>
      </c>
      <c r="AM30" s="208">
        <v>17.0</v>
      </c>
      <c r="AN30" s="208">
        <v>38.0</v>
      </c>
      <c r="AO30" s="60">
        <f t="shared" si="18"/>
        <v>55</v>
      </c>
      <c r="AP30" s="56" t="str">
        <f t="shared" si="19"/>
        <v>D</v>
      </c>
      <c r="AQ30" s="209"/>
      <c r="AR30" s="57">
        <f t="shared" si="20"/>
        <v>63</v>
      </c>
      <c r="AS30" s="72">
        <f t="shared" si="24"/>
        <v>10</v>
      </c>
      <c r="AT30" s="134" t="s">
        <v>85</v>
      </c>
      <c r="AU30" s="134" t="s">
        <v>85</v>
      </c>
      <c r="AV30" s="134" t="s">
        <v>85</v>
      </c>
      <c r="AW30" s="134" t="s">
        <v>85</v>
      </c>
      <c r="AX30" s="134" t="s">
        <v>85</v>
      </c>
      <c r="AY30" s="80" t="s">
        <v>392</v>
      </c>
    </row>
    <row r="31" ht="15.75" customHeight="1">
      <c r="C31" s="38"/>
      <c r="D31" s="38"/>
      <c r="E31" s="38"/>
      <c r="F31" s="38"/>
      <c r="G31" s="39"/>
      <c r="H31" s="39"/>
      <c r="I31" s="39"/>
      <c r="J31" s="39"/>
      <c r="K31" s="210"/>
      <c r="L31" s="211"/>
      <c r="M31" s="39"/>
      <c r="N31" s="39"/>
      <c r="O31" s="39"/>
      <c r="P31" s="39"/>
      <c r="Q31" s="39"/>
      <c r="R31" s="39"/>
      <c r="S31" s="39"/>
      <c r="T31" s="39"/>
      <c r="AR31" s="61"/>
      <c r="AY31" s="146"/>
    </row>
    <row r="32" ht="15.75" customHeight="1">
      <c r="C32" s="38"/>
      <c r="D32" s="38"/>
      <c r="E32" s="38"/>
      <c r="F32" s="38"/>
      <c r="G32" s="39"/>
      <c r="H32" s="39"/>
      <c r="I32" s="39"/>
      <c r="J32" s="39"/>
      <c r="K32" s="210"/>
      <c r="L32" s="211"/>
      <c r="M32" s="39"/>
      <c r="N32" s="39"/>
      <c r="O32" s="39"/>
      <c r="P32" s="39"/>
      <c r="Q32" s="39"/>
      <c r="R32" s="39"/>
      <c r="S32" s="39"/>
      <c r="T32" s="39"/>
      <c r="AR32" s="61"/>
      <c r="AY32" s="146"/>
    </row>
    <row r="33" ht="15.75" customHeight="1">
      <c r="C33" s="38"/>
      <c r="D33" s="38"/>
      <c r="E33" s="38"/>
      <c r="F33" s="38"/>
      <c r="G33" s="39"/>
      <c r="H33" s="39"/>
      <c r="I33" s="39"/>
      <c r="J33" s="39"/>
      <c r="K33" s="210"/>
      <c r="L33" s="211"/>
      <c r="M33" s="39"/>
      <c r="N33" s="39"/>
      <c r="O33" s="39"/>
      <c r="P33" s="39"/>
      <c r="Q33" s="39"/>
      <c r="R33" s="39"/>
      <c r="S33" s="39"/>
      <c r="T33" s="39"/>
      <c r="AR33" s="61"/>
      <c r="AY33" s="146"/>
    </row>
    <row r="34" ht="15.75" customHeight="1">
      <c r="C34" s="38"/>
      <c r="D34" s="38"/>
      <c r="E34" s="38"/>
      <c r="F34" s="38"/>
      <c r="G34" s="39"/>
      <c r="H34" s="39"/>
      <c r="I34" s="39"/>
      <c r="J34" s="39"/>
      <c r="K34" s="210"/>
      <c r="L34" s="211"/>
      <c r="M34" s="39"/>
      <c r="N34" s="39"/>
      <c r="O34" s="39"/>
      <c r="P34" s="39"/>
      <c r="Q34" s="39"/>
      <c r="R34" s="39"/>
      <c r="S34" s="39"/>
      <c r="T34" s="39"/>
      <c r="AR34" s="61"/>
      <c r="AY34" s="146"/>
    </row>
    <row r="35" ht="15.75" customHeight="1">
      <c r="C35" s="212"/>
      <c r="D35" s="38"/>
      <c r="E35" s="38"/>
      <c r="F35" s="212"/>
      <c r="G35" s="39"/>
      <c r="H35" s="39"/>
      <c r="I35" s="39"/>
      <c r="J35" s="39"/>
      <c r="K35" s="210"/>
      <c r="L35" s="211"/>
      <c r="M35" s="39"/>
      <c r="N35" s="39"/>
      <c r="O35" s="39"/>
      <c r="P35" s="39"/>
      <c r="Q35" s="39"/>
      <c r="R35" s="39"/>
      <c r="S35" s="39"/>
      <c r="T35" s="39"/>
      <c r="AR35" s="61"/>
      <c r="AY35" s="146"/>
    </row>
    <row r="36" ht="15.75" customHeight="1">
      <c r="B36" s="101" t="s">
        <v>33</v>
      </c>
      <c r="C36" s="102"/>
      <c r="D36" s="103"/>
      <c r="E36" s="33">
        <f>AVERAGE(E6:E30)</f>
        <v>54.48</v>
      </c>
      <c r="F36" s="104"/>
      <c r="G36" s="33"/>
      <c r="H36" s="105"/>
      <c r="I36" s="33">
        <f>AVERAGE(I6:I30)</f>
        <v>54</v>
      </c>
      <c r="J36" s="105"/>
      <c r="K36" s="213"/>
      <c r="L36" s="214"/>
      <c r="M36" s="33">
        <f>AVERAGE(M6:M30)</f>
        <v>57.34</v>
      </c>
      <c r="N36" s="105"/>
      <c r="O36" s="33"/>
      <c r="P36" s="105"/>
      <c r="Q36" s="33">
        <f>AVERAGE(Q6:Q30)</f>
        <v>62.36</v>
      </c>
      <c r="R36" s="105"/>
      <c r="S36" s="33"/>
      <c r="T36" s="105"/>
      <c r="U36" s="33">
        <f>AVERAGE(U6:U30)</f>
        <v>55.76</v>
      </c>
      <c r="V36" s="101"/>
      <c r="W36" s="33"/>
      <c r="X36" s="101"/>
      <c r="Y36" s="33">
        <f>AVERAGE(Y6:Y30)</f>
        <v>66.56</v>
      </c>
      <c r="Z36" s="101"/>
      <c r="AA36" s="101"/>
      <c r="AB36" s="101"/>
      <c r="AC36" s="33">
        <f>AVERAGE(AC6:AC30)</f>
        <v>58.2</v>
      </c>
      <c r="AD36" s="101"/>
      <c r="AE36" s="101"/>
      <c r="AF36" s="101"/>
      <c r="AG36" s="33">
        <f>AVERAGE(AG6:AG30)</f>
        <v>75.6</v>
      </c>
      <c r="AH36" s="101"/>
      <c r="AI36" s="101"/>
      <c r="AJ36" s="101"/>
      <c r="AK36" s="33">
        <f>AVERAGE(AK6:AK30)</f>
        <v>57.6</v>
      </c>
      <c r="AL36" s="101"/>
      <c r="AM36" s="101"/>
      <c r="AN36" s="101"/>
      <c r="AO36" s="33">
        <f>AVERAGE(AO6:AO30)</f>
        <v>68.624</v>
      </c>
      <c r="AP36" s="101"/>
      <c r="AQ36" s="101"/>
      <c r="AR36" s="106"/>
      <c r="AS36" s="101"/>
      <c r="AT36" s="101"/>
      <c r="AU36" s="101"/>
      <c r="AY36" s="146"/>
    </row>
    <row r="37" ht="15.75" customHeight="1">
      <c r="B37" s="101" t="s">
        <v>34</v>
      </c>
      <c r="C37" s="104"/>
      <c r="D37" s="103"/>
      <c r="E37" s="105">
        <f>COUNT(E6:E30)</f>
        <v>25</v>
      </c>
      <c r="F37" s="104"/>
      <c r="G37" s="105"/>
      <c r="H37" s="105"/>
      <c r="I37" s="105">
        <f>COUNT(I6:I30)</f>
        <v>25</v>
      </c>
      <c r="J37" s="105"/>
      <c r="K37" s="213"/>
      <c r="L37" s="214"/>
      <c r="M37" s="105">
        <f>COUNT(M6:M30)</f>
        <v>25</v>
      </c>
      <c r="N37" s="105"/>
      <c r="O37" s="105"/>
      <c r="P37" s="105"/>
      <c r="Q37" s="105">
        <f>COUNT(Q6:Q30)</f>
        <v>25</v>
      </c>
      <c r="R37" s="105"/>
      <c r="S37" s="105"/>
      <c r="T37" s="105"/>
      <c r="U37" s="105">
        <f>COUNT(U6:U30)</f>
        <v>25</v>
      </c>
      <c r="V37" s="101"/>
      <c r="W37" s="105"/>
      <c r="X37" s="101"/>
      <c r="Y37" s="105">
        <f>COUNT(Y6:Y30)</f>
        <v>25</v>
      </c>
      <c r="Z37" s="101"/>
      <c r="AA37" s="101"/>
      <c r="AB37" s="101"/>
      <c r="AC37" s="105">
        <f>COUNT(AC6:AC30)</f>
        <v>25</v>
      </c>
      <c r="AD37" s="101"/>
      <c r="AE37" s="101"/>
      <c r="AF37" s="101"/>
      <c r="AG37" s="105">
        <f>COUNT(AG6:AG30)</f>
        <v>25</v>
      </c>
      <c r="AH37" s="101"/>
      <c r="AI37" s="101"/>
      <c r="AJ37" s="101"/>
      <c r="AK37" s="105">
        <f>COUNT(AK6:AK30)</f>
        <v>25</v>
      </c>
      <c r="AL37" s="101"/>
      <c r="AM37" s="101"/>
      <c r="AN37" s="101"/>
      <c r="AO37" s="105">
        <f>COUNT(AO6:AO30)</f>
        <v>25</v>
      </c>
      <c r="AP37" s="101"/>
      <c r="AQ37" s="101"/>
      <c r="AR37" s="106"/>
      <c r="AS37" s="101"/>
      <c r="AT37" s="101"/>
      <c r="AU37" s="101"/>
      <c r="AY37" s="146"/>
    </row>
    <row r="38" ht="15.75" customHeight="1">
      <c r="B38" s="101" t="s">
        <v>35</v>
      </c>
      <c r="C38" s="104"/>
      <c r="D38" s="103"/>
      <c r="E38" s="105">
        <f>COUNTIF(E6:E30,"&gt;49")</f>
        <v>12</v>
      </c>
      <c r="F38" s="104"/>
      <c r="G38" s="105"/>
      <c r="H38" s="105"/>
      <c r="I38" s="105">
        <f>COUNTIF(I6:I30,"&gt;49")</f>
        <v>15</v>
      </c>
      <c r="J38" s="105"/>
      <c r="K38" s="213"/>
      <c r="L38" s="214"/>
      <c r="M38" s="105">
        <f>COUNTIF(M6:M30,"&gt;49")</f>
        <v>16</v>
      </c>
      <c r="N38" s="105"/>
      <c r="O38" s="105"/>
      <c r="P38" s="105"/>
      <c r="Q38" s="105">
        <f>COUNTIF(Q6:Q30,"&gt;49")</f>
        <v>22</v>
      </c>
      <c r="R38" s="105"/>
      <c r="S38" s="105"/>
      <c r="T38" s="105"/>
      <c r="U38" s="105">
        <f>COUNTIF(U6:U30,"&gt;49")</f>
        <v>16</v>
      </c>
      <c r="V38" s="101"/>
      <c r="W38" s="105"/>
      <c r="X38" s="101"/>
      <c r="Y38" s="105">
        <f>COUNTIF(Y6:Y30,"&gt;49")</f>
        <v>21</v>
      </c>
      <c r="Z38" s="101"/>
      <c r="AA38" s="101"/>
      <c r="AB38" s="101"/>
      <c r="AC38" s="105">
        <f>COUNTIF(AC6:AC30,"&gt;49")</f>
        <v>17</v>
      </c>
      <c r="AD38" s="101"/>
      <c r="AE38" s="101"/>
      <c r="AF38" s="101"/>
      <c r="AG38" s="105">
        <f>COUNTIF(AG6:AG30,"&gt;49")</f>
        <v>25</v>
      </c>
      <c r="AH38" s="101"/>
      <c r="AI38" s="101"/>
      <c r="AJ38" s="101"/>
      <c r="AK38" s="105">
        <f>COUNTIF(AK6:AK30,"&gt;49")</f>
        <v>22</v>
      </c>
      <c r="AL38" s="101"/>
      <c r="AM38" s="101"/>
      <c r="AN38" s="101"/>
      <c r="AO38" s="105">
        <f>COUNTIF(AO6:AO30,"&gt;49")</f>
        <v>25</v>
      </c>
      <c r="AP38" s="101"/>
      <c r="AQ38" s="101"/>
      <c r="AR38" s="106"/>
      <c r="AS38" s="101"/>
      <c r="AT38" s="101"/>
      <c r="AU38" s="101"/>
      <c r="AY38" s="146"/>
    </row>
    <row r="39" ht="15.75" customHeight="1">
      <c r="B39" s="101" t="s">
        <v>36</v>
      </c>
      <c r="C39" s="104"/>
      <c r="D39" s="103"/>
      <c r="E39" s="105">
        <f>COUNTIF(E6:E30,"&lt;50")</f>
        <v>13</v>
      </c>
      <c r="F39" s="104"/>
      <c r="G39" s="105"/>
      <c r="H39" s="105"/>
      <c r="I39" s="105">
        <f>COUNTIF(I6:I30,"&lt;50")</f>
        <v>10</v>
      </c>
      <c r="J39" s="105"/>
      <c r="K39" s="213"/>
      <c r="L39" s="214"/>
      <c r="M39" s="105">
        <f>COUNTIF(M6:M30,"&lt;50")</f>
        <v>9</v>
      </c>
      <c r="N39" s="105"/>
      <c r="O39" s="105"/>
      <c r="P39" s="105"/>
      <c r="Q39" s="105">
        <f>COUNTIF(Q6:Q30,"&lt;50")</f>
        <v>3</v>
      </c>
      <c r="R39" s="105"/>
      <c r="S39" s="105"/>
      <c r="T39" s="105"/>
      <c r="U39" s="105">
        <f>COUNTIF(U6:U30,"&lt;50")</f>
        <v>9</v>
      </c>
      <c r="V39" s="101"/>
      <c r="W39" s="105"/>
      <c r="X39" s="101"/>
      <c r="Y39" s="105">
        <f>COUNTIF(Y6:Y30,"&lt;50")</f>
        <v>4</v>
      </c>
      <c r="Z39" s="101"/>
      <c r="AA39" s="101"/>
      <c r="AB39" s="101"/>
      <c r="AC39" s="105">
        <f>COUNTIF(AC6:AC30,"&lt;50")</f>
        <v>8</v>
      </c>
      <c r="AD39" s="101"/>
      <c r="AE39" s="101"/>
      <c r="AF39" s="101"/>
      <c r="AG39" s="105">
        <f>COUNTIF(AG6:AG30,"&lt;50")</f>
        <v>0</v>
      </c>
      <c r="AH39" s="101"/>
      <c r="AI39" s="101"/>
      <c r="AJ39" s="101"/>
      <c r="AK39" s="105">
        <f>COUNTIF(AK6:AK30,"&lt;50")</f>
        <v>3</v>
      </c>
      <c r="AL39" s="101"/>
      <c r="AM39" s="101"/>
      <c r="AN39" s="101"/>
      <c r="AO39" s="105">
        <f>COUNTIF(AO6:AO30,"&lt;50")</f>
        <v>0</v>
      </c>
      <c r="AP39" s="101"/>
      <c r="AQ39" s="101"/>
      <c r="AR39" s="106"/>
      <c r="AS39" s="101"/>
      <c r="AT39" s="101"/>
      <c r="AU39" s="101"/>
      <c r="AY39" s="146"/>
    </row>
    <row r="40" ht="15.75" customHeight="1">
      <c r="B40" s="31" t="s">
        <v>37</v>
      </c>
      <c r="C40" s="107"/>
      <c r="D40" s="108"/>
      <c r="E40" s="32">
        <f>E38*100/E37</f>
        <v>48</v>
      </c>
      <c r="F40" s="109"/>
      <c r="G40" s="32"/>
      <c r="H40" s="110"/>
      <c r="I40" s="32">
        <f>I38*100/I37</f>
        <v>60</v>
      </c>
      <c r="J40" s="110"/>
      <c r="K40" s="215"/>
      <c r="L40" s="216"/>
      <c r="M40" s="32">
        <f>M38*100/M37</f>
        <v>64</v>
      </c>
      <c r="N40" s="110"/>
      <c r="O40" s="32"/>
      <c r="P40" s="110"/>
      <c r="Q40" s="32">
        <f>Q38*100/Q37</f>
        <v>88</v>
      </c>
      <c r="R40" s="110"/>
      <c r="S40" s="32"/>
      <c r="T40" s="110"/>
      <c r="U40" s="32">
        <f>U38*100/U37</f>
        <v>64</v>
      </c>
      <c r="V40" s="31"/>
      <c r="W40" s="32"/>
      <c r="X40" s="31"/>
      <c r="Y40" s="32">
        <f>Y38*100/Y37</f>
        <v>84</v>
      </c>
      <c r="Z40" s="31"/>
      <c r="AA40" s="31"/>
      <c r="AB40" s="31"/>
      <c r="AC40" s="32">
        <f>AC38*100/AC37</f>
        <v>68</v>
      </c>
      <c r="AD40" s="31"/>
      <c r="AE40" s="31"/>
      <c r="AF40" s="31"/>
      <c r="AG40" s="32">
        <f>AG38*100/AG37</f>
        <v>100</v>
      </c>
      <c r="AH40" s="31"/>
      <c r="AI40" s="31"/>
      <c r="AJ40" s="31"/>
      <c r="AK40" s="32">
        <f>AK38*100/AK37</f>
        <v>88</v>
      </c>
      <c r="AL40" s="31"/>
      <c r="AM40" s="31"/>
      <c r="AN40" s="31"/>
      <c r="AO40" s="32">
        <f>AO38*100/AO37</f>
        <v>100</v>
      </c>
      <c r="AP40" s="31"/>
      <c r="AQ40" s="31"/>
      <c r="AR40" s="111"/>
      <c r="AS40" s="31"/>
      <c r="AT40" s="31"/>
      <c r="AU40" s="31"/>
      <c r="AY40" s="146"/>
    </row>
    <row r="41" ht="15.75" customHeight="1">
      <c r="C41" s="98"/>
      <c r="D41" s="38"/>
      <c r="E41" s="38"/>
      <c r="F41" s="98"/>
      <c r="G41" s="39"/>
      <c r="H41" s="39"/>
      <c r="I41" s="39"/>
      <c r="J41" s="39"/>
      <c r="K41" s="187"/>
      <c r="L41" s="188"/>
      <c r="M41" s="39"/>
      <c r="N41" s="39"/>
      <c r="O41" s="39"/>
      <c r="P41" s="39"/>
      <c r="Q41" s="39"/>
      <c r="R41" s="39"/>
      <c r="S41" s="39"/>
      <c r="T41" s="39"/>
      <c r="AR41" s="61"/>
      <c r="AY41" s="146"/>
    </row>
    <row r="42" ht="15.75" customHeight="1">
      <c r="C42" s="98"/>
      <c r="D42" s="38"/>
      <c r="E42" s="38"/>
      <c r="F42" s="98"/>
      <c r="G42" s="39"/>
      <c r="H42" s="39"/>
      <c r="I42" s="39"/>
      <c r="J42" s="39"/>
      <c r="K42" s="187"/>
      <c r="L42" s="188"/>
      <c r="M42" s="39"/>
      <c r="N42" s="39"/>
      <c r="O42" s="39"/>
      <c r="P42" s="39"/>
      <c r="Q42" s="39"/>
      <c r="R42" s="39"/>
      <c r="S42" s="39"/>
      <c r="T42" s="39"/>
      <c r="AR42" s="61"/>
      <c r="AY42" s="146"/>
    </row>
    <row r="43" ht="15.75" customHeight="1">
      <c r="C43" s="98"/>
      <c r="D43" s="38"/>
      <c r="E43" s="38"/>
      <c r="F43" s="98"/>
      <c r="G43" s="39"/>
      <c r="H43" s="39"/>
      <c r="I43" s="39"/>
      <c r="J43" s="39"/>
      <c r="K43" s="187"/>
      <c r="L43" s="188"/>
      <c r="M43" s="39"/>
      <c r="N43" s="39"/>
      <c r="O43" s="39"/>
      <c r="P43" s="39"/>
      <c r="Q43" s="39"/>
      <c r="R43" s="39"/>
      <c r="S43" s="39"/>
      <c r="T43" s="39"/>
      <c r="AR43" s="61"/>
      <c r="AY43" s="146"/>
    </row>
    <row r="44" ht="15.75" customHeight="1">
      <c r="A44" s="26" t="s">
        <v>139</v>
      </c>
      <c r="B44" s="26">
        <v>0.0</v>
      </c>
      <c r="C44" s="113" t="s">
        <v>140</v>
      </c>
      <c r="D44" s="38"/>
      <c r="E44" s="38"/>
      <c r="F44" s="98"/>
      <c r="G44" s="39"/>
      <c r="H44" s="39"/>
      <c r="I44" s="39"/>
      <c r="J44" s="39"/>
      <c r="K44" s="187"/>
      <c r="L44" s="188"/>
      <c r="M44" s="39"/>
      <c r="N44" s="39"/>
      <c r="O44" s="39"/>
      <c r="P44" s="39"/>
      <c r="Q44" s="39"/>
      <c r="R44" s="39"/>
      <c r="S44" s="39"/>
      <c r="T44" s="39"/>
      <c r="AR44" s="61"/>
      <c r="AY44" s="146"/>
    </row>
    <row r="45" ht="15.75" customHeight="1">
      <c r="A45" s="26" t="s">
        <v>141</v>
      </c>
      <c r="B45" s="26">
        <v>20.0</v>
      </c>
      <c r="C45" s="113" t="s">
        <v>142</v>
      </c>
      <c r="D45" s="38"/>
      <c r="E45" s="38"/>
      <c r="F45" s="98"/>
      <c r="G45" s="39"/>
      <c r="H45" s="39"/>
      <c r="I45" s="39"/>
      <c r="J45" s="39"/>
      <c r="K45" s="187"/>
      <c r="L45" s="188"/>
      <c r="M45" s="39"/>
      <c r="N45" s="39"/>
      <c r="O45" s="39"/>
      <c r="P45" s="39"/>
      <c r="Q45" s="39"/>
      <c r="R45" s="39"/>
      <c r="S45" s="39"/>
      <c r="T45" s="39"/>
      <c r="AR45" s="61"/>
      <c r="AY45" s="146"/>
    </row>
    <row r="46" ht="15.75" customHeight="1">
      <c r="A46" s="114" t="s">
        <v>143</v>
      </c>
      <c r="B46" s="115">
        <v>30.0</v>
      </c>
      <c r="C46" s="114" t="s">
        <v>144</v>
      </c>
      <c r="D46" s="38"/>
      <c r="E46" s="38"/>
      <c r="F46" s="98"/>
      <c r="G46" s="39"/>
      <c r="H46" s="39"/>
      <c r="I46" s="39"/>
      <c r="J46" s="39"/>
      <c r="K46" s="187"/>
      <c r="L46" s="188"/>
      <c r="M46" s="39"/>
      <c r="N46" s="39"/>
      <c r="O46" s="39"/>
      <c r="P46" s="39"/>
      <c r="Q46" s="39"/>
      <c r="R46" s="39"/>
      <c r="S46" s="39"/>
      <c r="T46" s="39"/>
      <c r="AR46" s="61"/>
      <c r="AY46" s="146"/>
    </row>
    <row r="47" ht="15.75" customHeight="1">
      <c r="A47" s="114" t="s">
        <v>145</v>
      </c>
      <c r="B47" s="115">
        <v>40.0</v>
      </c>
      <c r="C47" s="114" t="s">
        <v>146</v>
      </c>
      <c r="D47" s="38"/>
      <c r="E47" s="38"/>
      <c r="F47" s="98"/>
      <c r="G47" s="39"/>
      <c r="H47" s="39"/>
      <c r="I47" s="39"/>
      <c r="J47" s="39"/>
      <c r="K47" s="187"/>
      <c r="L47" s="188"/>
      <c r="M47" s="39"/>
      <c r="N47" s="39"/>
      <c r="O47" s="39"/>
      <c r="P47" s="39"/>
      <c r="Q47" s="39"/>
      <c r="R47" s="39"/>
      <c r="S47" s="39"/>
      <c r="T47" s="39"/>
      <c r="AR47" s="61"/>
      <c r="AY47" s="146"/>
    </row>
    <row r="48" ht="15.75" customHeight="1">
      <c r="A48" s="114" t="s">
        <v>147</v>
      </c>
      <c r="B48" s="115">
        <v>50.0</v>
      </c>
      <c r="C48" s="114" t="s">
        <v>93</v>
      </c>
      <c r="D48" s="38"/>
      <c r="E48" s="38"/>
      <c r="F48" s="98"/>
      <c r="G48" s="39"/>
      <c r="H48" s="39"/>
      <c r="I48" s="39"/>
      <c r="J48" s="39"/>
      <c r="K48" s="187"/>
      <c r="L48" s="188"/>
      <c r="M48" s="39"/>
      <c r="N48" s="39"/>
      <c r="O48" s="39"/>
      <c r="P48" s="39"/>
      <c r="Q48" s="39"/>
      <c r="R48" s="39"/>
      <c r="S48" s="39"/>
      <c r="T48" s="39"/>
      <c r="AR48" s="61"/>
      <c r="AY48" s="146"/>
    </row>
    <row r="49" ht="15.75" customHeight="1">
      <c r="A49" s="114" t="s">
        <v>148</v>
      </c>
      <c r="B49" s="115">
        <v>60.0</v>
      </c>
      <c r="C49" s="114" t="s">
        <v>90</v>
      </c>
      <c r="D49" s="38"/>
      <c r="E49" s="38"/>
      <c r="F49" s="98"/>
      <c r="G49" s="39"/>
      <c r="H49" s="39"/>
      <c r="I49" s="39"/>
      <c r="J49" s="39"/>
      <c r="K49" s="187"/>
      <c r="L49" s="188"/>
      <c r="M49" s="39"/>
      <c r="N49" s="39"/>
      <c r="O49" s="39"/>
      <c r="P49" s="39"/>
      <c r="Q49" s="39"/>
      <c r="R49" s="39"/>
      <c r="S49" s="39"/>
      <c r="T49" s="39"/>
      <c r="AR49" s="61"/>
      <c r="AY49" s="146"/>
    </row>
    <row r="50" ht="15.75" customHeight="1">
      <c r="A50" s="114" t="s">
        <v>149</v>
      </c>
      <c r="B50" s="115">
        <v>70.0</v>
      </c>
      <c r="C50" s="114" t="s">
        <v>87</v>
      </c>
      <c r="D50" s="38"/>
      <c r="E50" s="38"/>
      <c r="F50" s="98"/>
      <c r="G50" s="39"/>
      <c r="H50" s="39"/>
      <c r="I50" s="39"/>
      <c r="J50" s="39"/>
      <c r="K50" s="187"/>
      <c r="L50" s="188"/>
      <c r="M50" s="39"/>
      <c r="N50" s="39"/>
      <c r="O50" s="39"/>
      <c r="P50" s="39"/>
      <c r="Q50" s="39"/>
      <c r="R50" s="39"/>
      <c r="S50" s="39"/>
      <c r="T50" s="39"/>
      <c r="AR50" s="61"/>
      <c r="AY50" s="146"/>
    </row>
    <row r="51" ht="15.75" customHeight="1">
      <c r="A51" s="116" t="s">
        <v>150</v>
      </c>
      <c r="B51" s="117">
        <v>80.0</v>
      </c>
      <c r="C51" s="116" t="s">
        <v>85</v>
      </c>
      <c r="D51" s="38"/>
      <c r="E51" s="38"/>
      <c r="F51" s="98"/>
      <c r="G51" s="39"/>
      <c r="H51" s="39"/>
      <c r="I51" s="39"/>
      <c r="J51" s="39"/>
      <c r="K51" s="187"/>
      <c r="L51" s="188"/>
      <c r="M51" s="39"/>
      <c r="N51" s="39"/>
      <c r="O51" s="39"/>
      <c r="P51" s="39"/>
      <c r="Q51" s="39"/>
      <c r="R51" s="39"/>
      <c r="S51" s="39"/>
      <c r="T51" s="39"/>
      <c r="AR51" s="61"/>
      <c r="AY51" s="146"/>
    </row>
    <row r="52" ht="15.75" customHeight="1">
      <c r="A52" s="116" t="s">
        <v>151</v>
      </c>
      <c r="B52" s="117">
        <v>90.0</v>
      </c>
      <c r="C52" s="116" t="s">
        <v>152</v>
      </c>
      <c r="D52" s="38"/>
      <c r="E52" s="38"/>
      <c r="F52" s="98"/>
      <c r="G52" s="39"/>
      <c r="H52" s="39"/>
      <c r="I52" s="39"/>
      <c r="J52" s="39"/>
      <c r="K52" s="187"/>
      <c r="L52" s="188"/>
      <c r="M52" s="39"/>
      <c r="N52" s="39"/>
      <c r="O52" s="39"/>
      <c r="P52" s="39"/>
      <c r="Q52" s="39"/>
      <c r="R52" s="39"/>
      <c r="S52" s="39"/>
      <c r="T52" s="39"/>
      <c r="AR52" s="61"/>
      <c r="AY52" s="146"/>
    </row>
    <row r="53" ht="15.75" customHeight="1">
      <c r="C53" s="98"/>
      <c r="D53" s="38"/>
      <c r="E53" s="38"/>
      <c r="F53" s="98"/>
      <c r="G53" s="39"/>
      <c r="H53" s="39"/>
      <c r="I53" s="39"/>
      <c r="J53" s="39"/>
      <c r="K53" s="187"/>
      <c r="L53" s="188"/>
      <c r="M53" s="39"/>
      <c r="N53" s="39"/>
      <c r="O53" s="39"/>
      <c r="P53" s="39"/>
      <c r="Q53" s="39"/>
      <c r="R53" s="39"/>
      <c r="S53" s="39"/>
      <c r="T53" s="39"/>
      <c r="AR53" s="61"/>
      <c r="AY53" s="146"/>
    </row>
    <row r="54" ht="15.75" customHeight="1">
      <c r="C54" s="98"/>
      <c r="D54" s="38"/>
      <c r="E54" s="38"/>
      <c r="F54" s="98"/>
      <c r="G54" s="39"/>
      <c r="H54" s="39"/>
      <c r="I54" s="39"/>
      <c r="J54" s="39"/>
      <c r="K54" s="187"/>
      <c r="L54" s="188"/>
      <c r="M54" s="39"/>
      <c r="N54" s="39"/>
      <c r="O54" s="39"/>
      <c r="P54" s="39"/>
      <c r="Q54" s="39"/>
      <c r="R54" s="39"/>
      <c r="S54" s="39"/>
      <c r="T54" s="39"/>
      <c r="AR54" s="61"/>
      <c r="AY54" s="146"/>
    </row>
    <row r="55" ht="15.75" customHeight="1">
      <c r="C55" s="98"/>
      <c r="D55" s="38"/>
      <c r="E55" s="38"/>
      <c r="F55" s="98"/>
      <c r="G55" s="39"/>
      <c r="H55" s="39"/>
      <c r="I55" s="39"/>
      <c r="J55" s="39"/>
      <c r="K55" s="187"/>
      <c r="L55" s="188"/>
      <c r="M55" s="39"/>
      <c r="N55" s="39"/>
      <c r="O55" s="39"/>
      <c r="P55" s="39"/>
      <c r="Q55" s="39"/>
      <c r="R55" s="39"/>
      <c r="S55" s="39"/>
      <c r="T55" s="39"/>
      <c r="AR55" s="61"/>
      <c r="AY55" s="146"/>
    </row>
    <row r="56" ht="15.75" customHeight="1">
      <c r="C56" s="98"/>
      <c r="D56" s="38"/>
      <c r="E56" s="38"/>
      <c r="F56" s="98"/>
      <c r="G56" s="39"/>
      <c r="H56" s="39"/>
      <c r="I56" s="39"/>
      <c r="J56" s="39"/>
      <c r="K56" s="187"/>
      <c r="L56" s="188"/>
      <c r="M56" s="39"/>
      <c r="N56" s="39"/>
      <c r="O56" s="39"/>
      <c r="P56" s="39"/>
      <c r="Q56" s="39"/>
      <c r="R56" s="39"/>
      <c r="S56" s="39"/>
      <c r="T56" s="39"/>
      <c r="AR56" s="61"/>
      <c r="AY56" s="146"/>
    </row>
    <row r="57" ht="15.75" customHeight="1">
      <c r="C57" s="98"/>
      <c r="D57" s="38"/>
      <c r="E57" s="38"/>
      <c r="F57" s="98"/>
      <c r="G57" s="39"/>
      <c r="H57" s="87"/>
      <c r="I57" s="39"/>
      <c r="J57" s="39"/>
      <c r="K57" s="187"/>
      <c r="L57" s="188"/>
      <c r="M57" s="39"/>
      <c r="N57" s="39"/>
      <c r="O57" s="39"/>
      <c r="P57" s="39"/>
      <c r="Q57" s="39"/>
      <c r="R57" s="39"/>
      <c r="S57" s="39"/>
      <c r="T57" s="39"/>
      <c r="AR57" s="61"/>
      <c r="AY57" s="146"/>
    </row>
    <row r="58" ht="15.75" customHeight="1">
      <c r="C58" s="98"/>
      <c r="D58" s="38"/>
      <c r="E58" s="38"/>
      <c r="F58" s="98"/>
      <c r="G58" s="39"/>
      <c r="H58" s="39"/>
      <c r="I58" s="39"/>
      <c r="J58" s="39"/>
      <c r="K58" s="187"/>
      <c r="L58" s="188"/>
      <c r="M58" s="39"/>
      <c r="N58" s="39"/>
      <c r="O58" s="39"/>
      <c r="P58" s="39"/>
      <c r="Q58" s="39"/>
      <c r="R58" s="39"/>
      <c r="S58" s="39"/>
      <c r="T58" s="39"/>
      <c r="AR58" s="61"/>
      <c r="AY58" s="146"/>
    </row>
    <row r="59" ht="15.75" customHeight="1">
      <c r="C59" s="98"/>
      <c r="D59" s="38"/>
      <c r="E59" s="38"/>
      <c r="F59" s="98"/>
      <c r="G59" s="39"/>
      <c r="H59" s="39"/>
      <c r="I59" s="39"/>
      <c r="J59" s="39"/>
      <c r="K59" s="187"/>
      <c r="L59" s="188"/>
      <c r="M59" s="39"/>
      <c r="N59" s="39"/>
      <c r="O59" s="39"/>
      <c r="P59" s="39"/>
      <c r="Q59" s="39"/>
      <c r="R59" s="39"/>
      <c r="S59" s="39"/>
      <c r="T59" s="39"/>
      <c r="AR59" s="61"/>
      <c r="AY59" s="146"/>
    </row>
    <row r="60" ht="15.75" customHeight="1">
      <c r="C60" s="98"/>
      <c r="D60" s="38"/>
      <c r="E60" s="38"/>
      <c r="F60" s="98"/>
      <c r="G60" s="39"/>
      <c r="H60" s="39"/>
      <c r="I60" s="39"/>
      <c r="J60" s="39"/>
      <c r="K60" s="187"/>
      <c r="L60" s="188"/>
      <c r="M60" s="39"/>
      <c r="N60" s="39"/>
      <c r="O60" s="39"/>
      <c r="P60" s="39"/>
      <c r="Q60" s="39"/>
      <c r="R60" s="39"/>
      <c r="S60" s="39"/>
      <c r="T60" s="39"/>
      <c r="AR60" s="61"/>
      <c r="AY60" s="146"/>
    </row>
    <row r="61" ht="15.75" customHeight="1">
      <c r="C61" s="98"/>
      <c r="D61" s="38"/>
      <c r="E61" s="38"/>
      <c r="F61" s="98"/>
      <c r="G61" s="39"/>
      <c r="H61" s="39"/>
      <c r="I61" s="39"/>
      <c r="J61" s="39"/>
      <c r="K61" s="187"/>
      <c r="L61" s="188"/>
      <c r="M61" s="39"/>
      <c r="N61" s="39"/>
      <c r="O61" s="39"/>
      <c r="P61" s="39"/>
      <c r="Q61" s="39"/>
      <c r="R61" s="39"/>
      <c r="S61" s="39"/>
      <c r="T61" s="39"/>
      <c r="AR61" s="61"/>
      <c r="AY61" s="146"/>
    </row>
    <row r="62" ht="15.75" customHeight="1">
      <c r="C62" s="98"/>
      <c r="D62" s="38"/>
      <c r="E62" s="38"/>
      <c r="F62" s="98"/>
      <c r="G62" s="39"/>
      <c r="H62" s="39"/>
      <c r="I62" s="39"/>
      <c r="J62" s="39"/>
      <c r="K62" s="187"/>
      <c r="L62" s="188"/>
      <c r="M62" s="39"/>
      <c r="N62" s="39"/>
      <c r="O62" s="39"/>
      <c r="P62" s="39"/>
      <c r="Q62" s="39"/>
      <c r="R62" s="39"/>
      <c r="S62" s="39"/>
      <c r="T62" s="39"/>
      <c r="AR62" s="61"/>
      <c r="AY62" s="146"/>
    </row>
    <row r="63" ht="15.75" customHeight="1">
      <c r="C63" s="98"/>
      <c r="D63" s="38"/>
      <c r="E63" s="38"/>
      <c r="F63" s="98"/>
      <c r="G63" s="39"/>
      <c r="H63" s="39"/>
      <c r="I63" s="39"/>
      <c r="J63" s="39"/>
      <c r="K63" s="187"/>
      <c r="L63" s="188"/>
      <c r="M63" s="39"/>
      <c r="N63" s="39"/>
      <c r="O63" s="39"/>
      <c r="P63" s="39"/>
      <c r="Q63" s="39"/>
      <c r="R63" s="39"/>
      <c r="S63" s="39"/>
      <c r="T63" s="39"/>
      <c r="AR63" s="61"/>
      <c r="AY63" s="146"/>
    </row>
    <row r="64" ht="15.75" customHeight="1">
      <c r="C64" s="98"/>
      <c r="D64" s="38"/>
      <c r="E64" s="38"/>
      <c r="F64" s="98"/>
      <c r="G64" s="39"/>
      <c r="H64" s="39"/>
      <c r="I64" s="39"/>
      <c r="J64" s="39"/>
      <c r="K64" s="187"/>
      <c r="L64" s="188"/>
      <c r="M64" s="39"/>
      <c r="N64" s="39"/>
      <c r="O64" s="39"/>
      <c r="P64" s="39"/>
      <c r="Q64" s="39"/>
      <c r="R64" s="39"/>
      <c r="S64" s="39"/>
      <c r="T64" s="39"/>
      <c r="AR64" s="61"/>
      <c r="AY64" s="146"/>
    </row>
    <row r="65" ht="15.75" customHeight="1">
      <c r="C65" s="98"/>
      <c r="D65" s="38"/>
      <c r="E65" s="38"/>
      <c r="F65" s="98"/>
      <c r="G65" s="39"/>
      <c r="H65" s="39"/>
      <c r="I65" s="39"/>
      <c r="J65" s="39"/>
      <c r="K65" s="187"/>
      <c r="L65" s="188"/>
      <c r="M65" s="39"/>
      <c r="N65" s="39"/>
      <c r="O65" s="39"/>
      <c r="P65" s="39"/>
      <c r="Q65" s="39"/>
      <c r="R65" s="39"/>
      <c r="S65" s="39"/>
      <c r="T65" s="39"/>
      <c r="AR65" s="61"/>
      <c r="AY65" s="146"/>
    </row>
    <row r="66" ht="15.75" customHeight="1">
      <c r="C66" s="98"/>
      <c r="D66" s="38"/>
      <c r="E66" s="38"/>
      <c r="F66" s="98"/>
      <c r="G66" s="39"/>
      <c r="H66" s="39"/>
      <c r="I66" s="39"/>
      <c r="J66" s="39"/>
      <c r="K66" s="187"/>
      <c r="L66" s="188"/>
      <c r="M66" s="39"/>
      <c r="N66" s="39"/>
      <c r="O66" s="39"/>
      <c r="P66" s="39"/>
      <c r="Q66" s="39"/>
      <c r="R66" s="39"/>
      <c r="S66" s="39"/>
      <c r="T66" s="39"/>
      <c r="AR66" s="61"/>
      <c r="AY66" s="146"/>
    </row>
    <row r="67" ht="15.75" customHeight="1">
      <c r="C67" s="98"/>
      <c r="D67" s="38"/>
      <c r="E67" s="38"/>
      <c r="F67" s="98"/>
      <c r="G67" s="39"/>
      <c r="H67" s="39"/>
      <c r="I67" s="39"/>
      <c r="J67" s="39"/>
      <c r="K67" s="187"/>
      <c r="L67" s="188"/>
      <c r="M67" s="39"/>
      <c r="N67" s="39"/>
      <c r="O67" s="39"/>
      <c r="P67" s="39"/>
      <c r="Q67" s="39"/>
      <c r="R67" s="39"/>
      <c r="S67" s="39"/>
      <c r="T67" s="39"/>
      <c r="AR67" s="61"/>
      <c r="AY67" s="146"/>
    </row>
    <row r="68" ht="15.75" customHeight="1">
      <c r="C68" s="98"/>
      <c r="D68" s="38"/>
      <c r="E68" s="38"/>
      <c r="F68" s="98"/>
      <c r="G68" s="39"/>
      <c r="H68" s="39"/>
      <c r="I68" s="39"/>
      <c r="J68" s="39"/>
      <c r="K68" s="187"/>
      <c r="L68" s="188"/>
      <c r="M68" s="39"/>
      <c r="N68" s="39"/>
      <c r="O68" s="39"/>
      <c r="P68" s="39"/>
      <c r="Q68" s="39"/>
      <c r="R68" s="39"/>
      <c r="S68" s="39"/>
      <c r="T68" s="39"/>
      <c r="AR68" s="61"/>
      <c r="AY68" s="146"/>
    </row>
    <row r="69" ht="15.75" customHeight="1">
      <c r="C69" s="98"/>
      <c r="D69" s="38"/>
      <c r="E69" s="38"/>
      <c r="F69" s="98"/>
      <c r="G69" s="39"/>
      <c r="H69" s="39"/>
      <c r="I69" s="39"/>
      <c r="J69" s="39"/>
      <c r="K69" s="187"/>
      <c r="L69" s="188"/>
      <c r="M69" s="39"/>
      <c r="N69" s="39"/>
      <c r="O69" s="39"/>
      <c r="P69" s="39"/>
      <c r="Q69" s="39"/>
      <c r="R69" s="39"/>
      <c r="S69" s="39"/>
      <c r="T69" s="39"/>
      <c r="AR69" s="61"/>
      <c r="AY69" s="146"/>
    </row>
    <row r="70" ht="15.75" customHeight="1">
      <c r="C70" s="98"/>
      <c r="D70" s="38"/>
      <c r="E70" s="38"/>
      <c r="F70" s="98"/>
      <c r="G70" s="39"/>
      <c r="H70" s="39"/>
      <c r="I70" s="39"/>
      <c r="J70" s="39"/>
      <c r="K70" s="187"/>
      <c r="L70" s="188"/>
      <c r="M70" s="39"/>
      <c r="N70" s="39"/>
      <c r="O70" s="39"/>
      <c r="P70" s="39"/>
      <c r="Q70" s="39"/>
      <c r="R70" s="39"/>
      <c r="S70" s="39"/>
      <c r="T70" s="39"/>
      <c r="AR70" s="61"/>
      <c r="AY70" s="146"/>
    </row>
    <row r="71" ht="15.75" customHeight="1">
      <c r="C71" s="98"/>
      <c r="D71" s="38"/>
      <c r="E71" s="38"/>
      <c r="F71" s="98"/>
      <c r="G71" s="39"/>
      <c r="H71" s="39"/>
      <c r="I71" s="39"/>
      <c r="J71" s="39"/>
      <c r="K71" s="187"/>
      <c r="L71" s="188"/>
      <c r="M71" s="39"/>
      <c r="N71" s="39"/>
      <c r="O71" s="39"/>
      <c r="P71" s="39"/>
      <c r="Q71" s="39"/>
      <c r="R71" s="39"/>
      <c r="S71" s="39"/>
      <c r="T71" s="39"/>
      <c r="AR71" s="61"/>
      <c r="AY71" s="146"/>
    </row>
    <row r="72" ht="15.75" customHeight="1">
      <c r="C72" s="98"/>
      <c r="D72" s="38"/>
      <c r="E72" s="38"/>
      <c r="F72" s="98"/>
      <c r="G72" s="39"/>
      <c r="H72" s="39"/>
      <c r="I72" s="39"/>
      <c r="J72" s="39"/>
      <c r="K72" s="187"/>
      <c r="L72" s="188"/>
      <c r="M72" s="39"/>
      <c r="N72" s="39"/>
      <c r="O72" s="39"/>
      <c r="P72" s="39"/>
      <c r="Q72" s="39"/>
      <c r="R72" s="39"/>
      <c r="S72" s="39"/>
      <c r="T72" s="39"/>
      <c r="AR72" s="61"/>
      <c r="AY72" s="146"/>
    </row>
    <row r="73" ht="15.75" customHeight="1">
      <c r="C73" s="98"/>
      <c r="D73" s="38"/>
      <c r="E73" s="38"/>
      <c r="F73" s="98"/>
      <c r="G73" s="39"/>
      <c r="H73" s="39"/>
      <c r="I73" s="39"/>
      <c r="J73" s="39"/>
      <c r="K73" s="187"/>
      <c r="L73" s="188"/>
      <c r="M73" s="39"/>
      <c r="N73" s="39"/>
      <c r="O73" s="39"/>
      <c r="P73" s="39"/>
      <c r="Q73" s="39"/>
      <c r="R73" s="39"/>
      <c r="S73" s="39"/>
      <c r="T73" s="39"/>
      <c r="AR73" s="61"/>
      <c r="AY73" s="146"/>
    </row>
    <row r="74" ht="15.75" customHeight="1">
      <c r="C74" s="98"/>
      <c r="D74" s="38"/>
      <c r="E74" s="38"/>
      <c r="F74" s="98"/>
      <c r="G74" s="39"/>
      <c r="H74" s="39"/>
      <c r="I74" s="39"/>
      <c r="J74" s="39"/>
      <c r="K74" s="187"/>
      <c r="L74" s="188"/>
      <c r="M74" s="39"/>
      <c r="N74" s="39"/>
      <c r="O74" s="39"/>
      <c r="P74" s="39"/>
      <c r="Q74" s="39"/>
      <c r="R74" s="39"/>
      <c r="S74" s="39"/>
      <c r="T74" s="39"/>
      <c r="AR74" s="61"/>
      <c r="AY74" s="146"/>
    </row>
    <row r="75" ht="15.75" customHeight="1">
      <c r="C75" s="98"/>
      <c r="D75" s="38"/>
      <c r="E75" s="38"/>
      <c r="F75" s="98"/>
      <c r="G75" s="39"/>
      <c r="H75" s="39"/>
      <c r="I75" s="39"/>
      <c r="J75" s="39"/>
      <c r="K75" s="187"/>
      <c r="L75" s="188"/>
      <c r="M75" s="39"/>
      <c r="N75" s="39"/>
      <c r="O75" s="39"/>
      <c r="P75" s="39"/>
      <c r="Q75" s="39"/>
      <c r="R75" s="39"/>
      <c r="S75" s="39"/>
      <c r="T75" s="39"/>
      <c r="AR75" s="61"/>
      <c r="AY75" s="146"/>
    </row>
    <row r="76" ht="15.75" customHeight="1">
      <c r="C76" s="98"/>
      <c r="D76" s="38"/>
      <c r="E76" s="38"/>
      <c r="F76" s="98"/>
      <c r="G76" s="39"/>
      <c r="H76" s="39"/>
      <c r="I76" s="39"/>
      <c r="J76" s="39"/>
      <c r="K76" s="187"/>
      <c r="L76" s="188"/>
      <c r="M76" s="39"/>
      <c r="N76" s="39"/>
      <c r="O76" s="39"/>
      <c r="P76" s="39"/>
      <c r="Q76" s="39"/>
      <c r="R76" s="39"/>
      <c r="S76" s="39"/>
      <c r="T76" s="39"/>
      <c r="AR76" s="61"/>
      <c r="AY76" s="146"/>
    </row>
    <row r="77" ht="15.75" customHeight="1">
      <c r="C77" s="98"/>
      <c r="D77" s="38"/>
      <c r="E77" s="38"/>
      <c r="F77" s="98"/>
      <c r="G77" s="39"/>
      <c r="H77" s="39"/>
      <c r="I77" s="39"/>
      <c r="J77" s="39"/>
      <c r="K77" s="187"/>
      <c r="L77" s="188"/>
      <c r="M77" s="39"/>
      <c r="N77" s="39"/>
      <c r="O77" s="39"/>
      <c r="P77" s="39"/>
      <c r="Q77" s="39"/>
      <c r="R77" s="39"/>
      <c r="S77" s="39"/>
      <c r="T77" s="39"/>
      <c r="AR77" s="61"/>
      <c r="AY77" s="146"/>
    </row>
    <row r="78" ht="15.75" customHeight="1">
      <c r="C78" s="98"/>
      <c r="D78" s="38"/>
      <c r="E78" s="38"/>
      <c r="F78" s="98"/>
      <c r="G78" s="39"/>
      <c r="H78" s="39"/>
      <c r="I78" s="39"/>
      <c r="J78" s="39"/>
      <c r="K78" s="187"/>
      <c r="L78" s="188"/>
      <c r="M78" s="39"/>
      <c r="N78" s="39"/>
      <c r="O78" s="39"/>
      <c r="P78" s="39"/>
      <c r="Q78" s="39"/>
      <c r="R78" s="39"/>
      <c r="S78" s="39"/>
      <c r="T78" s="39"/>
      <c r="AR78" s="61"/>
      <c r="AY78" s="146"/>
    </row>
    <row r="79" ht="15.75" customHeight="1">
      <c r="C79" s="98"/>
      <c r="D79" s="38"/>
      <c r="E79" s="38"/>
      <c r="F79" s="98"/>
      <c r="G79" s="39"/>
      <c r="H79" s="39"/>
      <c r="I79" s="39"/>
      <c r="J79" s="39"/>
      <c r="K79" s="187"/>
      <c r="L79" s="188"/>
      <c r="M79" s="39"/>
      <c r="N79" s="39"/>
      <c r="O79" s="39"/>
      <c r="P79" s="39"/>
      <c r="Q79" s="39"/>
      <c r="R79" s="39"/>
      <c r="S79" s="39"/>
      <c r="T79" s="39"/>
      <c r="AR79" s="61"/>
      <c r="AY79" s="146"/>
    </row>
    <row r="80" ht="15.75" customHeight="1">
      <c r="C80" s="98"/>
      <c r="D80" s="38"/>
      <c r="E80" s="38"/>
      <c r="F80" s="98"/>
      <c r="G80" s="39"/>
      <c r="H80" s="39"/>
      <c r="I80" s="39"/>
      <c r="J80" s="39"/>
      <c r="K80" s="187"/>
      <c r="L80" s="188"/>
      <c r="M80" s="39"/>
      <c r="N80" s="39"/>
      <c r="O80" s="39"/>
      <c r="P80" s="39"/>
      <c r="Q80" s="39"/>
      <c r="R80" s="39"/>
      <c r="S80" s="39"/>
      <c r="T80" s="39"/>
      <c r="AR80" s="61"/>
      <c r="AY80" s="146"/>
    </row>
    <row r="81" ht="15.75" customHeight="1">
      <c r="C81" s="98"/>
      <c r="D81" s="38"/>
      <c r="E81" s="38"/>
      <c r="F81" s="98"/>
      <c r="G81" s="39"/>
      <c r="H81" s="39"/>
      <c r="I81" s="39"/>
      <c r="J81" s="39"/>
      <c r="K81" s="187"/>
      <c r="L81" s="188"/>
      <c r="M81" s="39"/>
      <c r="N81" s="39"/>
      <c r="O81" s="39"/>
      <c r="P81" s="39"/>
      <c r="Q81" s="39"/>
      <c r="R81" s="39"/>
      <c r="S81" s="39"/>
      <c r="T81" s="39"/>
      <c r="AR81" s="61"/>
      <c r="AY81" s="146"/>
    </row>
    <row r="82" ht="15.75" customHeight="1">
      <c r="C82" s="98"/>
      <c r="D82" s="38"/>
      <c r="E82" s="38"/>
      <c r="F82" s="98"/>
      <c r="G82" s="39"/>
      <c r="H82" s="39"/>
      <c r="I82" s="39"/>
      <c r="J82" s="39"/>
      <c r="K82" s="187"/>
      <c r="L82" s="188"/>
      <c r="M82" s="39"/>
      <c r="N82" s="39"/>
      <c r="O82" s="39"/>
      <c r="P82" s="39"/>
      <c r="Q82" s="39"/>
      <c r="R82" s="39"/>
      <c r="S82" s="39"/>
      <c r="T82" s="39"/>
      <c r="AR82" s="61"/>
      <c r="AY82" s="146"/>
    </row>
    <row r="83" ht="15.75" customHeight="1">
      <c r="C83" s="98"/>
      <c r="D83" s="38"/>
      <c r="E83" s="38"/>
      <c r="F83" s="98"/>
      <c r="G83" s="39"/>
      <c r="H83" s="39"/>
      <c r="I83" s="39"/>
      <c r="J83" s="39"/>
      <c r="K83" s="187"/>
      <c r="L83" s="188"/>
      <c r="M83" s="39"/>
      <c r="N83" s="39"/>
      <c r="O83" s="39"/>
      <c r="P83" s="39"/>
      <c r="Q83" s="39"/>
      <c r="R83" s="39"/>
      <c r="S83" s="39"/>
      <c r="T83" s="39"/>
      <c r="AR83" s="61"/>
      <c r="AY83" s="146"/>
    </row>
    <row r="84" ht="15.75" customHeight="1">
      <c r="C84" s="98"/>
      <c r="D84" s="38"/>
      <c r="E84" s="38"/>
      <c r="F84" s="98"/>
      <c r="G84" s="39"/>
      <c r="H84" s="39"/>
      <c r="I84" s="39"/>
      <c r="J84" s="39"/>
      <c r="K84" s="187"/>
      <c r="L84" s="188"/>
      <c r="M84" s="39"/>
      <c r="N84" s="39"/>
      <c r="O84" s="39"/>
      <c r="P84" s="39"/>
      <c r="Q84" s="39"/>
      <c r="R84" s="39"/>
      <c r="S84" s="39"/>
      <c r="T84" s="39"/>
      <c r="AR84" s="61"/>
      <c r="AY84" s="146"/>
    </row>
    <row r="85" ht="15.75" customHeight="1">
      <c r="C85" s="98"/>
      <c r="D85" s="38"/>
      <c r="E85" s="38"/>
      <c r="F85" s="98"/>
      <c r="G85" s="39"/>
      <c r="H85" s="39"/>
      <c r="I85" s="39"/>
      <c r="J85" s="39"/>
      <c r="K85" s="187"/>
      <c r="L85" s="188"/>
      <c r="M85" s="39"/>
      <c r="N85" s="39"/>
      <c r="O85" s="39"/>
      <c r="P85" s="39"/>
      <c r="Q85" s="39"/>
      <c r="R85" s="39"/>
      <c r="S85" s="39"/>
      <c r="T85" s="39"/>
      <c r="AR85" s="61"/>
      <c r="AY85" s="146"/>
    </row>
    <row r="86" ht="15.75" customHeight="1">
      <c r="C86" s="98"/>
      <c r="D86" s="38"/>
      <c r="E86" s="38"/>
      <c r="F86" s="98"/>
      <c r="G86" s="39"/>
      <c r="H86" s="39"/>
      <c r="I86" s="39"/>
      <c r="J86" s="39"/>
      <c r="K86" s="187"/>
      <c r="L86" s="188"/>
      <c r="M86" s="39"/>
      <c r="N86" s="39"/>
      <c r="O86" s="39"/>
      <c r="P86" s="39"/>
      <c r="Q86" s="39"/>
      <c r="R86" s="39"/>
      <c r="S86" s="39"/>
      <c r="T86" s="39"/>
      <c r="AR86" s="61"/>
      <c r="AY86" s="146"/>
    </row>
    <row r="87" ht="15.75" customHeight="1">
      <c r="C87" s="98"/>
      <c r="D87" s="38"/>
      <c r="E87" s="38"/>
      <c r="F87" s="98"/>
      <c r="G87" s="39"/>
      <c r="H87" s="39"/>
      <c r="I87" s="39"/>
      <c r="J87" s="39"/>
      <c r="K87" s="187"/>
      <c r="L87" s="188"/>
      <c r="M87" s="39"/>
      <c r="N87" s="39"/>
      <c r="O87" s="39"/>
      <c r="P87" s="39"/>
      <c r="Q87" s="39"/>
      <c r="R87" s="39"/>
      <c r="S87" s="39"/>
      <c r="T87" s="39"/>
      <c r="AR87" s="61"/>
      <c r="AY87" s="146"/>
    </row>
    <row r="88" ht="15.75" customHeight="1">
      <c r="C88" s="98"/>
      <c r="D88" s="38"/>
      <c r="E88" s="38"/>
      <c r="F88" s="98"/>
      <c r="G88" s="39"/>
      <c r="H88" s="39"/>
      <c r="I88" s="39"/>
      <c r="J88" s="39"/>
      <c r="K88" s="187"/>
      <c r="L88" s="188"/>
      <c r="M88" s="39"/>
      <c r="N88" s="39"/>
      <c r="O88" s="39"/>
      <c r="P88" s="39"/>
      <c r="Q88" s="39"/>
      <c r="R88" s="39"/>
      <c r="S88" s="39"/>
      <c r="T88" s="39"/>
      <c r="AR88" s="61"/>
      <c r="AY88" s="146"/>
    </row>
    <row r="89" ht="15.75" customHeight="1">
      <c r="C89" s="98"/>
      <c r="D89" s="38"/>
      <c r="E89" s="38"/>
      <c r="F89" s="98"/>
      <c r="G89" s="39"/>
      <c r="H89" s="39"/>
      <c r="I89" s="39"/>
      <c r="J89" s="39"/>
      <c r="K89" s="187"/>
      <c r="L89" s="188"/>
      <c r="M89" s="39"/>
      <c r="N89" s="39"/>
      <c r="O89" s="39"/>
      <c r="P89" s="39"/>
      <c r="Q89" s="39"/>
      <c r="R89" s="39"/>
      <c r="S89" s="39"/>
      <c r="T89" s="39"/>
      <c r="AR89" s="61"/>
      <c r="AY89" s="146"/>
    </row>
    <row r="90" ht="15.75" customHeight="1">
      <c r="C90" s="98"/>
      <c r="D90" s="38"/>
      <c r="E90" s="38"/>
      <c r="F90" s="98"/>
      <c r="G90" s="39"/>
      <c r="H90" s="39"/>
      <c r="I90" s="39"/>
      <c r="J90" s="39"/>
      <c r="K90" s="187"/>
      <c r="L90" s="188"/>
      <c r="M90" s="39"/>
      <c r="N90" s="39"/>
      <c r="O90" s="39"/>
      <c r="P90" s="39"/>
      <c r="Q90" s="39"/>
      <c r="R90" s="39"/>
      <c r="S90" s="39"/>
      <c r="T90" s="39"/>
      <c r="AR90" s="61"/>
      <c r="AY90" s="146"/>
    </row>
    <row r="91" ht="15.75" customHeight="1">
      <c r="C91" s="98"/>
      <c r="D91" s="38"/>
      <c r="E91" s="38"/>
      <c r="F91" s="98"/>
      <c r="G91" s="39"/>
      <c r="H91" s="39"/>
      <c r="I91" s="39"/>
      <c r="J91" s="39"/>
      <c r="K91" s="187"/>
      <c r="L91" s="188"/>
      <c r="M91" s="39"/>
      <c r="N91" s="39"/>
      <c r="O91" s="39"/>
      <c r="P91" s="39"/>
      <c r="Q91" s="39"/>
      <c r="R91" s="39"/>
      <c r="S91" s="39"/>
      <c r="T91" s="39"/>
      <c r="AR91" s="61"/>
      <c r="AY91" s="146"/>
    </row>
    <row r="92" ht="15.75" customHeight="1">
      <c r="C92" s="98"/>
      <c r="D92" s="38"/>
      <c r="E92" s="38"/>
      <c r="F92" s="98"/>
      <c r="G92" s="39"/>
      <c r="H92" s="39"/>
      <c r="I92" s="39"/>
      <c r="J92" s="39"/>
      <c r="K92" s="187"/>
      <c r="L92" s="188"/>
      <c r="M92" s="39"/>
      <c r="N92" s="39"/>
      <c r="O92" s="39"/>
      <c r="P92" s="39"/>
      <c r="Q92" s="39"/>
      <c r="R92" s="39"/>
      <c r="S92" s="39"/>
      <c r="T92" s="39"/>
      <c r="AR92" s="61"/>
      <c r="AY92" s="146"/>
    </row>
    <row r="93" ht="15.75" customHeight="1">
      <c r="C93" s="98"/>
      <c r="D93" s="38"/>
      <c r="E93" s="38"/>
      <c r="F93" s="98"/>
      <c r="G93" s="39"/>
      <c r="H93" s="39"/>
      <c r="I93" s="39"/>
      <c r="J93" s="39"/>
      <c r="K93" s="187"/>
      <c r="L93" s="188"/>
      <c r="M93" s="39"/>
      <c r="N93" s="39"/>
      <c r="O93" s="39"/>
      <c r="P93" s="39"/>
      <c r="Q93" s="39"/>
      <c r="R93" s="39"/>
      <c r="S93" s="39"/>
      <c r="T93" s="39"/>
      <c r="AR93" s="61"/>
      <c r="AY93" s="146"/>
    </row>
    <row r="94" ht="15.75" customHeight="1">
      <c r="C94" s="98"/>
      <c r="D94" s="38"/>
      <c r="E94" s="38"/>
      <c r="F94" s="98"/>
      <c r="G94" s="39"/>
      <c r="H94" s="39"/>
      <c r="I94" s="39"/>
      <c r="J94" s="39"/>
      <c r="K94" s="187"/>
      <c r="L94" s="188"/>
      <c r="M94" s="39"/>
      <c r="N94" s="39"/>
      <c r="O94" s="39"/>
      <c r="P94" s="39"/>
      <c r="Q94" s="39"/>
      <c r="R94" s="39"/>
      <c r="S94" s="39"/>
      <c r="T94" s="39"/>
      <c r="AR94" s="61"/>
      <c r="AY94" s="146"/>
    </row>
    <row r="95" ht="15.75" customHeight="1">
      <c r="C95" s="98"/>
      <c r="D95" s="38"/>
      <c r="E95" s="38"/>
      <c r="F95" s="98"/>
      <c r="G95" s="39"/>
      <c r="H95" s="39"/>
      <c r="I95" s="39"/>
      <c r="J95" s="39"/>
      <c r="K95" s="187"/>
      <c r="L95" s="188"/>
      <c r="M95" s="39"/>
      <c r="N95" s="39"/>
      <c r="O95" s="39"/>
      <c r="P95" s="39"/>
      <c r="Q95" s="39"/>
      <c r="R95" s="39"/>
      <c r="S95" s="39"/>
      <c r="T95" s="39"/>
      <c r="AR95" s="61"/>
      <c r="AY95" s="146"/>
    </row>
    <row r="96" ht="15.75" customHeight="1">
      <c r="C96" s="98"/>
      <c r="D96" s="38"/>
      <c r="E96" s="38"/>
      <c r="F96" s="98"/>
      <c r="G96" s="39"/>
      <c r="H96" s="39"/>
      <c r="I96" s="39"/>
      <c r="J96" s="39"/>
      <c r="K96" s="187"/>
      <c r="L96" s="188"/>
      <c r="M96" s="39"/>
      <c r="N96" s="39"/>
      <c r="O96" s="39"/>
      <c r="P96" s="39"/>
      <c r="Q96" s="39"/>
      <c r="R96" s="39"/>
      <c r="S96" s="39"/>
      <c r="T96" s="39"/>
      <c r="AR96" s="61"/>
      <c r="AY96" s="146"/>
    </row>
    <row r="97" ht="15.75" customHeight="1">
      <c r="C97" s="98"/>
      <c r="D97" s="38"/>
      <c r="E97" s="38"/>
      <c r="F97" s="98"/>
      <c r="G97" s="39"/>
      <c r="H97" s="39"/>
      <c r="I97" s="39"/>
      <c r="J97" s="39"/>
      <c r="K97" s="187"/>
      <c r="L97" s="188"/>
      <c r="M97" s="39"/>
      <c r="N97" s="39"/>
      <c r="O97" s="39"/>
      <c r="P97" s="39"/>
      <c r="Q97" s="39"/>
      <c r="R97" s="39"/>
      <c r="S97" s="39"/>
      <c r="T97" s="39"/>
      <c r="AR97" s="61"/>
      <c r="AY97" s="146"/>
    </row>
    <row r="98" ht="15.75" customHeight="1">
      <c r="C98" s="98"/>
      <c r="D98" s="38"/>
      <c r="E98" s="38"/>
      <c r="F98" s="98"/>
      <c r="G98" s="39"/>
      <c r="H98" s="39"/>
      <c r="I98" s="39"/>
      <c r="J98" s="39"/>
      <c r="K98" s="187"/>
      <c r="L98" s="188"/>
      <c r="M98" s="39"/>
      <c r="N98" s="39"/>
      <c r="O98" s="39"/>
      <c r="P98" s="39"/>
      <c r="Q98" s="39"/>
      <c r="R98" s="39"/>
      <c r="S98" s="39"/>
      <c r="T98" s="39"/>
      <c r="AR98" s="61"/>
      <c r="AY98" s="146"/>
    </row>
    <row r="99" ht="15.75" customHeight="1">
      <c r="C99" s="98"/>
      <c r="D99" s="38"/>
      <c r="E99" s="38"/>
      <c r="F99" s="98"/>
      <c r="G99" s="39"/>
      <c r="H99" s="39"/>
      <c r="I99" s="39"/>
      <c r="J99" s="39"/>
      <c r="K99" s="187"/>
      <c r="L99" s="188"/>
      <c r="M99" s="39"/>
      <c r="N99" s="39"/>
      <c r="O99" s="39"/>
      <c r="P99" s="39"/>
      <c r="Q99" s="39"/>
      <c r="R99" s="39"/>
      <c r="S99" s="39"/>
      <c r="T99" s="39"/>
      <c r="AR99" s="61"/>
      <c r="AY99" s="146"/>
    </row>
    <row r="100" ht="15.75" customHeight="1">
      <c r="C100" s="98"/>
      <c r="D100" s="38"/>
      <c r="E100" s="38"/>
      <c r="F100" s="98"/>
      <c r="G100" s="39"/>
      <c r="H100" s="39"/>
      <c r="I100" s="39"/>
      <c r="J100" s="39"/>
      <c r="K100" s="187"/>
      <c r="L100" s="188"/>
      <c r="M100" s="39"/>
      <c r="N100" s="39"/>
      <c r="O100" s="39"/>
      <c r="P100" s="39"/>
      <c r="Q100" s="39"/>
      <c r="R100" s="39"/>
      <c r="S100" s="39"/>
      <c r="T100" s="39"/>
      <c r="AR100" s="61"/>
      <c r="AY100" s="146"/>
    </row>
    <row r="101" ht="15.75" customHeight="1">
      <c r="C101" s="98"/>
      <c r="D101" s="38"/>
      <c r="E101" s="38"/>
      <c r="F101" s="98"/>
      <c r="G101" s="39"/>
      <c r="H101" s="39"/>
      <c r="I101" s="39"/>
      <c r="J101" s="39"/>
      <c r="K101" s="187"/>
      <c r="L101" s="188"/>
      <c r="M101" s="39"/>
      <c r="N101" s="39"/>
      <c r="O101" s="39"/>
      <c r="P101" s="39"/>
      <c r="Q101" s="39"/>
      <c r="R101" s="39"/>
      <c r="S101" s="39"/>
      <c r="T101" s="39"/>
      <c r="AR101" s="61"/>
      <c r="AY101" s="146"/>
    </row>
    <row r="102" ht="15.75" customHeight="1">
      <c r="C102" s="98"/>
      <c r="D102" s="38"/>
      <c r="E102" s="38"/>
      <c r="F102" s="98"/>
      <c r="G102" s="39"/>
      <c r="H102" s="39"/>
      <c r="I102" s="39"/>
      <c r="J102" s="39"/>
      <c r="K102" s="187"/>
      <c r="L102" s="188"/>
      <c r="M102" s="39"/>
      <c r="N102" s="39"/>
      <c r="O102" s="39"/>
      <c r="P102" s="39"/>
      <c r="Q102" s="39"/>
      <c r="R102" s="39"/>
      <c r="S102" s="39"/>
      <c r="T102" s="39"/>
      <c r="AR102" s="61"/>
      <c r="AY102" s="146"/>
    </row>
    <row r="103" ht="15.75" customHeight="1">
      <c r="C103" s="98"/>
      <c r="D103" s="38"/>
      <c r="E103" s="38"/>
      <c r="F103" s="98"/>
      <c r="G103" s="39"/>
      <c r="H103" s="39"/>
      <c r="I103" s="39"/>
      <c r="J103" s="39"/>
      <c r="K103" s="187"/>
      <c r="L103" s="188"/>
      <c r="M103" s="39"/>
      <c r="N103" s="39"/>
      <c r="O103" s="39"/>
      <c r="P103" s="39"/>
      <c r="Q103" s="39"/>
      <c r="R103" s="39"/>
      <c r="S103" s="39"/>
      <c r="T103" s="39"/>
      <c r="AR103" s="61"/>
      <c r="AY103" s="146"/>
    </row>
    <row r="104" ht="15.75" customHeight="1">
      <c r="C104" s="98"/>
      <c r="D104" s="38"/>
      <c r="E104" s="38"/>
      <c r="F104" s="98"/>
      <c r="G104" s="39"/>
      <c r="H104" s="39"/>
      <c r="I104" s="39"/>
      <c r="J104" s="39"/>
      <c r="K104" s="187"/>
      <c r="L104" s="188"/>
      <c r="M104" s="39"/>
      <c r="N104" s="39"/>
      <c r="O104" s="39"/>
      <c r="P104" s="39"/>
      <c r="Q104" s="39"/>
      <c r="R104" s="39"/>
      <c r="S104" s="39"/>
      <c r="T104" s="39"/>
      <c r="AR104" s="61"/>
      <c r="AY104" s="146"/>
    </row>
    <row r="105" ht="15.75" customHeight="1">
      <c r="C105" s="98"/>
      <c r="D105" s="38"/>
      <c r="E105" s="38"/>
      <c r="F105" s="98"/>
      <c r="G105" s="39"/>
      <c r="H105" s="39"/>
      <c r="I105" s="39"/>
      <c r="J105" s="39"/>
      <c r="K105" s="187"/>
      <c r="L105" s="188"/>
      <c r="M105" s="39"/>
      <c r="N105" s="39"/>
      <c r="O105" s="39"/>
      <c r="P105" s="39"/>
      <c r="Q105" s="39"/>
      <c r="R105" s="39"/>
      <c r="S105" s="39"/>
      <c r="T105" s="39"/>
      <c r="AR105" s="61"/>
      <c r="AY105" s="146"/>
    </row>
    <row r="106" ht="15.75" customHeight="1">
      <c r="C106" s="98"/>
      <c r="D106" s="38"/>
      <c r="E106" s="38"/>
      <c r="F106" s="98"/>
      <c r="G106" s="39"/>
      <c r="H106" s="39"/>
      <c r="I106" s="39"/>
      <c r="J106" s="39"/>
      <c r="K106" s="187"/>
      <c r="L106" s="188"/>
      <c r="M106" s="39"/>
      <c r="N106" s="39"/>
      <c r="O106" s="39"/>
      <c r="P106" s="39"/>
      <c r="Q106" s="39"/>
      <c r="R106" s="39"/>
      <c r="S106" s="39"/>
      <c r="T106" s="39"/>
      <c r="AR106" s="61"/>
      <c r="AY106" s="146"/>
    </row>
    <row r="107" ht="15.75" customHeight="1">
      <c r="C107" s="98"/>
      <c r="D107" s="38"/>
      <c r="E107" s="38"/>
      <c r="F107" s="98"/>
      <c r="G107" s="39"/>
      <c r="H107" s="39"/>
      <c r="I107" s="39"/>
      <c r="J107" s="39"/>
      <c r="K107" s="187"/>
      <c r="L107" s="188"/>
      <c r="M107" s="39"/>
      <c r="N107" s="39"/>
      <c r="O107" s="39"/>
      <c r="P107" s="39"/>
      <c r="Q107" s="39"/>
      <c r="R107" s="39"/>
      <c r="S107" s="39"/>
      <c r="T107" s="39"/>
      <c r="AR107" s="61"/>
      <c r="AY107" s="146"/>
    </row>
    <row r="108" ht="15.75" customHeight="1">
      <c r="C108" s="98"/>
      <c r="D108" s="38"/>
      <c r="E108" s="38"/>
      <c r="F108" s="98"/>
      <c r="G108" s="39"/>
      <c r="H108" s="39"/>
      <c r="I108" s="39"/>
      <c r="J108" s="39"/>
      <c r="K108" s="187"/>
      <c r="L108" s="188"/>
      <c r="M108" s="39"/>
      <c r="N108" s="39"/>
      <c r="O108" s="39"/>
      <c r="P108" s="39"/>
      <c r="Q108" s="39"/>
      <c r="R108" s="39"/>
      <c r="S108" s="39"/>
      <c r="T108" s="39"/>
      <c r="AR108" s="61"/>
      <c r="AY108" s="146"/>
    </row>
    <row r="109" ht="15.75" customHeight="1">
      <c r="C109" s="98"/>
      <c r="D109" s="38"/>
      <c r="E109" s="38"/>
      <c r="F109" s="98"/>
      <c r="G109" s="39"/>
      <c r="H109" s="39"/>
      <c r="I109" s="39"/>
      <c r="J109" s="39"/>
      <c r="K109" s="187"/>
      <c r="L109" s="188"/>
      <c r="M109" s="39"/>
      <c r="N109" s="39"/>
      <c r="O109" s="39"/>
      <c r="P109" s="39"/>
      <c r="Q109" s="39"/>
      <c r="R109" s="39"/>
      <c r="S109" s="39"/>
      <c r="T109" s="39"/>
      <c r="AR109" s="61"/>
      <c r="AY109" s="146"/>
    </row>
    <row r="110" ht="15.75" customHeight="1">
      <c r="C110" s="98"/>
      <c r="D110" s="38"/>
      <c r="E110" s="38"/>
      <c r="F110" s="98"/>
      <c r="G110" s="39"/>
      <c r="H110" s="39"/>
      <c r="I110" s="39"/>
      <c r="J110" s="39"/>
      <c r="K110" s="187"/>
      <c r="L110" s="188"/>
      <c r="M110" s="39"/>
      <c r="N110" s="39"/>
      <c r="O110" s="39"/>
      <c r="P110" s="39"/>
      <c r="Q110" s="39"/>
      <c r="R110" s="39"/>
      <c r="S110" s="39"/>
      <c r="T110" s="39"/>
      <c r="AR110" s="61"/>
      <c r="AY110" s="146"/>
    </row>
    <row r="111" ht="15.75" customHeight="1">
      <c r="C111" s="98"/>
      <c r="D111" s="38"/>
      <c r="E111" s="38"/>
      <c r="F111" s="98"/>
      <c r="G111" s="39"/>
      <c r="H111" s="39"/>
      <c r="I111" s="39"/>
      <c r="J111" s="39"/>
      <c r="K111" s="187"/>
      <c r="L111" s="188"/>
      <c r="M111" s="39"/>
      <c r="N111" s="39"/>
      <c r="O111" s="39"/>
      <c r="P111" s="39"/>
      <c r="Q111" s="39"/>
      <c r="R111" s="39"/>
      <c r="S111" s="39"/>
      <c r="T111" s="39"/>
      <c r="AR111" s="61"/>
      <c r="AY111" s="146"/>
    </row>
    <row r="112" ht="15.75" customHeight="1">
      <c r="C112" s="98"/>
      <c r="D112" s="38"/>
      <c r="E112" s="38"/>
      <c r="F112" s="98"/>
      <c r="G112" s="39"/>
      <c r="H112" s="39"/>
      <c r="I112" s="39"/>
      <c r="J112" s="39"/>
      <c r="K112" s="187"/>
      <c r="L112" s="188"/>
      <c r="M112" s="39"/>
      <c r="N112" s="39"/>
      <c r="O112" s="39"/>
      <c r="P112" s="39"/>
      <c r="Q112" s="39"/>
      <c r="R112" s="39"/>
      <c r="S112" s="39"/>
      <c r="T112" s="39"/>
      <c r="AR112" s="61"/>
      <c r="AY112" s="146"/>
    </row>
    <row r="113" ht="15.75" customHeight="1">
      <c r="C113" s="98"/>
      <c r="D113" s="38"/>
      <c r="E113" s="38"/>
      <c r="F113" s="98"/>
      <c r="G113" s="39"/>
      <c r="H113" s="39"/>
      <c r="I113" s="39"/>
      <c r="J113" s="39"/>
      <c r="K113" s="187"/>
      <c r="L113" s="188"/>
      <c r="M113" s="39"/>
      <c r="N113" s="39"/>
      <c r="O113" s="39"/>
      <c r="P113" s="39"/>
      <c r="Q113" s="39"/>
      <c r="R113" s="39"/>
      <c r="S113" s="39"/>
      <c r="T113" s="39"/>
      <c r="AR113" s="61"/>
      <c r="AY113" s="146"/>
    </row>
    <row r="114" ht="15.75" customHeight="1">
      <c r="C114" s="98"/>
      <c r="D114" s="38"/>
      <c r="E114" s="38"/>
      <c r="F114" s="98"/>
      <c r="G114" s="39"/>
      <c r="H114" s="39"/>
      <c r="I114" s="39"/>
      <c r="J114" s="39"/>
      <c r="K114" s="187"/>
      <c r="L114" s="188"/>
      <c r="M114" s="39"/>
      <c r="N114" s="39"/>
      <c r="O114" s="39"/>
      <c r="P114" s="39"/>
      <c r="Q114" s="39"/>
      <c r="R114" s="39"/>
      <c r="S114" s="39"/>
      <c r="T114" s="39"/>
      <c r="AR114" s="61"/>
      <c r="AY114" s="146"/>
    </row>
    <row r="115" ht="15.75" customHeight="1">
      <c r="C115" s="98"/>
      <c r="D115" s="38"/>
      <c r="E115" s="38"/>
      <c r="F115" s="98"/>
      <c r="G115" s="39"/>
      <c r="H115" s="39"/>
      <c r="I115" s="39"/>
      <c r="J115" s="39"/>
      <c r="K115" s="187"/>
      <c r="L115" s="188"/>
      <c r="M115" s="39"/>
      <c r="N115" s="39"/>
      <c r="O115" s="39"/>
      <c r="P115" s="39"/>
      <c r="Q115" s="39"/>
      <c r="R115" s="39"/>
      <c r="S115" s="39"/>
      <c r="T115" s="39"/>
      <c r="AR115" s="61"/>
      <c r="AY115" s="146"/>
    </row>
    <row r="116" ht="15.75" customHeight="1">
      <c r="C116" s="98"/>
      <c r="D116" s="38"/>
      <c r="E116" s="38"/>
      <c r="F116" s="98"/>
      <c r="G116" s="39"/>
      <c r="H116" s="39"/>
      <c r="I116" s="39"/>
      <c r="J116" s="39"/>
      <c r="K116" s="187"/>
      <c r="L116" s="188"/>
      <c r="M116" s="39"/>
      <c r="N116" s="39"/>
      <c r="O116" s="39"/>
      <c r="P116" s="39"/>
      <c r="Q116" s="39"/>
      <c r="R116" s="39"/>
      <c r="S116" s="39"/>
      <c r="T116" s="39"/>
      <c r="AR116" s="61"/>
      <c r="AY116" s="146"/>
    </row>
    <row r="117" ht="15.75" customHeight="1">
      <c r="C117" s="98"/>
      <c r="D117" s="38"/>
      <c r="E117" s="38"/>
      <c r="F117" s="98"/>
      <c r="G117" s="39"/>
      <c r="H117" s="39"/>
      <c r="I117" s="39"/>
      <c r="J117" s="39"/>
      <c r="K117" s="187"/>
      <c r="L117" s="188"/>
      <c r="M117" s="39"/>
      <c r="N117" s="39"/>
      <c r="O117" s="39"/>
      <c r="P117" s="39"/>
      <c r="Q117" s="39"/>
      <c r="R117" s="39"/>
      <c r="S117" s="39"/>
      <c r="T117" s="39"/>
      <c r="AR117" s="61"/>
      <c r="AY117" s="146"/>
    </row>
    <row r="118" ht="15.75" customHeight="1">
      <c r="C118" s="98"/>
      <c r="D118" s="38"/>
      <c r="E118" s="38"/>
      <c r="F118" s="98"/>
      <c r="G118" s="39"/>
      <c r="H118" s="39"/>
      <c r="I118" s="39"/>
      <c r="J118" s="39"/>
      <c r="K118" s="187"/>
      <c r="L118" s="188"/>
      <c r="M118" s="39"/>
      <c r="N118" s="39"/>
      <c r="O118" s="39"/>
      <c r="P118" s="39"/>
      <c r="Q118" s="39"/>
      <c r="R118" s="39"/>
      <c r="S118" s="39"/>
      <c r="T118" s="39"/>
      <c r="AR118" s="61"/>
      <c r="AY118" s="146"/>
    </row>
    <row r="119" ht="15.75" customHeight="1">
      <c r="C119" s="98"/>
      <c r="D119" s="38"/>
      <c r="E119" s="38"/>
      <c r="F119" s="98"/>
      <c r="G119" s="39"/>
      <c r="H119" s="39"/>
      <c r="I119" s="39"/>
      <c r="J119" s="39"/>
      <c r="K119" s="187"/>
      <c r="L119" s="188"/>
      <c r="M119" s="39"/>
      <c r="N119" s="39"/>
      <c r="O119" s="39"/>
      <c r="P119" s="39"/>
      <c r="Q119" s="39"/>
      <c r="R119" s="39"/>
      <c r="S119" s="39"/>
      <c r="T119" s="39"/>
      <c r="AR119" s="61"/>
      <c r="AY119" s="146"/>
    </row>
    <row r="120" ht="15.75" customHeight="1">
      <c r="C120" s="98"/>
      <c r="D120" s="38"/>
      <c r="E120" s="38"/>
      <c r="F120" s="98"/>
      <c r="G120" s="39"/>
      <c r="H120" s="39"/>
      <c r="I120" s="39"/>
      <c r="J120" s="39"/>
      <c r="K120" s="187"/>
      <c r="L120" s="188"/>
      <c r="M120" s="39"/>
      <c r="N120" s="39"/>
      <c r="O120" s="39"/>
      <c r="P120" s="39"/>
      <c r="Q120" s="39"/>
      <c r="R120" s="39"/>
      <c r="S120" s="39"/>
      <c r="T120" s="39"/>
      <c r="AR120" s="61"/>
      <c r="AY120" s="146"/>
    </row>
    <row r="121" ht="15.75" customHeight="1">
      <c r="C121" s="98"/>
      <c r="D121" s="38"/>
      <c r="E121" s="38"/>
      <c r="F121" s="98"/>
      <c r="G121" s="39"/>
      <c r="H121" s="39"/>
      <c r="I121" s="39"/>
      <c r="J121" s="39"/>
      <c r="K121" s="187"/>
      <c r="L121" s="188"/>
      <c r="M121" s="39"/>
      <c r="N121" s="39"/>
      <c r="O121" s="39"/>
      <c r="P121" s="39"/>
      <c r="Q121" s="39"/>
      <c r="R121" s="39"/>
      <c r="S121" s="39"/>
      <c r="T121" s="39"/>
      <c r="AR121" s="61"/>
      <c r="AY121" s="146"/>
    </row>
    <row r="122" ht="15.75" customHeight="1">
      <c r="C122" s="98"/>
      <c r="D122" s="38"/>
      <c r="E122" s="38"/>
      <c r="F122" s="98"/>
      <c r="G122" s="39"/>
      <c r="H122" s="39"/>
      <c r="I122" s="39"/>
      <c r="J122" s="39"/>
      <c r="K122" s="187"/>
      <c r="L122" s="188"/>
      <c r="M122" s="39"/>
      <c r="N122" s="39"/>
      <c r="O122" s="39"/>
      <c r="P122" s="39"/>
      <c r="Q122" s="39"/>
      <c r="R122" s="39"/>
      <c r="S122" s="39"/>
      <c r="T122" s="39"/>
      <c r="AR122" s="61"/>
      <c r="AY122" s="146"/>
    </row>
    <row r="123" ht="15.75" customHeight="1">
      <c r="C123" s="98"/>
      <c r="D123" s="38"/>
      <c r="E123" s="38"/>
      <c r="F123" s="98"/>
      <c r="G123" s="39"/>
      <c r="H123" s="39"/>
      <c r="I123" s="39"/>
      <c r="J123" s="39"/>
      <c r="K123" s="187"/>
      <c r="L123" s="188"/>
      <c r="M123" s="39"/>
      <c r="N123" s="39"/>
      <c r="O123" s="39"/>
      <c r="P123" s="39"/>
      <c r="Q123" s="39"/>
      <c r="R123" s="39"/>
      <c r="S123" s="39"/>
      <c r="T123" s="39"/>
      <c r="AR123" s="61"/>
      <c r="AY123" s="146"/>
    </row>
    <row r="124" ht="15.75" customHeight="1">
      <c r="C124" s="98"/>
      <c r="D124" s="38"/>
      <c r="E124" s="38"/>
      <c r="F124" s="98"/>
      <c r="G124" s="39"/>
      <c r="H124" s="39"/>
      <c r="I124" s="39"/>
      <c r="J124" s="39"/>
      <c r="K124" s="187"/>
      <c r="L124" s="188"/>
      <c r="M124" s="39"/>
      <c r="N124" s="39"/>
      <c r="O124" s="39"/>
      <c r="P124" s="39"/>
      <c r="Q124" s="39"/>
      <c r="R124" s="39"/>
      <c r="S124" s="39"/>
      <c r="T124" s="39"/>
      <c r="AR124" s="61"/>
      <c r="AY124" s="146"/>
    </row>
    <row r="125" ht="15.75" customHeight="1">
      <c r="C125" s="98"/>
      <c r="D125" s="38"/>
      <c r="E125" s="38"/>
      <c r="F125" s="98"/>
      <c r="G125" s="39"/>
      <c r="H125" s="39"/>
      <c r="I125" s="39"/>
      <c r="J125" s="39"/>
      <c r="K125" s="187"/>
      <c r="L125" s="188"/>
      <c r="M125" s="39"/>
      <c r="N125" s="39"/>
      <c r="O125" s="39"/>
      <c r="P125" s="39"/>
      <c r="Q125" s="39"/>
      <c r="R125" s="39"/>
      <c r="S125" s="39"/>
      <c r="T125" s="39"/>
      <c r="AR125" s="61"/>
      <c r="AY125" s="146"/>
    </row>
    <row r="126" ht="15.75" customHeight="1">
      <c r="C126" s="98"/>
      <c r="D126" s="38"/>
      <c r="E126" s="38"/>
      <c r="F126" s="98"/>
      <c r="G126" s="39"/>
      <c r="H126" s="39"/>
      <c r="I126" s="39"/>
      <c r="J126" s="39"/>
      <c r="K126" s="187"/>
      <c r="L126" s="188"/>
      <c r="M126" s="39"/>
      <c r="N126" s="39"/>
      <c r="O126" s="39"/>
      <c r="P126" s="39"/>
      <c r="Q126" s="39"/>
      <c r="R126" s="39"/>
      <c r="S126" s="39"/>
      <c r="T126" s="39"/>
      <c r="AR126" s="61"/>
      <c r="AY126" s="146"/>
    </row>
    <row r="127" ht="15.75" customHeight="1">
      <c r="C127" s="98"/>
      <c r="D127" s="38"/>
      <c r="E127" s="38"/>
      <c r="F127" s="98"/>
      <c r="G127" s="39"/>
      <c r="H127" s="39"/>
      <c r="I127" s="39"/>
      <c r="J127" s="39"/>
      <c r="K127" s="187"/>
      <c r="L127" s="188"/>
      <c r="M127" s="39"/>
      <c r="N127" s="39"/>
      <c r="O127" s="39"/>
      <c r="P127" s="39"/>
      <c r="Q127" s="39"/>
      <c r="R127" s="39"/>
      <c r="S127" s="39"/>
      <c r="T127" s="39"/>
      <c r="AR127" s="61"/>
      <c r="AY127" s="146"/>
    </row>
    <row r="128" ht="15.75" customHeight="1">
      <c r="C128" s="98"/>
      <c r="D128" s="38"/>
      <c r="E128" s="38"/>
      <c r="F128" s="98"/>
      <c r="G128" s="39"/>
      <c r="H128" s="39"/>
      <c r="I128" s="39"/>
      <c r="J128" s="39"/>
      <c r="K128" s="187"/>
      <c r="L128" s="188"/>
      <c r="M128" s="39"/>
      <c r="N128" s="39"/>
      <c r="O128" s="39"/>
      <c r="P128" s="39"/>
      <c r="Q128" s="39"/>
      <c r="R128" s="39"/>
      <c r="S128" s="39"/>
      <c r="T128" s="39"/>
      <c r="AR128" s="61"/>
      <c r="AY128" s="146"/>
    </row>
    <row r="129" ht="15.75" customHeight="1">
      <c r="C129" s="98"/>
      <c r="D129" s="38"/>
      <c r="E129" s="38"/>
      <c r="F129" s="98"/>
      <c r="G129" s="39"/>
      <c r="H129" s="39"/>
      <c r="I129" s="39"/>
      <c r="J129" s="39"/>
      <c r="K129" s="187"/>
      <c r="L129" s="188"/>
      <c r="M129" s="39"/>
      <c r="N129" s="39"/>
      <c r="O129" s="39"/>
      <c r="P129" s="39"/>
      <c r="Q129" s="39"/>
      <c r="R129" s="39"/>
      <c r="S129" s="39"/>
      <c r="T129" s="39"/>
      <c r="AR129" s="61"/>
      <c r="AY129" s="146"/>
    </row>
    <row r="130" ht="15.75" customHeight="1">
      <c r="C130" s="98"/>
      <c r="D130" s="38"/>
      <c r="E130" s="38"/>
      <c r="F130" s="98"/>
      <c r="G130" s="39"/>
      <c r="H130" s="39"/>
      <c r="I130" s="39"/>
      <c r="J130" s="39"/>
      <c r="K130" s="187"/>
      <c r="L130" s="188"/>
      <c r="M130" s="39"/>
      <c r="N130" s="39"/>
      <c r="O130" s="39"/>
      <c r="P130" s="39"/>
      <c r="Q130" s="39"/>
      <c r="R130" s="39"/>
      <c r="S130" s="39"/>
      <c r="T130" s="39"/>
      <c r="AR130" s="61"/>
      <c r="AY130" s="146"/>
    </row>
    <row r="131" ht="15.75" customHeight="1">
      <c r="C131" s="98"/>
      <c r="D131" s="38"/>
      <c r="E131" s="38"/>
      <c r="F131" s="98"/>
      <c r="G131" s="39"/>
      <c r="H131" s="39"/>
      <c r="I131" s="39"/>
      <c r="J131" s="39"/>
      <c r="K131" s="187"/>
      <c r="L131" s="188"/>
      <c r="M131" s="39"/>
      <c r="N131" s="39"/>
      <c r="O131" s="39"/>
      <c r="P131" s="39"/>
      <c r="Q131" s="39"/>
      <c r="R131" s="39"/>
      <c r="S131" s="39"/>
      <c r="T131" s="39"/>
      <c r="AR131" s="61"/>
      <c r="AY131" s="146"/>
    </row>
    <row r="132" ht="15.75" customHeight="1">
      <c r="C132" s="98"/>
      <c r="D132" s="38"/>
      <c r="E132" s="38"/>
      <c r="F132" s="98"/>
      <c r="G132" s="39"/>
      <c r="H132" s="39"/>
      <c r="I132" s="39"/>
      <c r="J132" s="39"/>
      <c r="K132" s="187"/>
      <c r="L132" s="188"/>
      <c r="M132" s="39"/>
      <c r="N132" s="39"/>
      <c r="O132" s="39"/>
      <c r="P132" s="39"/>
      <c r="Q132" s="39"/>
      <c r="R132" s="39"/>
      <c r="S132" s="39"/>
      <c r="T132" s="39"/>
      <c r="AR132" s="61"/>
      <c r="AY132" s="146"/>
    </row>
    <row r="133" ht="15.75" customHeight="1">
      <c r="C133" s="98"/>
      <c r="D133" s="38"/>
      <c r="E133" s="38"/>
      <c r="F133" s="98"/>
      <c r="G133" s="39"/>
      <c r="H133" s="39"/>
      <c r="I133" s="39"/>
      <c r="J133" s="39"/>
      <c r="K133" s="187"/>
      <c r="L133" s="188"/>
      <c r="M133" s="39"/>
      <c r="N133" s="39"/>
      <c r="O133" s="39"/>
      <c r="P133" s="39"/>
      <c r="Q133" s="39"/>
      <c r="R133" s="39"/>
      <c r="S133" s="39"/>
      <c r="T133" s="39"/>
      <c r="AR133" s="61"/>
      <c r="AY133" s="146"/>
    </row>
    <row r="134" ht="15.75" customHeight="1">
      <c r="C134" s="98"/>
      <c r="D134" s="38"/>
      <c r="E134" s="38"/>
      <c r="F134" s="98"/>
      <c r="G134" s="39"/>
      <c r="H134" s="39"/>
      <c r="I134" s="39"/>
      <c r="J134" s="39"/>
      <c r="K134" s="187"/>
      <c r="L134" s="188"/>
      <c r="M134" s="39"/>
      <c r="N134" s="39"/>
      <c r="O134" s="39"/>
      <c r="P134" s="39"/>
      <c r="Q134" s="39"/>
      <c r="R134" s="39"/>
      <c r="S134" s="39"/>
      <c r="T134" s="39"/>
      <c r="AR134" s="61"/>
      <c r="AY134" s="146"/>
    </row>
    <row r="135" ht="15.75" customHeight="1">
      <c r="C135" s="98"/>
      <c r="D135" s="38"/>
      <c r="E135" s="38"/>
      <c r="F135" s="98"/>
      <c r="G135" s="39"/>
      <c r="H135" s="39"/>
      <c r="I135" s="39"/>
      <c r="J135" s="39"/>
      <c r="K135" s="187"/>
      <c r="L135" s="188"/>
      <c r="M135" s="39"/>
      <c r="N135" s="39"/>
      <c r="O135" s="39"/>
      <c r="P135" s="39"/>
      <c r="Q135" s="39"/>
      <c r="R135" s="39"/>
      <c r="S135" s="39"/>
      <c r="T135" s="39"/>
      <c r="AR135" s="61"/>
      <c r="AY135" s="146"/>
    </row>
    <row r="136" ht="15.75" customHeight="1">
      <c r="C136" s="98"/>
      <c r="D136" s="38"/>
      <c r="E136" s="38"/>
      <c r="F136" s="98"/>
      <c r="G136" s="39"/>
      <c r="H136" s="39"/>
      <c r="I136" s="39"/>
      <c r="J136" s="39"/>
      <c r="K136" s="187"/>
      <c r="L136" s="188"/>
      <c r="M136" s="39"/>
      <c r="N136" s="39"/>
      <c r="O136" s="39"/>
      <c r="P136" s="39"/>
      <c r="Q136" s="39"/>
      <c r="R136" s="39"/>
      <c r="S136" s="39"/>
      <c r="T136" s="39"/>
      <c r="AR136" s="61"/>
      <c r="AY136" s="146"/>
    </row>
    <row r="137" ht="15.75" customHeight="1">
      <c r="C137" s="98"/>
      <c r="D137" s="38"/>
      <c r="E137" s="38"/>
      <c r="F137" s="98"/>
      <c r="G137" s="39"/>
      <c r="H137" s="39"/>
      <c r="I137" s="39"/>
      <c r="J137" s="39"/>
      <c r="K137" s="187"/>
      <c r="L137" s="188"/>
      <c r="M137" s="39"/>
      <c r="N137" s="39"/>
      <c r="O137" s="39"/>
      <c r="P137" s="39"/>
      <c r="Q137" s="39"/>
      <c r="R137" s="39"/>
      <c r="S137" s="39"/>
      <c r="T137" s="39"/>
      <c r="AR137" s="61"/>
      <c r="AY137" s="146"/>
    </row>
    <row r="138" ht="15.75" customHeight="1">
      <c r="C138" s="98"/>
      <c r="D138" s="38"/>
      <c r="E138" s="38"/>
      <c r="F138" s="98"/>
      <c r="G138" s="39"/>
      <c r="H138" s="39"/>
      <c r="I138" s="39"/>
      <c r="J138" s="39"/>
      <c r="K138" s="187"/>
      <c r="L138" s="188"/>
      <c r="M138" s="39"/>
      <c r="N138" s="39"/>
      <c r="O138" s="39"/>
      <c r="P138" s="39"/>
      <c r="Q138" s="39"/>
      <c r="R138" s="39"/>
      <c r="S138" s="39"/>
      <c r="T138" s="39"/>
      <c r="AR138" s="61"/>
      <c r="AY138" s="146"/>
    </row>
    <row r="139" ht="15.75" customHeight="1">
      <c r="C139" s="98"/>
      <c r="D139" s="38"/>
      <c r="E139" s="38"/>
      <c r="F139" s="98"/>
      <c r="G139" s="39"/>
      <c r="H139" s="39"/>
      <c r="I139" s="39"/>
      <c r="J139" s="39"/>
      <c r="K139" s="187"/>
      <c r="L139" s="188"/>
      <c r="M139" s="39"/>
      <c r="N139" s="39"/>
      <c r="O139" s="39"/>
      <c r="P139" s="39"/>
      <c r="Q139" s="39"/>
      <c r="R139" s="39"/>
      <c r="S139" s="39"/>
      <c r="T139" s="39"/>
      <c r="AR139" s="61"/>
      <c r="AY139" s="146"/>
    </row>
    <row r="140" ht="15.75" customHeight="1">
      <c r="C140" s="98"/>
      <c r="D140" s="38"/>
      <c r="E140" s="38"/>
      <c r="F140" s="98"/>
      <c r="G140" s="39"/>
      <c r="H140" s="39"/>
      <c r="I140" s="39"/>
      <c r="J140" s="39"/>
      <c r="K140" s="187"/>
      <c r="L140" s="188"/>
      <c r="M140" s="39"/>
      <c r="N140" s="39"/>
      <c r="O140" s="39"/>
      <c r="P140" s="39"/>
      <c r="Q140" s="39"/>
      <c r="R140" s="39"/>
      <c r="S140" s="39"/>
      <c r="T140" s="39"/>
      <c r="AR140" s="61"/>
      <c r="AY140" s="146"/>
    </row>
    <row r="141" ht="15.75" customHeight="1">
      <c r="C141" s="98"/>
      <c r="D141" s="38"/>
      <c r="E141" s="38"/>
      <c r="F141" s="98"/>
      <c r="G141" s="39"/>
      <c r="H141" s="39"/>
      <c r="I141" s="39"/>
      <c r="J141" s="39"/>
      <c r="K141" s="187"/>
      <c r="L141" s="188"/>
      <c r="M141" s="39"/>
      <c r="N141" s="39"/>
      <c r="O141" s="39"/>
      <c r="P141" s="39"/>
      <c r="Q141" s="39"/>
      <c r="R141" s="39"/>
      <c r="S141" s="39"/>
      <c r="T141" s="39"/>
      <c r="AR141" s="61"/>
      <c r="AY141" s="146"/>
    </row>
    <row r="142" ht="15.75" customHeight="1">
      <c r="C142" s="98"/>
      <c r="D142" s="38"/>
      <c r="E142" s="38"/>
      <c r="F142" s="98"/>
      <c r="G142" s="39"/>
      <c r="H142" s="39"/>
      <c r="I142" s="39"/>
      <c r="J142" s="39"/>
      <c r="K142" s="187"/>
      <c r="L142" s="188"/>
      <c r="M142" s="39"/>
      <c r="N142" s="39"/>
      <c r="O142" s="39"/>
      <c r="P142" s="39"/>
      <c r="Q142" s="39"/>
      <c r="R142" s="39"/>
      <c r="S142" s="39"/>
      <c r="T142" s="39"/>
      <c r="AR142" s="61"/>
      <c r="AY142" s="146"/>
    </row>
    <row r="143" ht="15.75" customHeight="1">
      <c r="C143" s="98"/>
      <c r="D143" s="38"/>
      <c r="E143" s="38"/>
      <c r="F143" s="98"/>
      <c r="G143" s="39"/>
      <c r="H143" s="39"/>
      <c r="I143" s="39"/>
      <c r="J143" s="39"/>
      <c r="K143" s="187"/>
      <c r="L143" s="188"/>
      <c r="M143" s="39"/>
      <c r="N143" s="39"/>
      <c r="O143" s="39"/>
      <c r="P143" s="39"/>
      <c r="Q143" s="39"/>
      <c r="R143" s="39"/>
      <c r="S143" s="39"/>
      <c r="T143" s="39"/>
      <c r="AR143" s="61"/>
      <c r="AY143" s="146"/>
    </row>
    <row r="144" ht="15.75" customHeight="1">
      <c r="C144" s="98"/>
      <c r="D144" s="38"/>
      <c r="E144" s="38"/>
      <c r="F144" s="98"/>
      <c r="G144" s="39"/>
      <c r="H144" s="39"/>
      <c r="I144" s="39"/>
      <c r="J144" s="39"/>
      <c r="K144" s="187"/>
      <c r="L144" s="188"/>
      <c r="M144" s="39"/>
      <c r="N144" s="39"/>
      <c r="O144" s="39"/>
      <c r="P144" s="39"/>
      <c r="Q144" s="39"/>
      <c r="R144" s="39"/>
      <c r="S144" s="39"/>
      <c r="T144" s="39"/>
      <c r="AR144" s="61"/>
      <c r="AY144" s="146"/>
    </row>
    <row r="145" ht="15.75" customHeight="1">
      <c r="C145" s="98"/>
      <c r="D145" s="38"/>
      <c r="E145" s="38"/>
      <c r="F145" s="98"/>
      <c r="G145" s="39"/>
      <c r="H145" s="39"/>
      <c r="I145" s="39"/>
      <c r="J145" s="39"/>
      <c r="K145" s="187"/>
      <c r="L145" s="188"/>
      <c r="M145" s="39"/>
      <c r="N145" s="39"/>
      <c r="O145" s="39"/>
      <c r="P145" s="39"/>
      <c r="Q145" s="39"/>
      <c r="R145" s="39"/>
      <c r="S145" s="39"/>
      <c r="T145" s="39"/>
      <c r="AR145" s="61"/>
      <c r="AY145" s="146"/>
    </row>
    <row r="146" ht="15.75" customHeight="1">
      <c r="C146" s="98"/>
      <c r="D146" s="38"/>
      <c r="E146" s="38"/>
      <c r="F146" s="98"/>
      <c r="G146" s="39"/>
      <c r="H146" s="39"/>
      <c r="I146" s="39"/>
      <c r="J146" s="39"/>
      <c r="K146" s="187"/>
      <c r="L146" s="188"/>
      <c r="M146" s="39"/>
      <c r="N146" s="39"/>
      <c r="O146" s="39"/>
      <c r="P146" s="39"/>
      <c r="Q146" s="39"/>
      <c r="R146" s="39"/>
      <c r="S146" s="39"/>
      <c r="T146" s="39"/>
      <c r="AR146" s="61"/>
      <c r="AY146" s="146"/>
    </row>
    <row r="147" ht="15.75" customHeight="1">
      <c r="C147" s="98"/>
      <c r="D147" s="38"/>
      <c r="E147" s="38"/>
      <c r="F147" s="98"/>
      <c r="G147" s="39"/>
      <c r="H147" s="39"/>
      <c r="I147" s="39"/>
      <c r="J147" s="39"/>
      <c r="K147" s="187"/>
      <c r="L147" s="188"/>
      <c r="M147" s="39"/>
      <c r="N147" s="39"/>
      <c r="O147" s="39"/>
      <c r="P147" s="39"/>
      <c r="Q147" s="39"/>
      <c r="R147" s="39"/>
      <c r="S147" s="39"/>
      <c r="T147" s="39"/>
      <c r="AR147" s="61"/>
      <c r="AY147" s="146"/>
    </row>
    <row r="148" ht="15.75" customHeight="1">
      <c r="C148" s="98"/>
      <c r="D148" s="38"/>
      <c r="E148" s="38"/>
      <c r="F148" s="98"/>
      <c r="G148" s="39"/>
      <c r="H148" s="39"/>
      <c r="I148" s="39"/>
      <c r="J148" s="39"/>
      <c r="K148" s="187"/>
      <c r="L148" s="188"/>
      <c r="M148" s="39"/>
      <c r="N148" s="39"/>
      <c r="O148" s="39"/>
      <c r="P148" s="39"/>
      <c r="Q148" s="39"/>
      <c r="R148" s="39"/>
      <c r="S148" s="39"/>
      <c r="T148" s="39"/>
      <c r="AR148" s="61"/>
      <c r="AY148" s="146"/>
    </row>
    <row r="149" ht="15.75" customHeight="1">
      <c r="C149" s="98"/>
      <c r="D149" s="38"/>
      <c r="E149" s="38"/>
      <c r="F149" s="98"/>
      <c r="G149" s="39"/>
      <c r="H149" s="39"/>
      <c r="I149" s="39"/>
      <c r="J149" s="39"/>
      <c r="K149" s="187"/>
      <c r="L149" s="188"/>
      <c r="M149" s="39"/>
      <c r="N149" s="39"/>
      <c r="O149" s="39"/>
      <c r="P149" s="39"/>
      <c r="Q149" s="39"/>
      <c r="R149" s="39"/>
      <c r="S149" s="39"/>
      <c r="T149" s="39"/>
      <c r="AR149" s="61"/>
      <c r="AY149" s="146"/>
    </row>
    <row r="150" ht="15.75" customHeight="1">
      <c r="C150" s="98"/>
      <c r="D150" s="38"/>
      <c r="E150" s="38"/>
      <c r="F150" s="98"/>
      <c r="G150" s="39"/>
      <c r="H150" s="39"/>
      <c r="I150" s="39"/>
      <c r="J150" s="39"/>
      <c r="K150" s="187"/>
      <c r="L150" s="188"/>
      <c r="M150" s="39"/>
      <c r="N150" s="39"/>
      <c r="O150" s="39"/>
      <c r="P150" s="39"/>
      <c r="Q150" s="39"/>
      <c r="R150" s="39"/>
      <c r="S150" s="39"/>
      <c r="T150" s="39"/>
      <c r="AR150" s="61"/>
      <c r="AY150" s="146"/>
    </row>
    <row r="151" ht="15.75" customHeight="1">
      <c r="C151" s="98"/>
      <c r="D151" s="38"/>
      <c r="E151" s="38"/>
      <c r="F151" s="98"/>
      <c r="G151" s="39"/>
      <c r="H151" s="39"/>
      <c r="I151" s="39"/>
      <c r="J151" s="39"/>
      <c r="K151" s="187"/>
      <c r="L151" s="188"/>
      <c r="M151" s="39"/>
      <c r="N151" s="39"/>
      <c r="O151" s="39"/>
      <c r="P151" s="39"/>
      <c r="Q151" s="39"/>
      <c r="R151" s="39"/>
      <c r="S151" s="39"/>
      <c r="T151" s="39"/>
      <c r="AR151" s="61"/>
      <c r="AY151" s="146"/>
    </row>
    <row r="152" ht="15.75" customHeight="1">
      <c r="C152" s="98"/>
      <c r="D152" s="38"/>
      <c r="E152" s="38"/>
      <c r="F152" s="98"/>
      <c r="G152" s="39"/>
      <c r="H152" s="39"/>
      <c r="I152" s="39"/>
      <c r="J152" s="39"/>
      <c r="K152" s="187"/>
      <c r="L152" s="188"/>
      <c r="M152" s="39"/>
      <c r="N152" s="39"/>
      <c r="O152" s="39"/>
      <c r="P152" s="39"/>
      <c r="Q152" s="39"/>
      <c r="R152" s="39"/>
      <c r="S152" s="39"/>
      <c r="T152" s="39"/>
      <c r="AR152" s="61"/>
      <c r="AY152" s="146"/>
    </row>
    <row r="153" ht="15.75" customHeight="1">
      <c r="C153" s="98"/>
      <c r="D153" s="38"/>
      <c r="E153" s="38"/>
      <c r="F153" s="98"/>
      <c r="G153" s="39"/>
      <c r="H153" s="39"/>
      <c r="I153" s="39"/>
      <c r="J153" s="39"/>
      <c r="K153" s="187"/>
      <c r="L153" s="188"/>
      <c r="M153" s="39"/>
      <c r="N153" s="39"/>
      <c r="O153" s="39"/>
      <c r="P153" s="39"/>
      <c r="Q153" s="39"/>
      <c r="R153" s="39"/>
      <c r="S153" s="39"/>
      <c r="T153" s="39"/>
      <c r="AR153" s="61"/>
      <c r="AY153" s="146"/>
    </row>
    <row r="154" ht="15.75" customHeight="1">
      <c r="C154" s="98"/>
      <c r="D154" s="38"/>
      <c r="E154" s="38"/>
      <c r="F154" s="98"/>
      <c r="G154" s="39"/>
      <c r="H154" s="39"/>
      <c r="I154" s="39"/>
      <c r="J154" s="39"/>
      <c r="K154" s="187"/>
      <c r="L154" s="188"/>
      <c r="M154" s="39"/>
      <c r="N154" s="39"/>
      <c r="O154" s="39"/>
      <c r="P154" s="39"/>
      <c r="Q154" s="39"/>
      <c r="R154" s="39"/>
      <c r="S154" s="39"/>
      <c r="T154" s="39"/>
      <c r="AR154" s="61"/>
      <c r="AY154" s="146"/>
    </row>
    <row r="155" ht="15.75" customHeight="1">
      <c r="C155" s="98"/>
      <c r="D155" s="38"/>
      <c r="E155" s="38"/>
      <c r="F155" s="98"/>
      <c r="G155" s="39"/>
      <c r="H155" s="39"/>
      <c r="I155" s="39"/>
      <c r="J155" s="39"/>
      <c r="K155" s="187"/>
      <c r="L155" s="188"/>
      <c r="M155" s="39"/>
      <c r="N155" s="39"/>
      <c r="O155" s="39"/>
      <c r="P155" s="39"/>
      <c r="Q155" s="39"/>
      <c r="R155" s="39"/>
      <c r="S155" s="39"/>
      <c r="T155" s="39"/>
      <c r="AR155" s="61"/>
      <c r="AY155" s="146"/>
    </row>
    <row r="156" ht="15.75" customHeight="1">
      <c r="C156" s="98"/>
      <c r="D156" s="38"/>
      <c r="E156" s="38"/>
      <c r="F156" s="98"/>
      <c r="G156" s="39"/>
      <c r="H156" s="39"/>
      <c r="I156" s="39"/>
      <c r="J156" s="39"/>
      <c r="K156" s="187"/>
      <c r="L156" s="188"/>
      <c r="M156" s="39"/>
      <c r="N156" s="39"/>
      <c r="O156" s="39"/>
      <c r="P156" s="39"/>
      <c r="Q156" s="39"/>
      <c r="R156" s="39"/>
      <c r="S156" s="39"/>
      <c r="T156" s="39"/>
      <c r="AR156" s="61"/>
      <c r="AY156" s="146"/>
    </row>
    <row r="157" ht="15.75" customHeight="1">
      <c r="C157" s="98"/>
      <c r="D157" s="38"/>
      <c r="E157" s="38"/>
      <c r="F157" s="98"/>
      <c r="G157" s="39"/>
      <c r="H157" s="39"/>
      <c r="I157" s="39"/>
      <c r="J157" s="39"/>
      <c r="K157" s="187"/>
      <c r="L157" s="188"/>
      <c r="M157" s="39"/>
      <c r="N157" s="39"/>
      <c r="O157" s="39"/>
      <c r="P157" s="39"/>
      <c r="Q157" s="39"/>
      <c r="R157" s="39"/>
      <c r="S157" s="39"/>
      <c r="T157" s="39"/>
      <c r="AR157" s="61"/>
      <c r="AY157" s="146"/>
    </row>
    <row r="158" ht="15.75" customHeight="1">
      <c r="C158" s="98"/>
      <c r="D158" s="38"/>
      <c r="E158" s="38"/>
      <c r="F158" s="98"/>
      <c r="G158" s="39"/>
      <c r="H158" s="39"/>
      <c r="I158" s="39"/>
      <c r="J158" s="39"/>
      <c r="K158" s="187"/>
      <c r="L158" s="188"/>
      <c r="M158" s="39"/>
      <c r="N158" s="39"/>
      <c r="O158" s="39"/>
      <c r="P158" s="39"/>
      <c r="Q158" s="39"/>
      <c r="R158" s="39"/>
      <c r="S158" s="39"/>
      <c r="T158" s="39"/>
      <c r="AR158" s="61"/>
      <c r="AY158" s="146"/>
    </row>
    <row r="159" ht="15.75" customHeight="1">
      <c r="C159" s="98"/>
      <c r="D159" s="38"/>
      <c r="E159" s="38"/>
      <c r="F159" s="98"/>
      <c r="G159" s="39"/>
      <c r="H159" s="39"/>
      <c r="I159" s="39"/>
      <c r="J159" s="39"/>
      <c r="K159" s="187"/>
      <c r="L159" s="188"/>
      <c r="M159" s="39"/>
      <c r="N159" s="39"/>
      <c r="O159" s="39"/>
      <c r="P159" s="39"/>
      <c r="Q159" s="39"/>
      <c r="R159" s="39"/>
      <c r="S159" s="39"/>
      <c r="T159" s="39"/>
      <c r="AR159" s="61"/>
      <c r="AY159" s="146"/>
    </row>
    <row r="160" ht="15.75" customHeight="1">
      <c r="C160" s="98"/>
      <c r="D160" s="38"/>
      <c r="E160" s="38"/>
      <c r="F160" s="98"/>
      <c r="G160" s="39"/>
      <c r="H160" s="39"/>
      <c r="I160" s="39"/>
      <c r="J160" s="39"/>
      <c r="K160" s="187"/>
      <c r="L160" s="188"/>
      <c r="M160" s="39"/>
      <c r="N160" s="39"/>
      <c r="O160" s="39"/>
      <c r="P160" s="39"/>
      <c r="Q160" s="39"/>
      <c r="R160" s="39"/>
      <c r="S160" s="39"/>
      <c r="T160" s="39"/>
      <c r="AR160" s="61"/>
      <c r="AY160" s="146"/>
    </row>
    <row r="161" ht="15.75" customHeight="1">
      <c r="C161" s="98"/>
      <c r="D161" s="38"/>
      <c r="E161" s="38"/>
      <c r="F161" s="98"/>
      <c r="G161" s="39"/>
      <c r="H161" s="39"/>
      <c r="I161" s="39"/>
      <c r="J161" s="39"/>
      <c r="K161" s="187"/>
      <c r="L161" s="188"/>
      <c r="M161" s="39"/>
      <c r="N161" s="39"/>
      <c r="O161" s="39"/>
      <c r="P161" s="39"/>
      <c r="Q161" s="39"/>
      <c r="R161" s="39"/>
      <c r="S161" s="39"/>
      <c r="T161" s="39"/>
      <c r="AR161" s="61"/>
      <c r="AY161" s="146"/>
    </row>
    <row r="162" ht="15.75" customHeight="1">
      <c r="C162" s="98"/>
      <c r="D162" s="38"/>
      <c r="E162" s="38"/>
      <c r="F162" s="98"/>
      <c r="G162" s="39"/>
      <c r="H162" s="39"/>
      <c r="I162" s="39"/>
      <c r="J162" s="39"/>
      <c r="K162" s="187"/>
      <c r="L162" s="188"/>
      <c r="M162" s="39"/>
      <c r="N162" s="39"/>
      <c r="O162" s="39"/>
      <c r="P162" s="39"/>
      <c r="Q162" s="39"/>
      <c r="R162" s="39"/>
      <c r="S162" s="39"/>
      <c r="T162" s="39"/>
      <c r="AR162" s="61"/>
      <c r="AY162" s="146"/>
    </row>
    <row r="163" ht="15.75" customHeight="1">
      <c r="C163" s="98"/>
      <c r="D163" s="38"/>
      <c r="E163" s="38"/>
      <c r="F163" s="98"/>
      <c r="G163" s="39"/>
      <c r="H163" s="39"/>
      <c r="I163" s="39"/>
      <c r="J163" s="39"/>
      <c r="K163" s="187"/>
      <c r="L163" s="188"/>
      <c r="M163" s="39"/>
      <c r="N163" s="39"/>
      <c r="O163" s="39"/>
      <c r="P163" s="39"/>
      <c r="Q163" s="39"/>
      <c r="R163" s="39"/>
      <c r="S163" s="39"/>
      <c r="T163" s="39"/>
      <c r="AR163" s="61"/>
      <c r="AY163" s="146"/>
    </row>
    <row r="164" ht="15.75" customHeight="1">
      <c r="C164" s="98"/>
      <c r="D164" s="38"/>
      <c r="E164" s="38"/>
      <c r="F164" s="98"/>
      <c r="G164" s="39"/>
      <c r="H164" s="39"/>
      <c r="I164" s="39"/>
      <c r="J164" s="39"/>
      <c r="K164" s="187"/>
      <c r="L164" s="188"/>
      <c r="M164" s="39"/>
      <c r="N164" s="39"/>
      <c r="O164" s="39"/>
      <c r="P164" s="39"/>
      <c r="Q164" s="39"/>
      <c r="R164" s="39"/>
      <c r="S164" s="39"/>
      <c r="T164" s="39"/>
      <c r="AR164" s="61"/>
      <c r="AY164" s="146"/>
    </row>
    <row r="165" ht="15.75" customHeight="1">
      <c r="C165" s="98"/>
      <c r="D165" s="38"/>
      <c r="E165" s="38"/>
      <c r="F165" s="98"/>
      <c r="G165" s="39"/>
      <c r="H165" s="39"/>
      <c r="I165" s="39"/>
      <c r="J165" s="39"/>
      <c r="K165" s="187"/>
      <c r="L165" s="188"/>
      <c r="M165" s="39"/>
      <c r="N165" s="39"/>
      <c r="O165" s="39"/>
      <c r="P165" s="39"/>
      <c r="Q165" s="39"/>
      <c r="R165" s="39"/>
      <c r="S165" s="39"/>
      <c r="T165" s="39"/>
      <c r="AR165" s="61"/>
      <c r="AY165" s="146"/>
    </row>
    <row r="166" ht="15.75" customHeight="1">
      <c r="C166" s="98"/>
      <c r="D166" s="38"/>
      <c r="E166" s="38"/>
      <c r="F166" s="98"/>
      <c r="G166" s="39"/>
      <c r="H166" s="39"/>
      <c r="I166" s="39"/>
      <c r="J166" s="39"/>
      <c r="K166" s="187"/>
      <c r="L166" s="188"/>
      <c r="M166" s="39"/>
      <c r="N166" s="39"/>
      <c r="O166" s="39"/>
      <c r="P166" s="39"/>
      <c r="Q166" s="39"/>
      <c r="R166" s="39"/>
      <c r="S166" s="39"/>
      <c r="T166" s="39"/>
      <c r="AR166" s="61"/>
      <c r="AY166" s="146"/>
    </row>
    <row r="167" ht="15.75" customHeight="1">
      <c r="C167" s="98"/>
      <c r="D167" s="38"/>
      <c r="E167" s="38"/>
      <c r="F167" s="98"/>
      <c r="G167" s="39"/>
      <c r="H167" s="39"/>
      <c r="I167" s="39"/>
      <c r="J167" s="39"/>
      <c r="K167" s="187"/>
      <c r="L167" s="188"/>
      <c r="M167" s="39"/>
      <c r="N167" s="39"/>
      <c r="O167" s="39"/>
      <c r="P167" s="39"/>
      <c r="Q167" s="39"/>
      <c r="R167" s="39"/>
      <c r="S167" s="39"/>
      <c r="T167" s="39"/>
      <c r="AR167" s="61"/>
      <c r="AY167" s="146"/>
    </row>
    <row r="168" ht="15.75" customHeight="1">
      <c r="C168" s="98"/>
      <c r="D168" s="38"/>
      <c r="E168" s="38"/>
      <c r="F168" s="98"/>
      <c r="G168" s="39"/>
      <c r="H168" s="39"/>
      <c r="I168" s="39"/>
      <c r="J168" s="39"/>
      <c r="K168" s="187"/>
      <c r="L168" s="188"/>
      <c r="M168" s="39"/>
      <c r="N168" s="39"/>
      <c r="O168" s="39"/>
      <c r="P168" s="39"/>
      <c r="Q168" s="39"/>
      <c r="R168" s="39"/>
      <c r="S168" s="39"/>
      <c r="T168" s="39"/>
      <c r="AR168" s="61"/>
      <c r="AY168" s="146"/>
    </row>
    <row r="169" ht="15.75" customHeight="1">
      <c r="C169" s="98"/>
      <c r="D169" s="38"/>
      <c r="E169" s="38"/>
      <c r="F169" s="98"/>
      <c r="G169" s="39"/>
      <c r="H169" s="39"/>
      <c r="I169" s="39"/>
      <c r="J169" s="39"/>
      <c r="K169" s="187"/>
      <c r="L169" s="188"/>
      <c r="M169" s="39"/>
      <c r="N169" s="39"/>
      <c r="O169" s="39"/>
      <c r="P169" s="39"/>
      <c r="Q169" s="39"/>
      <c r="R169" s="39"/>
      <c r="S169" s="39"/>
      <c r="T169" s="39"/>
      <c r="AR169" s="61"/>
      <c r="AY169" s="146"/>
    </row>
    <row r="170" ht="15.75" customHeight="1">
      <c r="C170" s="98"/>
      <c r="D170" s="38"/>
      <c r="E170" s="38"/>
      <c r="F170" s="98"/>
      <c r="G170" s="39"/>
      <c r="H170" s="39"/>
      <c r="I170" s="39"/>
      <c r="J170" s="39"/>
      <c r="K170" s="187"/>
      <c r="L170" s="188"/>
      <c r="M170" s="39"/>
      <c r="N170" s="39"/>
      <c r="O170" s="39"/>
      <c r="P170" s="39"/>
      <c r="Q170" s="39"/>
      <c r="R170" s="39"/>
      <c r="S170" s="39"/>
      <c r="T170" s="39"/>
      <c r="AR170" s="61"/>
      <c r="AY170" s="146"/>
    </row>
    <row r="171" ht="15.75" customHeight="1">
      <c r="C171" s="98"/>
      <c r="D171" s="38"/>
      <c r="E171" s="38"/>
      <c r="F171" s="98"/>
      <c r="G171" s="39"/>
      <c r="H171" s="39"/>
      <c r="I171" s="39"/>
      <c r="J171" s="39"/>
      <c r="K171" s="187"/>
      <c r="L171" s="188"/>
      <c r="M171" s="39"/>
      <c r="N171" s="39"/>
      <c r="O171" s="39"/>
      <c r="P171" s="39"/>
      <c r="Q171" s="39"/>
      <c r="R171" s="39"/>
      <c r="S171" s="39"/>
      <c r="T171" s="39"/>
      <c r="AR171" s="61"/>
      <c r="AY171" s="146"/>
    </row>
    <row r="172" ht="15.75" customHeight="1">
      <c r="C172" s="98"/>
      <c r="D172" s="38"/>
      <c r="E172" s="38"/>
      <c r="F172" s="98"/>
      <c r="G172" s="39"/>
      <c r="H172" s="39"/>
      <c r="I172" s="39"/>
      <c r="J172" s="39"/>
      <c r="K172" s="187"/>
      <c r="L172" s="188"/>
      <c r="M172" s="39"/>
      <c r="N172" s="39"/>
      <c r="O172" s="39"/>
      <c r="P172" s="39"/>
      <c r="Q172" s="39"/>
      <c r="R172" s="39"/>
      <c r="S172" s="39"/>
      <c r="T172" s="39"/>
      <c r="AR172" s="61"/>
      <c r="AY172" s="146"/>
    </row>
    <row r="173" ht="15.75" customHeight="1">
      <c r="C173" s="98"/>
      <c r="D173" s="38"/>
      <c r="E173" s="38"/>
      <c r="F173" s="98"/>
      <c r="G173" s="39"/>
      <c r="H173" s="39"/>
      <c r="I173" s="39"/>
      <c r="J173" s="39"/>
      <c r="K173" s="187"/>
      <c r="L173" s="188"/>
      <c r="M173" s="39"/>
      <c r="N173" s="39"/>
      <c r="O173" s="39"/>
      <c r="P173" s="39"/>
      <c r="Q173" s="39"/>
      <c r="R173" s="39"/>
      <c r="S173" s="39"/>
      <c r="T173" s="39"/>
      <c r="AR173" s="61"/>
      <c r="AY173" s="146"/>
    </row>
    <row r="174" ht="15.75" customHeight="1">
      <c r="C174" s="98"/>
      <c r="D174" s="38"/>
      <c r="E174" s="38"/>
      <c r="F174" s="98"/>
      <c r="G174" s="39"/>
      <c r="H174" s="39"/>
      <c r="I174" s="39"/>
      <c r="J174" s="39"/>
      <c r="K174" s="187"/>
      <c r="L174" s="188"/>
      <c r="M174" s="39"/>
      <c r="N174" s="39"/>
      <c r="O174" s="39"/>
      <c r="P174" s="39"/>
      <c r="Q174" s="39"/>
      <c r="R174" s="39"/>
      <c r="S174" s="39"/>
      <c r="T174" s="39"/>
      <c r="AR174" s="61"/>
      <c r="AY174" s="146"/>
    </row>
    <row r="175" ht="15.75" customHeight="1">
      <c r="C175" s="98"/>
      <c r="D175" s="38"/>
      <c r="E175" s="38"/>
      <c r="F175" s="98"/>
      <c r="G175" s="39"/>
      <c r="H175" s="39"/>
      <c r="I175" s="39"/>
      <c r="J175" s="39"/>
      <c r="K175" s="187"/>
      <c r="L175" s="188"/>
      <c r="M175" s="39"/>
      <c r="N175" s="39"/>
      <c r="O175" s="39"/>
      <c r="P175" s="39"/>
      <c r="Q175" s="39"/>
      <c r="R175" s="39"/>
      <c r="S175" s="39"/>
      <c r="T175" s="39"/>
      <c r="AR175" s="61"/>
      <c r="AY175" s="146"/>
    </row>
    <row r="176" ht="15.75" customHeight="1">
      <c r="C176" s="98"/>
      <c r="D176" s="38"/>
      <c r="E176" s="38"/>
      <c r="F176" s="98"/>
      <c r="G176" s="39"/>
      <c r="H176" s="39"/>
      <c r="I176" s="39"/>
      <c r="J176" s="39"/>
      <c r="K176" s="187"/>
      <c r="L176" s="188"/>
      <c r="M176" s="39"/>
      <c r="N176" s="39"/>
      <c r="O176" s="39"/>
      <c r="P176" s="39"/>
      <c r="Q176" s="39"/>
      <c r="R176" s="39"/>
      <c r="S176" s="39"/>
      <c r="T176" s="39"/>
      <c r="AR176" s="61"/>
      <c r="AY176" s="146"/>
    </row>
    <row r="177" ht="15.75" customHeight="1">
      <c r="C177" s="98"/>
      <c r="D177" s="38"/>
      <c r="E177" s="38"/>
      <c r="F177" s="98"/>
      <c r="G177" s="39"/>
      <c r="H177" s="39"/>
      <c r="I177" s="39"/>
      <c r="J177" s="39"/>
      <c r="K177" s="187"/>
      <c r="L177" s="188"/>
      <c r="M177" s="39"/>
      <c r="N177" s="39"/>
      <c r="O177" s="39"/>
      <c r="P177" s="39"/>
      <c r="Q177" s="39"/>
      <c r="R177" s="39"/>
      <c r="S177" s="39"/>
      <c r="T177" s="39"/>
      <c r="AR177" s="61"/>
      <c r="AY177" s="146"/>
    </row>
    <row r="178" ht="15.75" customHeight="1">
      <c r="C178" s="98"/>
      <c r="D178" s="38"/>
      <c r="E178" s="38"/>
      <c r="F178" s="98"/>
      <c r="G178" s="39"/>
      <c r="H178" s="39"/>
      <c r="I178" s="39"/>
      <c r="J178" s="39"/>
      <c r="K178" s="187"/>
      <c r="L178" s="188"/>
      <c r="M178" s="39"/>
      <c r="N178" s="39"/>
      <c r="O178" s="39"/>
      <c r="P178" s="39"/>
      <c r="Q178" s="39"/>
      <c r="R178" s="39"/>
      <c r="S178" s="39"/>
      <c r="T178" s="39"/>
      <c r="AR178" s="61"/>
      <c r="AY178" s="146"/>
    </row>
    <row r="179" ht="15.75" customHeight="1">
      <c r="C179" s="98"/>
      <c r="D179" s="38"/>
      <c r="E179" s="38"/>
      <c r="F179" s="98"/>
      <c r="G179" s="39"/>
      <c r="H179" s="39"/>
      <c r="I179" s="39"/>
      <c r="J179" s="39"/>
      <c r="K179" s="187"/>
      <c r="L179" s="188"/>
      <c r="M179" s="39"/>
      <c r="N179" s="39"/>
      <c r="O179" s="39"/>
      <c r="P179" s="39"/>
      <c r="Q179" s="39"/>
      <c r="R179" s="39"/>
      <c r="S179" s="39"/>
      <c r="T179" s="39"/>
      <c r="AR179" s="61"/>
      <c r="AY179" s="146"/>
    </row>
    <row r="180" ht="15.75" customHeight="1">
      <c r="C180" s="98"/>
      <c r="D180" s="38"/>
      <c r="E180" s="38"/>
      <c r="F180" s="98"/>
      <c r="G180" s="39"/>
      <c r="H180" s="39"/>
      <c r="I180" s="39"/>
      <c r="J180" s="39"/>
      <c r="K180" s="187"/>
      <c r="L180" s="188"/>
      <c r="M180" s="39"/>
      <c r="N180" s="39"/>
      <c r="O180" s="39"/>
      <c r="P180" s="39"/>
      <c r="Q180" s="39"/>
      <c r="R180" s="39"/>
      <c r="S180" s="39"/>
      <c r="T180" s="39"/>
      <c r="AR180" s="61"/>
      <c r="AY180" s="146"/>
    </row>
    <row r="181" ht="15.75" customHeight="1">
      <c r="C181" s="98"/>
      <c r="D181" s="38"/>
      <c r="E181" s="38"/>
      <c r="F181" s="98"/>
      <c r="G181" s="39"/>
      <c r="H181" s="39"/>
      <c r="I181" s="39"/>
      <c r="J181" s="39"/>
      <c r="K181" s="187"/>
      <c r="L181" s="188"/>
      <c r="M181" s="39"/>
      <c r="N181" s="39"/>
      <c r="O181" s="39"/>
      <c r="P181" s="39"/>
      <c r="Q181" s="39"/>
      <c r="R181" s="39"/>
      <c r="S181" s="39"/>
      <c r="T181" s="39"/>
      <c r="AR181" s="61"/>
      <c r="AY181" s="146"/>
    </row>
    <row r="182" ht="15.75" customHeight="1">
      <c r="C182" s="98"/>
      <c r="D182" s="38"/>
      <c r="E182" s="38"/>
      <c r="F182" s="98"/>
      <c r="G182" s="39"/>
      <c r="H182" s="39"/>
      <c r="I182" s="39"/>
      <c r="J182" s="39"/>
      <c r="K182" s="187"/>
      <c r="L182" s="188"/>
      <c r="M182" s="39"/>
      <c r="N182" s="39"/>
      <c r="O182" s="39"/>
      <c r="P182" s="39"/>
      <c r="Q182" s="39"/>
      <c r="R182" s="39"/>
      <c r="S182" s="39"/>
      <c r="T182" s="39"/>
      <c r="AR182" s="61"/>
      <c r="AY182" s="146"/>
    </row>
    <row r="183" ht="15.75" customHeight="1">
      <c r="C183" s="98"/>
      <c r="D183" s="38"/>
      <c r="E183" s="38"/>
      <c r="F183" s="98"/>
      <c r="G183" s="39"/>
      <c r="H183" s="39"/>
      <c r="I183" s="39"/>
      <c r="J183" s="39"/>
      <c r="K183" s="187"/>
      <c r="L183" s="188"/>
      <c r="M183" s="39"/>
      <c r="N183" s="39"/>
      <c r="O183" s="39"/>
      <c r="P183" s="39"/>
      <c r="Q183" s="39"/>
      <c r="R183" s="39"/>
      <c r="S183" s="39"/>
      <c r="T183" s="39"/>
      <c r="AR183" s="61"/>
      <c r="AY183" s="146"/>
    </row>
    <row r="184" ht="15.75" customHeight="1">
      <c r="C184" s="98"/>
      <c r="D184" s="38"/>
      <c r="E184" s="38"/>
      <c r="F184" s="98"/>
      <c r="G184" s="39"/>
      <c r="H184" s="39"/>
      <c r="I184" s="39"/>
      <c r="J184" s="39"/>
      <c r="K184" s="187"/>
      <c r="L184" s="188"/>
      <c r="M184" s="39"/>
      <c r="N184" s="39"/>
      <c r="O184" s="39"/>
      <c r="P184" s="39"/>
      <c r="Q184" s="39"/>
      <c r="R184" s="39"/>
      <c r="S184" s="39"/>
      <c r="T184" s="39"/>
      <c r="AR184" s="61"/>
      <c r="AY184" s="146"/>
    </row>
    <row r="185" ht="15.75" customHeight="1">
      <c r="C185" s="98"/>
      <c r="D185" s="38"/>
      <c r="E185" s="38"/>
      <c r="F185" s="98"/>
      <c r="G185" s="39"/>
      <c r="H185" s="39"/>
      <c r="I185" s="39"/>
      <c r="J185" s="39"/>
      <c r="K185" s="187"/>
      <c r="L185" s="188"/>
      <c r="M185" s="39"/>
      <c r="N185" s="39"/>
      <c r="O185" s="39"/>
      <c r="P185" s="39"/>
      <c r="Q185" s="39"/>
      <c r="R185" s="39"/>
      <c r="S185" s="39"/>
      <c r="T185" s="39"/>
      <c r="AR185" s="61"/>
      <c r="AY185" s="146"/>
    </row>
    <row r="186" ht="15.75" customHeight="1">
      <c r="C186" s="98"/>
      <c r="D186" s="38"/>
      <c r="E186" s="38"/>
      <c r="F186" s="98"/>
      <c r="G186" s="39"/>
      <c r="H186" s="39"/>
      <c r="I186" s="39"/>
      <c r="J186" s="39"/>
      <c r="K186" s="187"/>
      <c r="L186" s="188"/>
      <c r="M186" s="39"/>
      <c r="N186" s="39"/>
      <c r="O186" s="39"/>
      <c r="P186" s="39"/>
      <c r="Q186" s="39"/>
      <c r="R186" s="39"/>
      <c r="S186" s="39"/>
      <c r="T186" s="39"/>
      <c r="AR186" s="61"/>
      <c r="AY186" s="146"/>
    </row>
    <row r="187" ht="15.75" customHeight="1">
      <c r="C187" s="98"/>
      <c r="D187" s="38"/>
      <c r="E187" s="38"/>
      <c r="F187" s="98"/>
      <c r="G187" s="39"/>
      <c r="H187" s="39"/>
      <c r="I187" s="39"/>
      <c r="J187" s="39"/>
      <c r="K187" s="187"/>
      <c r="L187" s="188"/>
      <c r="M187" s="39"/>
      <c r="N187" s="39"/>
      <c r="O187" s="39"/>
      <c r="P187" s="39"/>
      <c r="Q187" s="39"/>
      <c r="R187" s="39"/>
      <c r="S187" s="39"/>
      <c r="T187" s="39"/>
      <c r="AR187" s="61"/>
      <c r="AY187" s="146"/>
    </row>
    <row r="188" ht="15.75" customHeight="1">
      <c r="C188" s="98"/>
      <c r="D188" s="38"/>
      <c r="E188" s="38"/>
      <c r="F188" s="98"/>
      <c r="G188" s="39"/>
      <c r="H188" s="39"/>
      <c r="I188" s="39"/>
      <c r="J188" s="39"/>
      <c r="K188" s="187"/>
      <c r="L188" s="188"/>
      <c r="M188" s="39"/>
      <c r="N188" s="39"/>
      <c r="O188" s="39"/>
      <c r="P188" s="39"/>
      <c r="Q188" s="39"/>
      <c r="R188" s="39"/>
      <c r="S188" s="39"/>
      <c r="T188" s="39"/>
      <c r="AR188" s="61"/>
      <c r="AY188" s="146"/>
    </row>
    <row r="189" ht="15.75" customHeight="1">
      <c r="C189" s="98"/>
      <c r="D189" s="38"/>
      <c r="E189" s="38"/>
      <c r="F189" s="98"/>
      <c r="G189" s="39"/>
      <c r="H189" s="39"/>
      <c r="I189" s="39"/>
      <c r="J189" s="39"/>
      <c r="K189" s="187"/>
      <c r="L189" s="188"/>
      <c r="M189" s="39"/>
      <c r="N189" s="39"/>
      <c r="O189" s="39"/>
      <c r="P189" s="39"/>
      <c r="Q189" s="39"/>
      <c r="R189" s="39"/>
      <c r="S189" s="39"/>
      <c r="T189" s="39"/>
      <c r="AR189" s="61"/>
      <c r="AY189" s="146"/>
    </row>
    <row r="190" ht="15.75" customHeight="1">
      <c r="C190" s="98"/>
      <c r="D190" s="38"/>
      <c r="E190" s="38"/>
      <c r="F190" s="98"/>
      <c r="G190" s="39"/>
      <c r="H190" s="39"/>
      <c r="I190" s="39"/>
      <c r="J190" s="39"/>
      <c r="K190" s="187"/>
      <c r="L190" s="188"/>
      <c r="M190" s="39"/>
      <c r="N190" s="39"/>
      <c r="O190" s="39"/>
      <c r="P190" s="39"/>
      <c r="Q190" s="39"/>
      <c r="R190" s="39"/>
      <c r="S190" s="39"/>
      <c r="T190" s="39"/>
      <c r="AR190" s="61"/>
      <c r="AY190" s="146"/>
    </row>
    <row r="191" ht="15.75" customHeight="1">
      <c r="C191" s="98"/>
      <c r="D191" s="38"/>
      <c r="E191" s="38"/>
      <c r="F191" s="98"/>
      <c r="G191" s="39"/>
      <c r="H191" s="39"/>
      <c r="I191" s="39"/>
      <c r="J191" s="39"/>
      <c r="K191" s="187"/>
      <c r="L191" s="188"/>
      <c r="M191" s="39"/>
      <c r="N191" s="39"/>
      <c r="O191" s="39"/>
      <c r="P191" s="39"/>
      <c r="Q191" s="39"/>
      <c r="R191" s="39"/>
      <c r="S191" s="39"/>
      <c r="T191" s="39"/>
      <c r="AR191" s="61"/>
      <c r="AY191" s="146"/>
    </row>
    <row r="192" ht="15.75" customHeight="1">
      <c r="C192" s="98"/>
      <c r="D192" s="38"/>
      <c r="E192" s="38"/>
      <c r="F192" s="98"/>
      <c r="G192" s="39"/>
      <c r="H192" s="39"/>
      <c r="I192" s="39"/>
      <c r="J192" s="39"/>
      <c r="K192" s="187"/>
      <c r="L192" s="188"/>
      <c r="M192" s="39"/>
      <c r="N192" s="39"/>
      <c r="O192" s="39"/>
      <c r="P192" s="39"/>
      <c r="Q192" s="39"/>
      <c r="R192" s="39"/>
      <c r="S192" s="39"/>
      <c r="T192" s="39"/>
      <c r="AR192" s="61"/>
      <c r="AY192" s="146"/>
    </row>
    <row r="193" ht="15.75" customHeight="1">
      <c r="C193" s="98"/>
      <c r="D193" s="38"/>
      <c r="E193" s="38"/>
      <c r="F193" s="98"/>
      <c r="G193" s="39"/>
      <c r="H193" s="39"/>
      <c r="I193" s="39"/>
      <c r="J193" s="39"/>
      <c r="K193" s="187"/>
      <c r="L193" s="188"/>
      <c r="M193" s="39"/>
      <c r="N193" s="39"/>
      <c r="O193" s="39"/>
      <c r="P193" s="39"/>
      <c r="Q193" s="39"/>
      <c r="R193" s="39"/>
      <c r="S193" s="39"/>
      <c r="T193" s="39"/>
      <c r="AR193" s="61"/>
      <c r="AY193" s="146"/>
    </row>
    <row r="194" ht="15.75" customHeight="1">
      <c r="C194" s="98"/>
      <c r="D194" s="38"/>
      <c r="E194" s="38"/>
      <c r="F194" s="98"/>
      <c r="G194" s="39"/>
      <c r="H194" s="39"/>
      <c r="I194" s="39"/>
      <c r="J194" s="39"/>
      <c r="K194" s="187"/>
      <c r="L194" s="188"/>
      <c r="M194" s="39"/>
      <c r="N194" s="39"/>
      <c r="O194" s="39"/>
      <c r="P194" s="39"/>
      <c r="Q194" s="39"/>
      <c r="R194" s="39"/>
      <c r="S194" s="39"/>
      <c r="T194" s="39"/>
      <c r="AR194" s="61"/>
      <c r="AY194" s="146"/>
    </row>
    <row r="195" ht="15.75" customHeight="1">
      <c r="C195" s="98"/>
      <c r="D195" s="38"/>
      <c r="E195" s="38"/>
      <c r="F195" s="98"/>
      <c r="G195" s="39"/>
      <c r="H195" s="39"/>
      <c r="I195" s="39"/>
      <c r="J195" s="39"/>
      <c r="K195" s="187"/>
      <c r="L195" s="188"/>
      <c r="M195" s="39"/>
      <c r="N195" s="39"/>
      <c r="O195" s="39"/>
      <c r="P195" s="39"/>
      <c r="Q195" s="39"/>
      <c r="R195" s="39"/>
      <c r="S195" s="39"/>
      <c r="T195" s="39"/>
      <c r="AR195" s="61"/>
      <c r="AY195" s="146"/>
    </row>
    <row r="196" ht="15.75" customHeight="1">
      <c r="C196" s="98"/>
      <c r="D196" s="38"/>
      <c r="E196" s="38"/>
      <c r="F196" s="98"/>
      <c r="G196" s="39"/>
      <c r="H196" s="39"/>
      <c r="I196" s="39"/>
      <c r="J196" s="39"/>
      <c r="K196" s="187"/>
      <c r="L196" s="188"/>
      <c r="M196" s="39"/>
      <c r="N196" s="39"/>
      <c r="O196" s="39"/>
      <c r="P196" s="39"/>
      <c r="Q196" s="39"/>
      <c r="R196" s="39"/>
      <c r="S196" s="39"/>
      <c r="T196" s="39"/>
      <c r="AR196" s="61"/>
      <c r="AY196" s="146"/>
    </row>
    <row r="197" ht="15.75" customHeight="1">
      <c r="C197" s="98"/>
      <c r="D197" s="38"/>
      <c r="E197" s="38"/>
      <c r="F197" s="98"/>
      <c r="G197" s="39"/>
      <c r="H197" s="39"/>
      <c r="I197" s="39"/>
      <c r="J197" s="39"/>
      <c r="K197" s="187"/>
      <c r="L197" s="188"/>
      <c r="M197" s="39"/>
      <c r="N197" s="39"/>
      <c r="O197" s="39"/>
      <c r="P197" s="39"/>
      <c r="Q197" s="39"/>
      <c r="R197" s="39"/>
      <c r="S197" s="39"/>
      <c r="T197" s="39"/>
      <c r="AR197" s="61"/>
      <c r="AY197" s="146"/>
    </row>
    <row r="198" ht="15.75" customHeight="1">
      <c r="C198" s="98"/>
      <c r="D198" s="38"/>
      <c r="E198" s="38"/>
      <c r="F198" s="98"/>
      <c r="G198" s="39"/>
      <c r="H198" s="39"/>
      <c r="I198" s="39"/>
      <c r="J198" s="39"/>
      <c r="K198" s="187"/>
      <c r="L198" s="188"/>
      <c r="M198" s="39"/>
      <c r="N198" s="39"/>
      <c r="O198" s="39"/>
      <c r="P198" s="39"/>
      <c r="Q198" s="39"/>
      <c r="R198" s="39"/>
      <c r="S198" s="39"/>
      <c r="T198" s="39"/>
      <c r="AR198" s="61"/>
      <c r="AY198" s="146"/>
    </row>
    <row r="199" ht="15.75" customHeight="1">
      <c r="C199" s="98"/>
      <c r="D199" s="38"/>
      <c r="E199" s="38"/>
      <c r="F199" s="98"/>
      <c r="G199" s="39"/>
      <c r="H199" s="39"/>
      <c r="I199" s="39"/>
      <c r="J199" s="39"/>
      <c r="K199" s="187"/>
      <c r="L199" s="188"/>
      <c r="M199" s="39"/>
      <c r="N199" s="39"/>
      <c r="O199" s="39"/>
      <c r="P199" s="39"/>
      <c r="Q199" s="39"/>
      <c r="R199" s="39"/>
      <c r="S199" s="39"/>
      <c r="T199" s="39"/>
      <c r="AR199" s="61"/>
      <c r="AY199" s="146"/>
    </row>
    <row r="200" ht="15.75" customHeight="1">
      <c r="C200" s="98"/>
      <c r="D200" s="38"/>
      <c r="E200" s="38"/>
      <c r="F200" s="98"/>
      <c r="G200" s="39"/>
      <c r="H200" s="39"/>
      <c r="I200" s="39"/>
      <c r="J200" s="39"/>
      <c r="K200" s="187"/>
      <c r="L200" s="188"/>
      <c r="M200" s="39"/>
      <c r="N200" s="39"/>
      <c r="O200" s="39"/>
      <c r="P200" s="39"/>
      <c r="Q200" s="39"/>
      <c r="R200" s="39"/>
      <c r="S200" s="39"/>
      <c r="T200" s="39"/>
      <c r="AR200" s="61"/>
      <c r="AY200" s="146"/>
    </row>
    <row r="201" ht="15.75" customHeight="1">
      <c r="C201" s="98"/>
      <c r="D201" s="38"/>
      <c r="E201" s="38"/>
      <c r="F201" s="98"/>
      <c r="G201" s="39"/>
      <c r="H201" s="39"/>
      <c r="I201" s="39"/>
      <c r="J201" s="39"/>
      <c r="K201" s="187"/>
      <c r="L201" s="188"/>
      <c r="M201" s="39"/>
      <c r="N201" s="39"/>
      <c r="O201" s="39"/>
      <c r="P201" s="39"/>
      <c r="Q201" s="39"/>
      <c r="R201" s="39"/>
      <c r="S201" s="39"/>
      <c r="T201" s="39"/>
      <c r="AR201" s="61"/>
      <c r="AY201" s="146"/>
    </row>
    <row r="202" ht="15.75" customHeight="1">
      <c r="C202" s="98"/>
      <c r="D202" s="38"/>
      <c r="E202" s="38"/>
      <c r="F202" s="98"/>
      <c r="G202" s="39"/>
      <c r="H202" s="39"/>
      <c r="I202" s="39"/>
      <c r="J202" s="39"/>
      <c r="K202" s="187"/>
      <c r="L202" s="188"/>
      <c r="M202" s="39"/>
      <c r="N202" s="39"/>
      <c r="O202" s="39"/>
      <c r="P202" s="39"/>
      <c r="Q202" s="39"/>
      <c r="R202" s="39"/>
      <c r="S202" s="39"/>
      <c r="T202" s="39"/>
      <c r="AR202" s="61"/>
      <c r="AY202" s="146"/>
    </row>
    <row r="203" ht="15.75" customHeight="1">
      <c r="C203" s="98"/>
      <c r="D203" s="38"/>
      <c r="E203" s="38"/>
      <c r="F203" s="98"/>
      <c r="G203" s="39"/>
      <c r="H203" s="39"/>
      <c r="I203" s="39"/>
      <c r="J203" s="39"/>
      <c r="K203" s="187"/>
      <c r="L203" s="188"/>
      <c r="M203" s="39"/>
      <c r="N203" s="39"/>
      <c r="O203" s="39"/>
      <c r="P203" s="39"/>
      <c r="Q203" s="39"/>
      <c r="R203" s="39"/>
      <c r="S203" s="39"/>
      <c r="T203" s="39"/>
      <c r="AR203" s="61"/>
      <c r="AY203" s="146"/>
    </row>
    <row r="204" ht="15.75" customHeight="1">
      <c r="C204" s="98"/>
      <c r="D204" s="38"/>
      <c r="E204" s="38"/>
      <c r="F204" s="98"/>
      <c r="G204" s="39"/>
      <c r="H204" s="39"/>
      <c r="I204" s="39"/>
      <c r="J204" s="39"/>
      <c r="K204" s="187"/>
      <c r="L204" s="188"/>
      <c r="M204" s="39"/>
      <c r="N204" s="39"/>
      <c r="O204" s="39"/>
      <c r="P204" s="39"/>
      <c r="Q204" s="39"/>
      <c r="R204" s="39"/>
      <c r="S204" s="39"/>
      <c r="T204" s="39"/>
      <c r="AR204" s="61"/>
      <c r="AY204" s="146"/>
    </row>
    <row r="205" ht="15.75" customHeight="1">
      <c r="C205" s="98"/>
      <c r="D205" s="38"/>
      <c r="E205" s="38"/>
      <c r="F205" s="98"/>
      <c r="G205" s="39"/>
      <c r="H205" s="39"/>
      <c r="I205" s="39"/>
      <c r="J205" s="39"/>
      <c r="K205" s="187"/>
      <c r="L205" s="188"/>
      <c r="M205" s="39"/>
      <c r="N205" s="39"/>
      <c r="O205" s="39"/>
      <c r="P205" s="39"/>
      <c r="Q205" s="39"/>
      <c r="R205" s="39"/>
      <c r="S205" s="39"/>
      <c r="T205" s="39"/>
      <c r="AR205" s="61"/>
      <c r="AY205" s="146"/>
    </row>
    <row r="206" ht="15.75" customHeight="1">
      <c r="C206" s="98"/>
      <c r="D206" s="38"/>
      <c r="E206" s="38"/>
      <c r="F206" s="98"/>
      <c r="G206" s="39"/>
      <c r="H206" s="39"/>
      <c r="I206" s="39"/>
      <c r="J206" s="39"/>
      <c r="K206" s="187"/>
      <c r="L206" s="188"/>
      <c r="M206" s="39"/>
      <c r="N206" s="39"/>
      <c r="O206" s="39"/>
      <c r="P206" s="39"/>
      <c r="Q206" s="39"/>
      <c r="R206" s="39"/>
      <c r="S206" s="39"/>
      <c r="T206" s="39"/>
      <c r="AR206" s="61"/>
      <c r="AY206" s="146"/>
    </row>
    <row r="207" ht="15.75" customHeight="1">
      <c r="C207" s="98"/>
      <c r="D207" s="38"/>
      <c r="E207" s="38"/>
      <c r="F207" s="98"/>
      <c r="G207" s="39"/>
      <c r="H207" s="39"/>
      <c r="I207" s="39"/>
      <c r="J207" s="39"/>
      <c r="K207" s="187"/>
      <c r="L207" s="188"/>
      <c r="M207" s="39"/>
      <c r="N207" s="39"/>
      <c r="O207" s="39"/>
      <c r="P207" s="39"/>
      <c r="Q207" s="39"/>
      <c r="R207" s="39"/>
      <c r="S207" s="39"/>
      <c r="T207" s="39"/>
      <c r="AR207" s="61"/>
      <c r="AY207" s="146"/>
    </row>
    <row r="208" ht="15.75" customHeight="1">
      <c r="C208" s="98"/>
      <c r="D208" s="38"/>
      <c r="E208" s="38"/>
      <c r="F208" s="98"/>
      <c r="G208" s="39"/>
      <c r="H208" s="39"/>
      <c r="I208" s="39"/>
      <c r="J208" s="39"/>
      <c r="K208" s="187"/>
      <c r="L208" s="188"/>
      <c r="M208" s="39"/>
      <c r="N208" s="39"/>
      <c r="O208" s="39"/>
      <c r="P208" s="39"/>
      <c r="Q208" s="39"/>
      <c r="R208" s="39"/>
      <c r="S208" s="39"/>
      <c r="T208" s="39"/>
      <c r="AR208" s="61"/>
      <c r="AY208" s="146"/>
    </row>
    <row r="209" ht="15.75" customHeight="1">
      <c r="C209" s="98"/>
      <c r="D209" s="38"/>
      <c r="E209" s="38"/>
      <c r="F209" s="98"/>
      <c r="G209" s="39"/>
      <c r="H209" s="39"/>
      <c r="I209" s="39"/>
      <c r="J209" s="39"/>
      <c r="K209" s="187"/>
      <c r="L209" s="188"/>
      <c r="M209" s="39"/>
      <c r="N209" s="39"/>
      <c r="O209" s="39"/>
      <c r="P209" s="39"/>
      <c r="Q209" s="39"/>
      <c r="R209" s="39"/>
      <c r="S209" s="39"/>
      <c r="T209" s="39"/>
      <c r="AR209" s="61"/>
      <c r="AY209" s="146"/>
    </row>
    <row r="210" ht="15.75" customHeight="1">
      <c r="C210" s="98"/>
      <c r="D210" s="38"/>
      <c r="E210" s="38"/>
      <c r="F210" s="98"/>
      <c r="G210" s="39"/>
      <c r="H210" s="39"/>
      <c r="I210" s="39"/>
      <c r="J210" s="39"/>
      <c r="K210" s="187"/>
      <c r="L210" s="188"/>
      <c r="M210" s="39"/>
      <c r="N210" s="39"/>
      <c r="O210" s="39"/>
      <c r="P210" s="39"/>
      <c r="Q210" s="39"/>
      <c r="R210" s="39"/>
      <c r="S210" s="39"/>
      <c r="T210" s="39"/>
      <c r="AR210" s="61"/>
      <c r="AY210" s="146"/>
    </row>
    <row r="211" ht="15.75" customHeight="1">
      <c r="C211" s="98"/>
      <c r="D211" s="38"/>
      <c r="E211" s="38"/>
      <c r="F211" s="98"/>
      <c r="G211" s="39"/>
      <c r="H211" s="39"/>
      <c r="I211" s="39"/>
      <c r="J211" s="39"/>
      <c r="K211" s="187"/>
      <c r="L211" s="188"/>
      <c r="M211" s="39"/>
      <c r="N211" s="39"/>
      <c r="O211" s="39"/>
      <c r="P211" s="39"/>
      <c r="Q211" s="39"/>
      <c r="R211" s="39"/>
      <c r="S211" s="39"/>
      <c r="T211" s="39"/>
      <c r="AR211" s="61"/>
      <c r="AY211" s="146"/>
    </row>
    <row r="212" ht="15.75" customHeight="1">
      <c r="C212" s="98"/>
      <c r="D212" s="38"/>
      <c r="E212" s="38"/>
      <c r="F212" s="98"/>
      <c r="G212" s="39"/>
      <c r="H212" s="39"/>
      <c r="I212" s="39"/>
      <c r="J212" s="39"/>
      <c r="K212" s="187"/>
      <c r="L212" s="188"/>
      <c r="M212" s="39"/>
      <c r="N212" s="39"/>
      <c r="O212" s="39"/>
      <c r="P212" s="39"/>
      <c r="Q212" s="39"/>
      <c r="R212" s="39"/>
      <c r="S212" s="39"/>
      <c r="T212" s="39"/>
      <c r="AR212" s="61"/>
      <c r="AY212" s="146"/>
    </row>
    <row r="213" ht="15.75" customHeight="1">
      <c r="C213" s="98"/>
      <c r="D213" s="38"/>
      <c r="E213" s="38"/>
      <c r="F213" s="98"/>
      <c r="G213" s="39"/>
      <c r="H213" s="39"/>
      <c r="I213" s="39"/>
      <c r="J213" s="39"/>
      <c r="K213" s="187"/>
      <c r="L213" s="188"/>
      <c r="M213" s="39"/>
      <c r="N213" s="39"/>
      <c r="O213" s="39"/>
      <c r="P213" s="39"/>
      <c r="Q213" s="39"/>
      <c r="R213" s="39"/>
      <c r="S213" s="39"/>
      <c r="T213" s="39"/>
      <c r="AR213" s="61"/>
      <c r="AY213" s="146"/>
    </row>
    <row r="214" ht="15.75" customHeight="1">
      <c r="C214" s="98"/>
      <c r="D214" s="38"/>
      <c r="E214" s="38"/>
      <c r="F214" s="98"/>
      <c r="G214" s="39"/>
      <c r="H214" s="39"/>
      <c r="I214" s="39"/>
      <c r="J214" s="39"/>
      <c r="K214" s="187"/>
      <c r="L214" s="188"/>
      <c r="M214" s="39"/>
      <c r="N214" s="39"/>
      <c r="O214" s="39"/>
      <c r="P214" s="39"/>
      <c r="Q214" s="39"/>
      <c r="R214" s="39"/>
      <c r="S214" s="39"/>
      <c r="T214" s="39"/>
      <c r="AR214" s="61"/>
      <c r="AY214" s="146"/>
    </row>
    <row r="215" ht="15.75" customHeight="1">
      <c r="C215" s="98"/>
      <c r="D215" s="38"/>
      <c r="E215" s="38"/>
      <c r="F215" s="98"/>
      <c r="G215" s="39"/>
      <c r="H215" s="39"/>
      <c r="I215" s="39"/>
      <c r="J215" s="39"/>
      <c r="K215" s="187"/>
      <c r="L215" s="188"/>
      <c r="M215" s="39"/>
      <c r="N215" s="39"/>
      <c r="O215" s="39"/>
      <c r="P215" s="39"/>
      <c r="Q215" s="39"/>
      <c r="R215" s="39"/>
      <c r="S215" s="39"/>
      <c r="T215" s="39"/>
      <c r="AR215" s="61"/>
      <c r="AY215" s="146"/>
    </row>
    <row r="216" ht="15.75" customHeight="1">
      <c r="C216" s="98"/>
      <c r="D216" s="38"/>
      <c r="E216" s="38"/>
      <c r="F216" s="98"/>
      <c r="G216" s="39"/>
      <c r="H216" s="39"/>
      <c r="I216" s="39"/>
      <c r="J216" s="39"/>
      <c r="K216" s="187"/>
      <c r="L216" s="188"/>
      <c r="M216" s="39"/>
      <c r="N216" s="39"/>
      <c r="O216" s="39"/>
      <c r="P216" s="39"/>
      <c r="Q216" s="39"/>
      <c r="R216" s="39"/>
      <c r="S216" s="39"/>
      <c r="T216" s="39"/>
      <c r="AR216" s="61"/>
      <c r="AY216" s="146"/>
    </row>
    <row r="217" ht="15.75" customHeight="1">
      <c r="C217" s="98"/>
      <c r="D217" s="38"/>
      <c r="E217" s="38"/>
      <c r="F217" s="98"/>
      <c r="G217" s="39"/>
      <c r="H217" s="39"/>
      <c r="I217" s="39"/>
      <c r="J217" s="39"/>
      <c r="K217" s="187"/>
      <c r="L217" s="188"/>
      <c r="M217" s="39"/>
      <c r="N217" s="39"/>
      <c r="O217" s="39"/>
      <c r="P217" s="39"/>
      <c r="Q217" s="39"/>
      <c r="R217" s="39"/>
      <c r="S217" s="39"/>
      <c r="T217" s="39"/>
      <c r="AR217" s="61"/>
      <c r="AY217" s="146"/>
    </row>
    <row r="218" ht="15.75" customHeight="1">
      <c r="C218" s="98"/>
      <c r="D218" s="38"/>
      <c r="E218" s="38"/>
      <c r="F218" s="98"/>
      <c r="G218" s="39"/>
      <c r="H218" s="39"/>
      <c r="I218" s="39"/>
      <c r="J218" s="39"/>
      <c r="K218" s="187"/>
      <c r="L218" s="188"/>
      <c r="M218" s="39"/>
      <c r="N218" s="39"/>
      <c r="O218" s="39"/>
      <c r="P218" s="39"/>
      <c r="Q218" s="39"/>
      <c r="R218" s="39"/>
      <c r="S218" s="39"/>
      <c r="T218" s="39"/>
      <c r="AR218" s="61"/>
      <c r="AY218" s="146"/>
    </row>
    <row r="219" ht="15.75" customHeight="1">
      <c r="C219" s="98"/>
      <c r="D219" s="38"/>
      <c r="E219" s="38"/>
      <c r="F219" s="98"/>
      <c r="G219" s="39"/>
      <c r="H219" s="39"/>
      <c r="I219" s="39"/>
      <c r="J219" s="39"/>
      <c r="K219" s="187"/>
      <c r="L219" s="188"/>
      <c r="M219" s="39"/>
      <c r="N219" s="39"/>
      <c r="O219" s="39"/>
      <c r="P219" s="39"/>
      <c r="Q219" s="39"/>
      <c r="R219" s="39"/>
      <c r="S219" s="39"/>
      <c r="T219" s="39"/>
      <c r="AR219" s="61"/>
      <c r="AY219" s="146"/>
    </row>
    <row r="220" ht="15.75" customHeight="1">
      <c r="C220" s="98"/>
      <c r="D220" s="38"/>
      <c r="E220" s="38"/>
      <c r="F220" s="98"/>
      <c r="G220" s="39"/>
      <c r="H220" s="39"/>
      <c r="I220" s="39"/>
      <c r="J220" s="39"/>
      <c r="K220" s="187"/>
      <c r="L220" s="188"/>
      <c r="M220" s="39"/>
      <c r="N220" s="39"/>
      <c r="O220" s="39"/>
      <c r="P220" s="39"/>
      <c r="Q220" s="39"/>
      <c r="R220" s="39"/>
      <c r="S220" s="39"/>
      <c r="T220" s="39"/>
      <c r="AR220" s="61"/>
      <c r="AY220" s="146"/>
    </row>
    <row r="221" ht="15.75" customHeight="1">
      <c r="C221" s="98"/>
      <c r="D221" s="38"/>
      <c r="E221" s="38"/>
      <c r="F221" s="98"/>
      <c r="G221" s="39"/>
      <c r="H221" s="39"/>
      <c r="I221" s="39"/>
      <c r="J221" s="39"/>
      <c r="K221" s="187"/>
      <c r="L221" s="188"/>
      <c r="M221" s="39"/>
      <c r="N221" s="39"/>
      <c r="O221" s="39"/>
      <c r="P221" s="39"/>
      <c r="Q221" s="39"/>
      <c r="R221" s="39"/>
      <c r="S221" s="39"/>
      <c r="T221" s="39"/>
      <c r="AR221" s="61"/>
      <c r="AY221" s="146"/>
    </row>
    <row r="222" ht="15.75" customHeight="1">
      <c r="C222" s="98"/>
      <c r="D222" s="38"/>
      <c r="E222" s="38"/>
      <c r="F222" s="98"/>
      <c r="G222" s="39"/>
      <c r="H222" s="39"/>
      <c r="I222" s="39"/>
      <c r="J222" s="39"/>
      <c r="K222" s="187"/>
      <c r="L222" s="188"/>
      <c r="M222" s="39"/>
      <c r="N222" s="39"/>
      <c r="O222" s="39"/>
      <c r="P222" s="39"/>
      <c r="Q222" s="39"/>
      <c r="R222" s="39"/>
      <c r="S222" s="39"/>
      <c r="T222" s="39"/>
      <c r="AR222" s="61"/>
      <c r="AY222" s="146"/>
    </row>
    <row r="223" ht="15.75" customHeight="1">
      <c r="C223" s="98"/>
      <c r="D223" s="38"/>
      <c r="E223" s="38"/>
      <c r="F223" s="98"/>
      <c r="G223" s="39"/>
      <c r="H223" s="39"/>
      <c r="I223" s="39"/>
      <c r="J223" s="39"/>
      <c r="K223" s="187"/>
      <c r="L223" s="188"/>
      <c r="M223" s="39"/>
      <c r="N223" s="39"/>
      <c r="O223" s="39"/>
      <c r="P223" s="39"/>
      <c r="Q223" s="39"/>
      <c r="R223" s="39"/>
      <c r="S223" s="39"/>
      <c r="T223" s="39"/>
      <c r="AR223" s="61"/>
      <c r="AY223" s="146"/>
    </row>
    <row r="224" ht="15.75" customHeight="1">
      <c r="C224" s="98"/>
      <c r="D224" s="38"/>
      <c r="E224" s="38"/>
      <c r="F224" s="98"/>
      <c r="G224" s="39"/>
      <c r="H224" s="39"/>
      <c r="I224" s="39"/>
      <c r="J224" s="39"/>
      <c r="K224" s="187"/>
      <c r="L224" s="188"/>
      <c r="M224" s="39"/>
      <c r="N224" s="39"/>
      <c r="O224" s="39"/>
      <c r="P224" s="39"/>
      <c r="Q224" s="39"/>
      <c r="R224" s="39"/>
      <c r="S224" s="39"/>
      <c r="T224" s="39"/>
      <c r="AR224" s="61"/>
      <c r="AY224" s="146"/>
    </row>
    <row r="225" ht="15.75" customHeight="1">
      <c r="C225" s="98"/>
      <c r="D225" s="38"/>
      <c r="E225" s="38"/>
      <c r="F225" s="98"/>
      <c r="G225" s="39"/>
      <c r="H225" s="39"/>
      <c r="I225" s="39"/>
      <c r="J225" s="39"/>
      <c r="K225" s="187"/>
      <c r="L225" s="188"/>
      <c r="M225" s="39"/>
      <c r="N225" s="39"/>
      <c r="O225" s="39"/>
      <c r="P225" s="39"/>
      <c r="Q225" s="39"/>
      <c r="R225" s="39"/>
      <c r="S225" s="39"/>
      <c r="T225" s="39"/>
      <c r="AR225" s="61"/>
      <c r="AY225" s="146"/>
    </row>
    <row r="226" ht="15.75" customHeight="1">
      <c r="C226" s="98"/>
      <c r="D226" s="38"/>
      <c r="E226" s="38"/>
      <c r="F226" s="98"/>
      <c r="G226" s="39"/>
      <c r="H226" s="39"/>
      <c r="I226" s="39"/>
      <c r="J226" s="39"/>
      <c r="K226" s="187"/>
      <c r="L226" s="188"/>
      <c r="M226" s="39"/>
      <c r="N226" s="39"/>
      <c r="O226" s="39"/>
      <c r="P226" s="39"/>
      <c r="Q226" s="39"/>
      <c r="R226" s="39"/>
      <c r="S226" s="39"/>
      <c r="T226" s="39"/>
      <c r="AR226" s="61"/>
      <c r="AY226" s="146"/>
    </row>
    <row r="227" ht="15.75" customHeight="1">
      <c r="C227" s="98"/>
      <c r="D227" s="38"/>
      <c r="E227" s="38"/>
      <c r="F227" s="98"/>
      <c r="G227" s="39"/>
      <c r="H227" s="39"/>
      <c r="I227" s="39"/>
      <c r="J227" s="39"/>
      <c r="K227" s="187"/>
      <c r="L227" s="188"/>
      <c r="M227" s="39"/>
      <c r="N227" s="39"/>
      <c r="O227" s="39"/>
      <c r="P227" s="39"/>
      <c r="Q227" s="39"/>
      <c r="R227" s="39"/>
      <c r="S227" s="39"/>
      <c r="T227" s="39"/>
      <c r="AR227" s="61"/>
      <c r="AY227" s="146"/>
    </row>
    <row r="228" ht="15.75" customHeight="1">
      <c r="C228" s="98"/>
      <c r="D228" s="38"/>
      <c r="E228" s="38"/>
      <c r="F228" s="98"/>
      <c r="G228" s="39"/>
      <c r="H228" s="39"/>
      <c r="I228" s="39"/>
      <c r="J228" s="39"/>
      <c r="K228" s="187"/>
      <c r="L228" s="188"/>
      <c r="M228" s="39"/>
      <c r="N228" s="39"/>
      <c r="O228" s="39"/>
      <c r="P228" s="39"/>
      <c r="Q228" s="39"/>
      <c r="R228" s="39"/>
      <c r="S228" s="39"/>
      <c r="T228" s="39"/>
      <c r="AR228" s="61"/>
      <c r="AY228" s="146"/>
    </row>
    <row r="229" ht="15.75" customHeight="1">
      <c r="C229" s="98"/>
      <c r="D229" s="38"/>
      <c r="E229" s="38"/>
      <c r="F229" s="98"/>
      <c r="G229" s="39"/>
      <c r="H229" s="39"/>
      <c r="I229" s="39"/>
      <c r="J229" s="39"/>
      <c r="K229" s="187"/>
      <c r="L229" s="188"/>
      <c r="M229" s="39"/>
      <c r="N229" s="39"/>
      <c r="O229" s="39"/>
      <c r="P229" s="39"/>
      <c r="Q229" s="39"/>
      <c r="R229" s="39"/>
      <c r="S229" s="39"/>
      <c r="T229" s="39"/>
      <c r="AR229" s="61"/>
      <c r="AY229" s="146"/>
    </row>
    <row r="230" ht="15.75" customHeight="1">
      <c r="C230" s="98"/>
      <c r="D230" s="38"/>
      <c r="E230" s="38"/>
      <c r="F230" s="98"/>
      <c r="G230" s="39"/>
      <c r="H230" s="39"/>
      <c r="I230" s="39"/>
      <c r="J230" s="39"/>
      <c r="K230" s="187"/>
      <c r="L230" s="188"/>
      <c r="M230" s="39"/>
      <c r="N230" s="39"/>
      <c r="O230" s="39"/>
      <c r="P230" s="39"/>
      <c r="Q230" s="39"/>
      <c r="R230" s="39"/>
      <c r="S230" s="39"/>
      <c r="T230" s="39"/>
      <c r="AR230" s="61"/>
      <c r="AY230" s="146"/>
    </row>
    <row r="231" ht="15.75" customHeight="1">
      <c r="C231" s="98"/>
      <c r="D231" s="38"/>
      <c r="E231" s="38"/>
      <c r="F231" s="98"/>
      <c r="G231" s="39"/>
      <c r="H231" s="39"/>
      <c r="I231" s="39"/>
      <c r="J231" s="39"/>
      <c r="K231" s="187"/>
      <c r="L231" s="188"/>
      <c r="M231" s="39"/>
      <c r="N231" s="39"/>
      <c r="O231" s="39"/>
      <c r="P231" s="39"/>
      <c r="Q231" s="39"/>
      <c r="R231" s="39"/>
      <c r="S231" s="39"/>
      <c r="T231" s="39"/>
      <c r="AR231" s="61"/>
      <c r="AY231" s="146"/>
    </row>
    <row r="232" ht="15.75" customHeight="1">
      <c r="C232" s="98"/>
      <c r="D232" s="38"/>
      <c r="E232" s="38"/>
      <c r="F232" s="98"/>
      <c r="G232" s="39"/>
      <c r="H232" s="39"/>
      <c r="I232" s="39"/>
      <c r="J232" s="39"/>
      <c r="K232" s="187"/>
      <c r="L232" s="188"/>
      <c r="M232" s="39"/>
      <c r="N232" s="39"/>
      <c r="O232" s="39"/>
      <c r="P232" s="39"/>
      <c r="Q232" s="39"/>
      <c r="R232" s="39"/>
      <c r="S232" s="39"/>
      <c r="T232" s="39"/>
      <c r="AR232" s="61"/>
      <c r="AY232" s="146"/>
    </row>
    <row r="233" ht="15.75" customHeight="1">
      <c r="C233" s="98"/>
      <c r="D233" s="38"/>
      <c r="E233" s="38"/>
      <c r="F233" s="98"/>
      <c r="G233" s="39"/>
      <c r="H233" s="39"/>
      <c r="I233" s="39"/>
      <c r="J233" s="39"/>
      <c r="K233" s="187"/>
      <c r="L233" s="188"/>
      <c r="M233" s="39"/>
      <c r="N233" s="39"/>
      <c r="O233" s="39"/>
      <c r="P233" s="39"/>
      <c r="Q233" s="39"/>
      <c r="R233" s="39"/>
      <c r="S233" s="39"/>
      <c r="T233" s="39"/>
      <c r="AR233" s="61"/>
      <c r="AY233" s="146"/>
    </row>
    <row r="234" ht="15.75" customHeight="1">
      <c r="C234" s="98"/>
      <c r="D234" s="38"/>
      <c r="E234" s="38"/>
      <c r="F234" s="98"/>
      <c r="G234" s="39"/>
      <c r="H234" s="39"/>
      <c r="I234" s="39"/>
      <c r="J234" s="39"/>
      <c r="K234" s="187"/>
      <c r="L234" s="188"/>
      <c r="M234" s="39"/>
      <c r="N234" s="39"/>
      <c r="O234" s="39"/>
      <c r="P234" s="39"/>
      <c r="Q234" s="39"/>
      <c r="R234" s="39"/>
      <c r="S234" s="39"/>
      <c r="T234" s="39"/>
      <c r="AR234" s="61"/>
      <c r="AY234" s="146"/>
    </row>
    <row r="235" ht="15.75" customHeight="1">
      <c r="C235" s="98"/>
      <c r="D235" s="38"/>
      <c r="E235" s="38"/>
      <c r="F235" s="98"/>
      <c r="G235" s="39"/>
      <c r="H235" s="39"/>
      <c r="I235" s="39"/>
      <c r="J235" s="39"/>
      <c r="K235" s="187"/>
      <c r="L235" s="188"/>
      <c r="M235" s="39"/>
      <c r="N235" s="39"/>
      <c r="O235" s="39"/>
      <c r="P235" s="39"/>
      <c r="Q235" s="39"/>
      <c r="R235" s="39"/>
      <c r="S235" s="39"/>
      <c r="T235" s="39"/>
      <c r="AR235" s="61"/>
      <c r="AY235" s="146"/>
    </row>
    <row r="236" ht="15.75" customHeight="1">
      <c r="C236" s="98"/>
      <c r="D236" s="38"/>
      <c r="E236" s="38"/>
      <c r="F236" s="98"/>
      <c r="G236" s="39"/>
      <c r="H236" s="39"/>
      <c r="I236" s="39"/>
      <c r="J236" s="39"/>
      <c r="K236" s="187"/>
      <c r="L236" s="188"/>
      <c r="M236" s="39"/>
      <c r="N236" s="39"/>
      <c r="O236" s="39"/>
      <c r="P236" s="39"/>
      <c r="Q236" s="39"/>
      <c r="R236" s="39"/>
      <c r="S236" s="39"/>
      <c r="T236" s="39"/>
      <c r="AR236" s="61"/>
      <c r="AY236" s="146"/>
    </row>
    <row r="237" ht="15.75" customHeight="1">
      <c r="C237" s="98"/>
      <c r="D237" s="38"/>
      <c r="E237" s="38"/>
      <c r="F237" s="98"/>
      <c r="G237" s="39"/>
      <c r="H237" s="39"/>
      <c r="I237" s="39"/>
      <c r="J237" s="39"/>
      <c r="K237" s="187"/>
      <c r="L237" s="188"/>
      <c r="M237" s="39"/>
      <c r="N237" s="39"/>
      <c r="O237" s="39"/>
      <c r="P237" s="39"/>
      <c r="Q237" s="39"/>
      <c r="R237" s="39"/>
      <c r="S237" s="39"/>
      <c r="T237" s="39"/>
      <c r="AR237" s="61"/>
      <c r="AY237" s="146"/>
    </row>
    <row r="238" ht="15.75" customHeight="1">
      <c r="C238" s="98"/>
      <c r="D238" s="38"/>
      <c r="E238" s="38"/>
      <c r="F238" s="98"/>
      <c r="G238" s="39"/>
      <c r="H238" s="39"/>
      <c r="I238" s="39"/>
      <c r="J238" s="39"/>
      <c r="K238" s="187"/>
      <c r="L238" s="188"/>
      <c r="M238" s="39"/>
      <c r="N238" s="39"/>
      <c r="O238" s="39"/>
      <c r="P238" s="39"/>
      <c r="Q238" s="39"/>
      <c r="R238" s="39"/>
      <c r="S238" s="39"/>
      <c r="T238" s="39"/>
      <c r="AR238" s="61"/>
      <c r="AY238" s="146"/>
    </row>
    <row r="239" ht="15.75" customHeight="1">
      <c r="C239" s="98"/>
      <c r="D239" s="38"/>
      <c r="E239" s="38"/>
      <c r="F239" s="98"/>
      <c r="G239" s="39"/>
      <c r="H239" s="39"/>
      <c r="I239" s="39"/>
      <c r="J239" s="39"/>
      <c r="K239" s="187"/>
      <c r="L239" s="188"/>
      <c r="M239" s="39"/>
      <c r="N239" s="39"/>
      <c r="O239" s="39"/>
      <c r="P239" s="39"/>
      <c r="Q239" s="39"/>
      <c r="R239" s="39"/>
      <c r="S239" s="39"/>
      <c r="T239" s="39"/>
      <c r="AR239" s="61"/>
      <c r="AY239" s="146"/>
    </row>
    <row r="240" ht="15.75" customHeight="1">
      <c r="C240" s="98"/>
      <c r="D240" s="38"/>
      <c r="E240" s="38"/>
      <c r="F240" s="98"/>
      <c r="G240" s="39"/>
      <c r="H240" s="39"/>
      <c r="I240" s="39"/>
      <c r="J240" s="39"/>
      <c r="K240" s="187"/>
      <c r="L240" s="188"/>
      <c r="M240" s="39"/>
      <c r="N240" s="39"/>
      <c r="O240" s="39"/>
      <c r="P240" s="39"/>
      <c r="Q240" s="39"/>
      <c r="R240" s="39"/>
      <c r="S240" s="39"/>
      <c r="T240" s="39"/>
      <c r="AR240" s="61"/>
      <c r="AY240" s="146"/>
    </row>
    <row r="241" ht="15.75" customHeight="1">
      <c r="K241" s="217"/>
      <c r="L241" s="218"/>
      <c r="AR241" s="61"/>
      <c r="AY241" s="146"/>
    </row>
    <row r="242" ht="15.75" customHeight="1">
      <c r="K242" s="217"/>
      <c r="L242" s="218"/>
      <c r="AR242" s="61"/>
      <c r="AY242" s="146"/>
    </row>
    <row r="243" ht="15.75" customHeight="1">
      <c r="K243" s="217"/>
      <c r="L243" s="218"/>
      <c r="AR243" s="61"/>
      <c r="AY243" s="146"/>
    </row>
    <row r="244" ht="15.75" customHeight="1">
      <c r="K244" s="217"/>
      <c r="L244" s="218"/>
      <c r="AR244" s="61"/>
      <c r="AY244" s="146"/>
    </row>
    <row r="245" ht="15.75" customHeight="1">
      <c r="K245" s="217"/>
      <c r="L245" s="218"/>
      <c r="AR245" s="61"/>
      <c r="AY245" s="146"/>
    </row>
    <row r="246" ht="15.75" customHeight="1">
      <c r="K246" s="217"/>
      <c r="L246" s="218"/>
      <c r="AR246" s="61"/>
      <c r="AY246" s="146"/>
    </row>
    <row r="247" ht="15.75" customHeight="1">
      <c r="K247" s="217"/>
      <c r="L247" s="218"/>
      <c r="AR247" s="61"/>
      <c r="AY247" s="146"/>
    </row>
    <row r="248" ht="15.75" customHeight="1">
      <c r="K248" s="217"/>
      <c r="L248" s="218"/>
      <c r="AR248" s="61"/>
      <c r="AY248" s="146"/>
    </row>
    <row r="249" ht="15.75" customHeight="1">
      <c r="K249" s="217"/>
      <c r="L249" s="218"/>
      <c r="AR249" s="61"/>
      <c r="AY249" s="146"/>
    </row>
    <row r="250" ht="15.75" customHeight="1">
      <c r="K250" s="217"/>
      <c r="L250" s="218"/>
      <c r="AR250" s="61"/>
      <c r="AY250" s="146"/>
    </row>
    <row r="251" ht="15.75" customHeight="1">
      <c r="K251" s="217"/>
      <c r="L251" s="218"/>
      <c r="AR251" s="61"/>
      <c r="AY251" s="146"/>
    </row>
    <row r="252" ht="15.75" customHeight="1">
      <c r="K252" s="217"/>
      <c r="L252" s="218"/>
      <c r="AR252" s="61"/>
      <c r="AY252" s="146"/>
    </row>
    <row r="253" ht="15.75" customHeight="1">
      <c r="K253" s="217"/>
      <c r="L253" s="218"/>
      <c r="AR253" s="61"/>
      <c r="AY253" s="146"/>
    </row>
    <row r="254" ht="15.75" customHeight="1">
      <c r="K254" s="217"/>
      <c r="L254" s="218"/>
      <c r="AR254" s="61"/>
      <c r="AY254" s="146"/>
    </row>
    <row r="255" ht="15.75" customHeight="1">
      <c r="K255" s="217"/>
      <c r="L255" s="218"/>
      <c r="AR255" s="61"/>
      <c r="AY255" s="146"/>
    </row>
    <row r="256" ht="15.75" customHeight="1">
      <c r="K256" s="217"/>
      <c r="L256" s="218"/>
      <c r="AR256" s="61"/>
      <c r="AY256" s="146"/>
    </row>
    <row r="257" ht="15.75" customHeight="1">
      <c r="K257" s="217"/>
      <c r="L257" s="218"/>
      <c r="AR257" s="61"/>
      <c r="AY257" s="146"/>
    </row>
    <row r="258" ht="15.75" customHeight="1">
      <c r="K258" s="217"/>
      <c r="L258" s="218"/>
      <c r="AR258" s="61"/>
      <c r="AY258" s="146"/>
    </row>
    <row r="259" ht="15.75" customHeight="1">
      <c r="K259" s="217"/>
      <c r="L259" s="218"/>
      <c r="AR259" s="61"/>
      <c r="AY259" s="146"/>
    </row>
    <row r="260" ht="15.75" customHeight="1">
      <c r="K260" s="217"/>
      <c r="L260" s="218"/>
      <c r="AR260" s="61"/>
      <c r="AY260" s="146"/>
    </row>
    <row r="261" ht="15.75" customHeight="1">
      <c r="K261" s="217"/>
      <c r="L261" s="218"/>
      <c r="AR261" s="61"/>
      <c r="AY261" s="146"/>
    </row>
    <row r="262" ht="15.75" customHeight="1">
      <c r="K262" s="217"/>
      <c r="L262" s="218"/>
      <c r="AR262" s="61"/>
      <c r="AY262" s="146"/>
    </row>
    <row r="263" ht="15.75" customHeight="1">
      <c r="K263" s="217"/>
      <c r="L263" s="218"/>
      <c r="AR263" s="61"/>
      <c r="AY263" s="146"/>
    </row>
    <row r="264" ht="15.75" customHeight="1">
      <c r="K264" s="217"/>
      <c r="L264" s="218"/>
      <c r="AR264" s="61"/>
      <c r="AY264" s="146"/>
    </row>
    <row r="265" ht="15.75" customHeight="1">
      <c r="K265" s="217"/>
      <c r="L265" s="218"/>
      <c r="AR265" s="61"/>
      <c r="AY265" s="146"/>
    </row>
    <row r="266" ht="15.75" customHeight="1">
      <c r="K266" s="217"/>
      <c r="L266" s="218"/>
      <c r="AR266" s="61"/>
      <c r="AY266" s="146"/>
    </row>
    <row r="267" ht="15.75" customHeight="1">
      <c r="K267" s="217"/>
      <c r="L267" s="218"/>
      <c r="AR267" s="61"/>
      <c r="AY267" s="146"/>
    </row>
    <row r="268" ht="15.75" customHeight="1">
      <c r="K268" s="217"/>
      <c r="L268" s="218"/>
      <c r="AR268" s="61"/>
      <c r="AY268" s="146"/>
    </row>
    <row r="269" ht="15.75" customHeight="1">
      <c r="K269" s="217"/>
      <c r="L269" s="218"/>
      <c r="AR269" s="61"/>
      <c r="AY269" s="146"/>
    </row>
    <row r="270" ht="15.75" customHeight="1">
      <c r="K270" s="217"/>
      <c r="L270" s="218"/>
      <c r="AR270" s="61"/>
      <c r="AY270" s="146"/>
    </row>
    <row r="271" ht="15.75" customHeight="1">
      <c r="K271" s="217"/>
      <c r="L271" s="218"/>
      <c r="AR271" s="61"/>
      <c r="AY271" s="146"/>
    </row>
    <row r="272" ht="15.75" customHeight="1">
      <c r="K272" s="217"/>
      <c r="L272" s="218"/>
      <c r="AR272" s="61"/>
      <c r="AY272" s="146"/>
    </row>
    <row r="273" ht="15.75" customHeight="1">
      <c r="K273" s="217"/>
      <c r="L273" s="218"/>
      <c r="AR273" s="61"/>
      <c r="AY273" s="146"/>
    </row>
    <row r="274" ht="15.75" customHeight="1">
      <c r="K274" s="217"/>
      <c r="L274" s="218"/>
      <c r="AR274" s="61"/>
      <c r="AY274" s="146"/>
    </row>
    <row r="275" ht="15.75" customHeight="1">
      <c r="K275" s="217"/>
      <c r="L275" s="218"/>
      <c r="AR275" s="61"/>
      <c r="AY275" s="146"/>
    </row>
    <row r="276" ht="15.75" customHeight="1">
      <c r="K276" s="217"/>
      <c r="L276" s="218"/>
      <c r="AR276" s="61"/>
      <c r="AY276" s="146"/>
    </row>
    <row r="277" ht="15.75" customHeight="1">
      <c r="K277" s="217"/>
      <c r="L277" s="218"/>
      <c r="AR277" s="61"/>
      <c r="AY277" s="146"/>
    </row>
    <row r="278" ht="15.75" customHeight="1">
      <c r="K278" s="217"/>
      <c r="L278" s="218"/>
      <c r="AR278" s="61"/>
      <c r="AY278" s="146"/>
    </row>
    <row r="279" ht="15.75" customHeight="1">
      <c r="K279" s="217"/>
      <c r="L279" s="218"/>
      <c r="AR279" s="61"/>
      <c r="AY279" s="146"/>
    </row>
    <row r="280" ht="15.75" customHeight="1">
      <c r="K280" s="217"/>
      <c r="L280" s="218"/>
      <c r="AR280" s="61"/>
      <c r="AY280" s="146"/>
    </row>
    <row r="281" ht="15.75" customHeight="1">
      <c r="K281" s="217"/>
      <c r="L281" s="218"/>
      <c r="AR281" s="61"/>
      <c r="AY281" s="146"/>
    </row>
    <row r="282" ht="15.75" customHeight="1">
      <c r="K282" s="217"/>
      <c r="L282" s="218"/>
      <c r="AR282" s="61"/>
      <c r="AY282" s="146"/>
    </row>
    <row r="283" ht="15.75" customHeight="1">
      <c r="K283" s="217"/>
      <c r="L283" s="218"/>
      <c r="AR283" s="61"/>
      <c r="AY283" s="146"/>
    </row>
    <row r="284" ht="15.75" customHeight="1">
      <c r="K284" s="217"/>
      <c r="L284" s="218"/>
      <c r="AR284" s="61"/>
      <c r="AY284" s="146"/>
    </row>
    <row r="285" ht="15.75" customHeight="1">
      <c r="K285" s="217"/>
      <c r="L285" s="218"/>
      <c r="AR285" s="61"/>
      <c r="AY285" s="146"/>
    </row>
    <row r="286" ht="15.75" customHeight="1">
      <c r="K286" s="217"/>
      <c r="L286" s="218"/>
      <c r="AR286" s="61"/>
      <c r="AY286" s="146"/>
    </row>
    <row r="287" ht="15.75" customHeight="1">
      <c r="K287" s="217"/>
      <c r="L287" s="218"/>
      <c r="AR287" s="61"/>
      <c r="AY287" s="146"/>
    </row>
    <row r="288" ht="15.75" customHeight="1">
      <c r="K288" s="217"/>
      <c r="L288" s="218"/>
      <c r="AR288" s="61"/>
      <c r="AY288" s="146"/>
    </row>
    <row r="289" ht="15.75" customHeight="1">
      <c r="K289" s="217"/>
      <c r="L289" s="218"/>
      <c r="AR289" s="61"/>
      <c r="AY289" s="146"/>
    </row>
    <row r="290" ht="15.75" customHeight="1">
      <c r="K290" s="217"/>
      <c r="L290" s="218"/>
      <c r="AR290" s="61"/>
      <c r="AY290" s="146"/>
    </row>
    <row r="291" ht="15.75" customHeight="1">
      <c r="K291" s="217"/>
      <c r="L291" s="218"/>
      <c r="AR291" s="61"/>
      <c r="AY291" s="146"/>
    </row>
    <row r="292" ht="15.75" customHeight="1">
      <c r="K292" s="217"/>
      <c r="L292" s="218"/>
      <c r="AR292" s="61"/>
      <c r="AY292" s="146"/>
    </row>
    <row r="293" ht="15.75" customHeight="1">
      <c r="K293" s="217"/>
      <c r="L293" s="218"/>
      <c r="AR293" s="61"/>
      <c r="AY293" s="146"/>
    </row>
    <row r="294" ht="15.75" customHeight="1">
      <c r="K294" s="217"/>
      <c r="L294" s="218"/>
      <c r="AR294" s="61"/>
      <c r="AY294" s="146"/>
    </row>
    <row r="295" ht="15.75" customHeight="1">
      <c r="K295" s="217"/>
      <c r="L295" s="218"/>
      <c r="AR295" s="61"/>
      <c r="AY295" s="146"/>
    </row>
    <row r="296" ht="15.75" customHeight="1">
      <c r="K296" s="217"/>
      <c r="L296" s="218"/>
      <c r="AR296" s="61"/>
      <c r="AY296" s="146"/>
    </row>
    <row r="297" ht="15.75" customHeight="1">
      <c r="K297" s="217"/>
      <c r="L297" s="218"/>
      <c r="AR297" s="61"/>
      <c r="AY297" s="146"/>
    </row>
    <row r="298" ht="15.75" customHeight="1">
      <c r="K298" s="217"/>
      <c r="L298" s="218"/>
      <c r="AR298" s="61"/>
      <c r="AY298" s="146"/>
    </row>
    <row r="299" ht="15.75" customHeight="1">
      <c r="K299" s="217"/>
      <c r="L299" s="218"/>
      <c r="AR299" s="61"/>
      <c r="AY299" s="146"/>
    </row>
    <row r="300" ht="15.75" customHeight="1">
      <c r="K300" s="217"/>
      <c r="L300" s="218"/>
      <c r="AR300" s="61"/>
      <c r="AY300" s="146"/>
    </row>
    <row r="301" ht="15.75" customHeight="1">
      <c r="K301" s="217"/>
      <c r="L301" s="218"/>
      <c r="AR301" s="61"/>
      <c r="AY301" s="146"/>
    </row>
    <row r="302" ht="15.75" customHeight="1">
      <c r="K302" s="217"/>
      <c r="L302" s="218"/>
      <c r="AR302" s="61"/>
      <c r="AY302" s="146"/>
    </row>
    <row r="303" ht="15.75" customHeight="1">
      <c r="K303" s="217"/>
      <c r="L303" s="218"/>
      <c r="AR303" s="61"/>
      <c r="AY303" s="146"/>
    </row>
    <row r="304" ht="15.75" customHeight="1">
      <c r="K304" s="217"/>
      <c r="L304" s="218"/>
      <c r="AR304" s="61"/>
      <c r="AY304" s="146"/>
    </row>
    <row r="305" ht="15.75" customHeight="1">
      <c r="K305" s="217"/>
      <c r="L305" s="218"/>
      <c r="AR305" s="61"/>
      <c r="AY305" s="146"/>
    </row>
    <row r="306" ht="15.75" customHeight="1">
      <c r="K306" s="217"/>
      <c r="L306" s="218"/>
      <c r="AR306" s="61"/>
      <c r="AY306" s="146"/>
    </row>
    <row r="307" ht="15.75" customHeight="1">
      <c r="K307" s="217"/>
      <c r="L307" s="218"/>
      <c r="AR307" s="61"/>
      <c r="AY307" s="146"/>
    </row>
    <row r="308" ht="15.75" customHeight="1">
      <c r="K308" s="217"/>
      <c r="L308" s="218"/>
      <c r="AR308" s="61"/>
      <c r="AY308" s="146"/>
    </row>
    <row r="309" ht="15.75" customHeight="1">
      <c r="K309" s="217"/>
      <c r="L309" s="218"/>
      <c r="AR309" s="61"/>
      <c r="AY309" s="146"/>
    </row>
    <row r="310" ht="15.75" customHeight="1">
      <c r="K310" s="217"/>
      <c r="L310" s="218"/>
      <c r="AR310" s="61"/>
      <c r="AY310" s="146"/>
    </row>
    <row r="311" ht="15.75" customHeight="1">
      <c r="K311" s="217"/>
      <c r="L311" s="218"/>
      <c r="AR311" s="61"/>
      <c r="AY311" s="146"/>
    </row>
    <row r="312" ht="15.75" customHeight="1">
      <c r="K312" s="217"/>
      <c r="L312" s="218"/>
      <c r="AR312" s="61"/>
      <c r="AY312" s="146"/>
    </row>
    <row r="313" ht="15.75" customHeight="1">
      <c r="K313" s="217"/>
      <c r="L313" s="218"/>
      <c r="AR313" s="61"/>
      <c r="AY313" s="146"/>
    </row>
    <row r="314" ht="15.75" customHeight="1">
      <c r="K314" s="217"/>
      <c r="L314" s="218"/>
      <c r="AR314" s="61"/>
      <c r="AY314" s="146"/>
    </row>
    <row r="315" ht="15.75" customHeight="1">
      <c r="K315" s="217"/>
      <c r="L315" s="218"/>
      <c r="AR315" s="61"/>
      <c r="AY315" s="146"/>
    </row>
    <row r="316" ht="15.75" customHeight="1">
      <c r="K316" s="217"/>
      <c r="L316" s="218"/>
      <c r="AR316" s="61"/>
      <c r="AY316" s="146"/>
    </row>
    <row r="317" ht="15.75" customHeight="1">
      <c r="K317" s="217"/>
      <c r="L317" s="218"/>
      <c r="AR317" s="61"/>
      <c r="AY317" s="146"/>
    </row>
    <row r="318" ht="15.75" customHeight="1">
      <c r="K318" s="217"/>
      <c r="L318" s="218"/>
      <c r="AR318" s="61"/>
      <c r="AY318" s="146"/>
    </row>
    <row r="319" ht="15.75" customHeight="1">
      <c r="K319" s="217"/>
      <c r="L319" s="218"/>
      <c r="AR319" s="61"/>
      <c r="AY319" s="146"/>
    </row>
    <row r="320" ht="15.75" customHeight="1">
      <c r="K320" s="217"/>
      <c r="L320" s="218"/>
      <c r="AR320" s="61"/>
      <c r="AY320" s="146"/>
    </row>
    <row r="321" ht="15.75" customHeight="1">
      <c r="K321" s="217"/>
      <c r="L321" s="218"/>
      <c r="AR321" s="61"/>
      <c r="AY321" s="146"/>
    </row>
    <row r="322" ht="15.75" customHeight="1">
      <c r="K322" s="217"/>
      <c r="L322" s="218"/>
      <c r="AR322" s="61"/>
      <c r="AY322" s="146"/>
    </row>
    <row r="323" ht="15.75" customHeight="1">
      <c r="K323" s="217"/>
      <c r="L323" s="218"/>
      <c r="AR323" s="61"/>
      <c r="AY323" s="146"/>
    </row>
    <row r="324" ht="15.75" customHeight="1">
      <c r="K324" s="217"/>
      <c r="L324" s="218"/>
      <c r="AR324" s="61"/>
      <c r="AY324" s="146"/>
    </row>
    <row r="325" ht="15.75" customHeight="1">
      <c r="K325" s="217"/>
      <c r="L325" s="218"/>
      <c r="AR325" s="61"/>
      <c r="AY325" s="146"/>
    </row>
    <row r="326" ht="15.75" customHeight="1">
      <c r="K326" s="217"/>
      <c r="L326" s="218"/>
      <c r="AR326" s="61"/>
      <c r="AY326" s="146"/>
    </row>
    <row r="327" ht="15.75" customHeight="1">
      <c r="K327" s="217"/>
      <c r="L327" s="218"/>
      <c r="AR327" s="61"/>
      <c r="AY327" s="146"/>
    </row>
    <row r="328" ht="15.75" customHeight="1">
      <c r="K328" s="217"/>
      <c r="L328" s="218"/>
      <c r="AR328" s="61"/>
      <c r="AY328" s="146"/>
    </row>
    <row r="329" ht="15.75" customHeight="1">
      <c r="K329" s="217"/>
      <c r="L329" s="218"/>
      <c r="AR329" s="61"/>
      <c r="AY329" s="146"/>
    </row>
    <row r="330" ht="15.75" customHeight="1">
      <c r="K330" s="217"/>
      <c r="L330" s="218"/>
      <c r="AR330" s="61"/>
      <c r="AY330" s="146"/>
    </row>
    <row r="331" ht="15.75" customHeight="1">
      <c r="K331" s="217"/>
      <c r="L331" s="218"/>
      <c r="AR331" s="61"/>
      <c r="AY331" s="146"/>
    </row>
    <row r="332" ht="15.75" customHeight="1">
      <c r="K332" s="217"/>
      <c r="L332" s="218"/>
      <c r="AR332" s="61"/>
      <c r="AY332" s="146"/>
    </row>
    <row r="333" ht="15.75" customHeight="1">
      <c r="K333" s="217"/>
      <c r="L333" s="218"/>
      <c r="AR333" s="61"/>
      <c r="AY333" s="146"/>
    </row>
    <row r="334" ht="15.75" customHeight="1">
      <c r="K334" s="217"/>
      <c r="L334" s="218"/>
      <c r="AR334" s="61"/>
      <c r="AY334" s="146"/>
    </row>
    <row r="335" ht="15.75" customHeight="1">
      <c r="K335" s="217"/>
      <c r="L335" s="218"/>
      <c r="AR335" s="61"/>
      <c r="AY335" s="146"/>
    </row>
    <row r="336" ht="15.75" customHeight="1">
      <c r="K336" s="217"/>
      <c r="L336" s="218"/>
      <c r="AR336" s="61"/>
      <c r="AY336" s="146"/>
    </row>
    <row r="337" ht="15.75" customHeight="1">
      <c r="K337" s="217"/>
      <c r="L337" s="218"/>
      <c r="AR337" s="61"/>
      <c r="AY337" s="146"/>
    </row>
    <row r="338" ht="15.75" customHeight="1">
      <c r="K338" s="217"/>
      <c r="L338" s="218"/>
      <c r="AR338" s="61"/>
      <c r="AY338" s="146"/>
    </row>
    <row r="339" ht="15.75" customHeight="1">
      <c r="K339" s="217"/>
      <c r="L339" s="218"/>
      <c r="AR339" s="61"/>
      <c r="AY339" s="146"/>
    </row>
    <row r="340" ht="15.75" customHeight="1">
      <c r="K340" s="217"/>
      <c r="L340" s="218"/>
      <c r="AR340" s="61"/>
      <c r="AY340" s="146"/>
    </row>
    <row r="341" ht="15.75" customHeight="1">
      <c r="K341" s="217"/>
      <c r="L341" s="218"/>
      <c r="AR341" s="61"/>
      <c r="AY341" s="146"/>
    </row>
    <row r="342" ht="15.75" customHeight="1">
      <c r="K342" s="217"/>
      <c r="L342" s="218"/>
      <c r="AR342" s="61"/>
      <c r="AY342" s="146"/>
    </row>
    <row r="343" ht="15.75" customHeight="1">
      <c r="K343" s="217"/>
      <c r="L343" s="218"/>
      <c r="AR343" s="61"/>
      <c r="AY343" s="146"/>
    </row>
    <row r="344" ht="15.75" customHeight="1">
      <c r="K344" s="217"/>
      <c r="L344" s="218"/>
      <c r="AR344" s="61"/>
      <c r="AY344" s="146"/>
    </row>
    <row r="345" ht="15.75" customHeight="1">
      <c r="K345" s="217"/>
      <c r="L345" s="218"/>
      <c r="AR345" s="61"/>
      <c r="AY345" s="146"/>
    </row>
    <row r="346" ht="15.75" customHeight="1">
      <c r="K346" s="217"/>
      <c r="L346" s="218"/>
      <c r="AR346" s="61"/>
      <c r="AY346" s="146"/>
    </row>
    <row r="347" ht="15.75" customHeight="1">
      <c r="K347" s="217"/>
      <c r="L347" s="218"/>
      <c r="AR347" s="61"/>
      <c r="AY347" s="146"/>
    </row>
    <row r="348" ht="15.75" customHeight="1">
      <c r="K348" s="217"/>
      <c r="L348" s="218"/>
      <c r="AR348" s="61"/>
      <c r="AY348" s="146"/>
    </row>
    <row r="349" ht="15.75" customHeight="1">
      <c r="K349" s="217"/>
      <c r="L349" s="218"/>
      <c r="AR349" s="61"/>
      <c r="AY349" s="146"/>
    </row>
    <row r="350" ht="15.75" customHeight="1">
      <c r="K350" s="217"/>
      <c r="L350" s="218"/>
      <c r="AR350" s="61"/>
      <c r="AY350" s="146"/>
    </row>
    <row r="351" ht="15.75" customHeight="1">
      <c r="K351" s="217"/>
      <c r="L351" s="218"/>
      <c r="AR351" s="61"/>
      <c r="AY351" s="146"/>
    </row>
    <row r="352" ht="15.75" customHeight="1">
      <c r="K352" s="217"/>
      <c r="L352" s="218"/>
      <c r="AR352" s="61"/>
      <c r="AY352" s="146"/>
    </row>
    <row r="353" ht="15.75" customHeight="1">
      <c r="K353" s="217"/>
      <c r="L353" s="218"/>
      <c r="AR353" s="61"/>
      <c r="AY353" s="146"/>
    </row>
    <row r="354" ht="15.75" customHeight="1">
      <c r="K354" s="217"/>
      <c r="L354" s="218"/>
      <c r="AR354" s="61"/>
      <c r="AY354" s="146"/>
    </row>
    <row r="355" ht="15.75" customHeight="1">
      <c r="K355" s="217"/>
      <c r="L355" s="218"/>
      <c r="AR355" s="61"/>
      <c r="AY355" s="146"/>
    </row>
    <row r="356" ht="15.75" customHeight="1">
      <c r="K356" s="217"/>
      <c r="L356" s="218"/>
      <c r="AR356" s="61"/>
      <c r="AY356" s="146"/>
    </row>
    <row r="357" ht="15.75" customHeight="1">
      <c r="K357" s="217"/>
      <c r="L357" s="218"/>
      <c r="AR357" s="61"/>
      <c r="AY357" s="146"/>
    </row>
    <row r="358" ht="15.75" customHeight="1">
      <c r="K358" s="217"/>
      <c r="L358" s="218"/>
      <c r="AR358" s="61"/>
      <c r="AY358" s="146"/>
    </row>
    <row r="359" ht="15.75" customHeight="1">
      <c r="K359" s="217"/>
      <c r="L359" s="218"/>
      <c r="AR359" s="61"/>
      <c r="AY359" s="146"/>
    </row>
    <row r="360" ht="15.75" customHeight="1">
      <c r="K360" s="217"/>
      <c r="L360" s="218"/>
      <c r="AR360" s="61"/>
      <c r="AY360" s="146"/>
    </row>
    <row r="361" ht="15.75" customHeight="1">
      <c r="K361" s="217"/>
      <c r="L361" s="218"/>
      <c r="AR361" s="61"/>
      <c r="AY361" s="146"/>
    </row>
    <row r="362" ht="15.75" customHeight="1">
      <c r="K362" s="217"/>
      <c r="L362" s="218"/>
      <c r="AR362" s="61"/>
      <c r="AY362" s="146"/>
    </row>
    <row r="363" ht="15.75" customHeight="1">
      <c r="K363" s="217"/>
      <c r="L363" s="218"/>
      <c r="AR363" s="61"/>
      <c r="AY363" s="146"/>
    </row>
    <row r="364" ht="15.75" customHeight="1">
      <c r="K364" s="217"/>
      <c r="L364" s="218"/>
      <c r="AR364" s="61"/>
      <c r="AY364" s="146"/>
    </row>
    <row r="365" ht="15.75" customHeight="1">
      <c r="K365" s="217"/>
      <c r="L365" s="218"/>
      <c r="AR365" s="61"/>
      <c r="AY365" s="146"/>
    </row>
    <row r="366" ht="15.75" customHeight="1">
      <c r="K366" s="217"/>
      <c r="L366" s="218"/>
      <c r="AR366" s="61"/>
      <c r="AY366" s="146"/>
    </row>
    <row r="367" ht="15.75" customHeight="1">
      <c r="K367" s="217"/>
      <c r="L367" s="218"/>
      <c r="AR367" s="61"/>
      <c r="AY367" s="146"/>
    </row>
    <row r="368" ht="15.75" customHeight="1">
      <c r="K368" s="217"/>
      <c r="L368" s="218"/>
      <c r="AR368" s="61"/>
      <c r="AY368" s="146"/>
    </row>
    <row r="369" ht="15.75" customHeight="1">
      <c r="K369" s="217"/>
      <c r="L369" s="218"/>
      <c r="AR369" s="61"/>
      <c r="AY369" s="146"/>
    </row>
    <row r="370" ht="15.75" customHeight="1">
      <c r="K370" s="217"/>
      <c r="L370" s="218"/>
      <c r="AR370" s="61"/>
      <c r="AY370" s="146"/>
    </row>
    <row r="371" ht="15.75" customHeight="1">
      <c r="K371" s="217"/>
      <c r="L371" s="218"/>
      <c r="AR371" s="61"/>
      <c r="AY371" s="146"/>
    </row>
    <row r="372" ht="15.75" customHeight="1">
      <c r="K372" s="217"/>
      <c r="L372" s="218"/>
      <c r="AR372" s="61"/>
      <c r="AY372" s="146"/>
    </row>
    <row r="373" ht="15.75" customHeight="1">
      <c r="K373" s="217"/>
      <c r="L373" s="218"/>
      <c r="AR373" s="61"/>
      <c r="AY373" s="146"/>
    </row>
    <row r="374" ht="15.75" customHeight="1">
      <c r="K374" s="217"/>
      <c r="L374" s="218"/>
      <c r="AR374" s="61"/>
      <c r="AY374" s="146"/>
    </row>
    <row r="375" ht="15.75" customHeight="1">
      <c r="K375" s="217"/>
      <c r="L375" s="218"/>
      <c r="AR375" s="61"/>
      <c r="AY375" s="146"/>
    </row>
    <row r="376" ht="15.75" customHeight="1">
      <c r="K376" s="217"/>
      <c r="L376" s="218"/>
      <c r="AR376" s="61"/>
      <c r="AY376" s="146"/>
    </row>
    <row r="377" ht="15.75" customHeight="1">
      <c r="K377" s="217"/>
      <c r="L377" s="218"/>
      <c r="AR377" s="61"/>
      <c r="AY377" s="146"/>
    </row>
    <row r="378" ht="15.75" customHeight="1">
      <c r="K378" s="217"/>
      <c r="L378" s="218"/>
      <c r="AR378" s="61"/>
      <c r="AY378" s="146"/>
    </row>
    <row r="379" ht="15.75" customHeight="1">
      <c r="K379" s="217"/>
      <c r="L379" s="218"/>
      <c r="AR379" s="61"/>
      <c r="AY379" s="146"/>
    </row>
    <row r="380" ht="15.75" customHeight="1">
      <c r="K380" s="217"/>
      <c r="L380" s="218"/>
      <c r="AR380" s="61"/>
      <c r="AY380" s="146"/>
    </row>
    <row r="381" ht="15.75" customHeight="1">
      <c r="K381" s="217"/>
      <c r="L381" s="218"/>
      <c r="AR381" s="61"/>
      <c r="AY381" s="146"/>
    </row>
    <row r="382" ht="15.75" customHeight="1">
      <c r="K382" s="217"/>
      <c r="L382" s="218"/>
      <c r="AR382" s="61"/>
      <c r="AY382" s="146"/>
    </row>
    <row r="383" ht="15.75" customHeight="1">
      <c r="K383" s="217"/>
      <c r="L383" s="218"/>
      <c r="AR383" s="61"/>
      <c r="AY383" s="146"/>
    </row>
    <row r="384" ht="15.75" customHeight="1">
      <c r="K384" s="217"/>
      <c r="L384" s="218"/>
      <c r="AR384" s="61"/>
      <c r="AY384" s="146"/>
    </row>
    <row r="385" ht="15.75" customHeight="1">
      <c r="K385" s="217"/>
      <c r="L385" s="218"/>
      <c r="AR385" s="61"/>
      <c r="AY385" s="146"/>
    </row>
    <row r="386" ht="15.75" customHeight="1">
      <c r="K386" s="217"/>
      <c r="L386" s="218"/>
      <c r="AR386" s="61"/>
      <c r="AY386" s="146"/>
    </row>
    <row r="387" ht="15.75" customHeight="1">
      <c r="K387" s="217"/>
      <c r="L387" s="218"/>
      <c r="AR387" s="61"/>
      <c r="AY387" s="146"/>
    </row>
    <row r="388" ht="15.75" customHeight="1">
      <c r="K388" s="217"/>
      <c r="L388" s="218"/>
      <c r="AR388" s="61"/>
      <c r="AY388" s="146"/>
    </row>
    <row r="389" ht="15.75" customHeight="1">
      <c r="K389" s="217"/>
      <c r="L389" s="218"/>
      <c r="AR389" s="61"/>
      <c r="AY389" s="146"/>
    </row>
    <row r="390" ht="15.75" customHeight="1">
      <c r="K390" s="217"/>
      <c r="L390" s="218"/>
      <c r="AR390" s="61"/>
      <c r="AY390" s="146"/>
    </row>
    <row r="391" ht="15.75" customHeight="1">
      <c r="K391" s="217"/>
      <c r="L391" s="218"/>
      <c r="AR391" s="61"/>
      <c r="AY391" s="146"/>
    </row>
    <row r="392" ht="15.75" customHeight="1">
      <c r="K392" s="217"/>
      <c r="L392" s="218"/>
      <c r="AR392" s="61"/>
      <c r="AY392" s="146"/>
    </row>
    <row r="393" ht="15.75" customHeight="1">
      <c r="K393" s="217"/>
      <c r="L393" s="218"/>
      <c r="AR393" s="61"/>
      <c r="AY393" s="146"/>
    </row>
    <row r="394" ht="15.75" customHeight="1">
      <c r="K394" s="217"/>
      <c r="L394" s="218"/>
      <c r="AR394" s="61"/>
      <c r="AY394" s="146"/>
    </row>
    <row r="395" ht="15.75" customHeight="1">
      <c r="K395" s="217"/>
      <c r="L395" s="218"/>
      <c r="AR395" s="61"/>
      <c r="AY395" s="146"/>
    </row>
    <row r="396" ht="15.75" customHeight="1">
      <c r="K396" s="217"/>
      <c r="L396" s="218"/>
      <c r="AR396" s="61"/>
      <c r="AY396" s="146"/>
    </row>
    <row r="397" ht="15.75" customHeight="1">
      <c r="K397" s="217"/>
      <c r="L397" s="218"/>
      <c r="AR397" s="61"/>
      <c r="AY397" s="146"/>
    </row>
    <row r="398" ht="15.75" customHeight="1">
      <c r="K398" s="217"/>
      <c r="L398" s="218"/>
      <c r="AR398" s="61"/>
      <c r="AY398" s="146"/>
    </row>
    <row r="399" ht="15.75" customHeight="1">
      <c r="K399" s="217"/>
      <c r="L399" s="218"/>
      <c r="AR399" s="61"/>
      <c r="AY399" s="146"/>
    </row>
    <row r="400" ht="15.75" customHeight="1">
      <c r="K400" s="217"/>
      <c r="L400" s="218"/>
      <c r="AR400" s="61"/>
      <c r="AY400" s="146"/>
    </row>
    <row r="401" ht="15.75" customHeight="1">
      <c r="K401" s="217"/>
      <c r="L401" s="218"/>
      <c r="AR401" s="61"/>
      <c r="AY401" s="146"/>
    </row>
    <row r="402" ht="15.75" customHeight="1">
      <c r="K402" s="217"/>
      <c r="L402" s="218"/>
      <c r="AR402" s="61"/>
      <c r="AY402" s="146"/>
    </row>
    <row r="403" ht="15.75" customHeight="1">
      <c r="K403" s="217"/>
      <c r="L403" s="218"/>
      <c r="AR403" s="61"/>
      <c r="AY403" s="146"/>
    </row>
    <row r="404" ht="15.75" customHeight="1">
      <c r="K404" s="217"/>
      <c r="L404" s="218"/>
      <c r="AR404" s="61"/>
      <c r="AY404" s="146"/>
    </row>
    <row r="405" ht="15.75" customHeight="1">
      <c r="K405" s="217"/>
      <c r="L405" s="218"/>
      <c r="AR405" s="61"/>
      <c r="AY405" s="146"/>
    </row>
    <row r="406" ht="15.75" customHeight="1">
      <c r="K406" s="217"/>
      <c r="L406" s="218"/>
      <c r="AR406" s="61"/>
      <c r="AY406" s="146"/>
    </row>
    <row r="407" ht="15.75" customHeight="1">
      <c r="K407" s="217"/>
      <c r="L407" s="218"/>
      <c r="AR407" s="61"/>
      <c r="AY407" s="146"/>
    </row>
    <row r="408" ht="15.75" customHeight="1">
      <c r="K408" s="217"/>
      <c r="L408" s="218"/>
      <c r="AR408" s="61"/>
      <c r="AY408" s="146"/>
    </row>
    <row r="409" ht="15.75" customHeight="1">
      <c r="K409" s="217"/>
      <c r="L409" s="218"/>
      <c r="AR409" s="61"/>
      <c r="AY409" s="146"/>
    </row>
    <row r="410" ht="15.75" customHeight="1">
      <c r="K410" s="217"/>
      <c r="L410" s="218"/>
      <c r="AR410" s="61"/>
      <c r="AY410" s="146"/>
    </row>
    <row r="411" ht="15.75" customHeight="1">
      <c r="K411" s="217"/>
      <c r="L411" s="218"/>
      <c r="AR411" s="61"/>
      <c r="AY411" s="146"/>
    </row>
    <row r="412" ht="15.75" customHeight="1">
      <c r="K412" s="217"/>
      <c r="L412" s="218"/>
      <c r="AR412" s="61"/>
      <c r="AY412" s="146"/>
    </row>
    <row r="413" ht="15.75" customHeight="1">
      <c r="K413" s="217"/>
      <c r="L413" s="218"/>
      <c r="AR413" s="61"/>
      <c r="AY413" s="146"/>
    </row>
    <row r="414" ht="15.75" customHeight="1">
      <c r="K414" s="217"/>
      <c r="L414" s="218"/>
      <c r="AR414" s="61"/>
      <c r="AY414" s="146"/>
    </row>
    <row r="415" ht="15.75" customHeight="1">
      <c r="K415" s="217"/>
      <c r="L415" s="218"/>
      <c r="AR415" s="61"/>
      <c r="AY415" s="146"/>
    </row>
    <row r="416" ht="15.75" customHeight="1">
      <c r="K416" s="217"/>
      <c r="L416" s="218"/>
      <c r="AR416" s="61"/>
      <c r="AY416" s="146"/>
    </row>
    <row r="417" ht="15.75" customHeight="1">
      <c r="K417" s="217"/>
      <c r="L417" s="218"/>
      <c r="AR417" s="61"/>
      <c r="AY417" s="146"/>
    </row>
    <row r="418" ht="15.75" customHeight="1">
      <c r="K418" s="217"/>
      <c r="L418" s="218"/>
      <c r="AR418" s="61"/>
      <c r="AY418" s="146"/>
    </row>
    <row r="419" ht="15.75" customHeight="1">
      <c r="K419" s="217"/>
      <c r="L419" s="218"/>
      <c r="AR419" s="61"/>
      <c r="AY419" s="146"/>
    </row>
    <row r="420" ht="15.75" customHeight="1">
      <c r="K420" s="217"/>
      <c r="L420" s="218"/>
      <c r="AR420" s="61"/>
      <c r="AY420" s="146"/>
    </row>
    <row r="421" ht="15.75" customHeight="1">
      <c r="K421" s="217"/>
      <c r="L421" s="218"/>
      <c r="AR421" s="61"/>
      <c r="AY421" s="146"/>
    </row>
    <row r="422" ht="15.75" customHeight="1">
      <c r="K422" s="217"/>
      <c r="L422" s="218"/>
      <c r="AR422" s="61"/>
      <c r="AY422" s="146"/>
    </row>
    <row r="423" ht="15.75" customHeight="1">
      <c r="K423" s="217"/>
      <c r="L423" s="218"/>
      <c r="AR423" s="61"/>
      <c r="AY423" s="146"/>
    </row>
    <row r="424" ht="15.75" customHeight="1">
      <c r="K424" s="217"/>
      <c r="L424" s="218"/>
      <c r="AR424" s="61"/>
      <c r="AY424" s="146"/>
    </row>
    <row r="425" ht="15.75" customHeight="1">
      <c r="K425" s="217"/>
      <c r="L425" s="218"/>
      <c r="AR425" s="61"/>
      <c r="AY425" s="146"/>
    </row>
    <row r="426" ht="15.75" customHeight="1">
      <c r="K426" s="217"/>
      <c r="L426" s="218"/>
      <c r="AR426" s="61"/>
      <c r="AY426" s="146"/>
    </row>
    <row r="427" ht="15.75" customHeight="1">
      <c r="K427" s="217"/>
      <c r="L427" s="218"/>
      <c r="AR427" s="61"/>
      <c r="AY427" s="146"/>
    </row>
    <row r="428" ht="15.75" customHeight="1">
      <c r="K428" s="217"/>
      <c r="L428" s="218"/>
      <c r="AR428" s="61"/>
      <c r="AY428" s="146"/>
    </row>
    <row r="429" ht="15.75" customHeight="1">
      <c r="K429" s="217"/>
      <c r="L429" s="218"/>
      <c r="AR429" s="61"/>
      <c r="AY429" s="146"/>
    </row>
    <row r="430" ht="15.75" customHeight="1">
      <c r="K430" s="217"/>
      <c r="L430" s="218"/>
      <c r="AR430" s="61"/>
      <c r="AY430" s="146"/>
    </row>
    <row r="431" ht="15.75" customHeight="1">
      <c r="K431" s="217"/>
      <c r="L431" s="218"/>
      <c r="AR431" s="61"/>
      <c r="AY431" s="146"/>
    </row>
    <row r="432" ht="15.75" customHeight="1">
      <c r="K432" s="217"/>
      <c r="L432" s="218"/>
      <c r="AR432" s="61"/>
      <c r="AY432" s="146"/>
    </row>
    <row r="433" ht="15.75" customHeight="1">
      <c r="K433" s="217"/>
      <c r="L433" s="218"/>
      <c r="AR433" s="61"/>
      <c r="AY433" s="146"/>
    </row>
    <row r="434" ht="15.75" customHeight="1">
      <c r="K434" s="217"/>
      <c r="L434" s="218"/>
      <c r="AR434" s="61"/>
      <c r="AY434" s="146"/>
    </row>
    <row r="435" ht="15.75" customHeight="1">
      <c r="K435" s="217"/>
      <c r="L435" s="218"/>
      <c r="AR435" s="61"/>
      <c r="AY435" s="146"/>
    </row>
    <row r="436" ht="15.75" customHeight="1">
      <c r="K436" s="217"/>
      <c r="L436" s="218"/>
      <c r="AR436" s="61"/>
      <c r="AY436" s="146"/>
    </row>
    <row r="437" ht="15.75" customHeight="1">
      <c r="K437" s="217"/>
      <c r="L437" s="218"/>
      <c r="AR437" s="61"/>
      <c r="AY437" s="146"/>
    </row>
    <row r="438" ht="15.75" customHeight="1">
      <c r="K438" s="217"/>
      <c r="L438" s="218"/>
      <c r="AR438" s="61"/>
      <c r="AY438" s="146"/>
    </row>
    <row r="439" ht="15.75" customHeight="1">
      <c r="K439" s="217"/>
      <c r="L439" s="218"/>
      <c r="AR439" s="61"/>
      <c r="AY439" s="146"/>
    </row>
    <row r="440" ht="15.75" customHeight="1">
      <c r="K440" s="217"/>
      <c r="L440" s="218"/>
      <c r="AR440" s="61"/>
      <c r="AY440" s="146"/>
    </row>
    <row r="441" ht="15.75" customHeight="1">
      <c r="K441" s="217"/>
      <c r="L441" s="218"/>
      <c r="AR441" s="61"/>
      <c r="AY441" s="146"/>
    </row>
    <row r="442" ht="15.75" customHeight="1">
      <c r="K442" s="217"/>
      <c r="L442" s="218"/>
      <c r="AR442" s="61"/>
      <c r="AY442" s="146"/>
    </row>
    <row r="443" ht="15.75" customHeight="1">
      <c r="K443" s="217"/>
      <c r="L443" s="218"/>
      <c r="AR443" s="61"/>
      <c r="AY443" s="146"/>
    </row>
    <row r="444" ht="15.75" customHeight="1">
      <c r="K444" s="217"/>
      <c r="L444" s="218"/>
      <c r="AR444" s="61"/>
      <c r="AY444" s="146"/>
    </row>
    <row r="445" ht="15.75" customHeight="1">
      <c r="K445" s="217"/>
      <c r="L445" s="218"/>
      <c r="AR445" s="61"/>
      <c r="AY445" s="146"/>
    </row>
    <row r="446" ht="15.75" customHeight="1">
      <c r="K446" s="217"/>
      <c r="L446" s="218"/>
      <c r="AR446" s="61"/>
      <c r="AY446" s="146"/>
    </row>
    <row r="447" ht="15.75" customHeight="1">
      <c r="K447" s="217"/>
      <c r="L447" s="218"/>
      <c r="AR447" s="61"/>
      <c r="AY447" s="146"/>
    </row>
    <row r="448" ht="15.75" customHeight="1">
      <c r="K448" s="217"/>
      <c r="L448" s="218"/>
      <c r="AR448" s="61"/>
      <c r="AY448" s="146"/>
    </row>
    <row r="449" ht="15.75" customHeight="1">
      <c r="K449" s="217"/>
      <c r="L449" s="218"/>
      <c r="AR449" s="61"/>
      <c r="AY449" s="146"/>
    </row>
    <row r="450" ht="15.75" customHeight="1">
      <c r="K450" s="217"/>
      <c r="L450" s="218"/>
      <c r="AR450" s="61"/>
      <c r="AY450" s="146"/>
    </row>
    <row r="451" ht="15.75" customHeight="1">
      <c r="K451" s="217"/>
      <c r="L451" s="218"/>
      <c r="AR451" s="61"/>
      <c r="AY451" s="146"/>
    </row>
    <row r="452" ht="15.75" customHeight="1">
      <c r="K452" s="217"/>
      <c r="L452" s="218"/>
      <c r="AR452" s="61"/>
      <c r="AY452" s="146"/>
    </row>
    <row r="453" ht="15.75" customHeight="1">
      <c r="K453" s="217"/>
      <c r="L453" s="218"/>
      <c r="AR453" s="61"/>
      <c r="AY453" s="146"/>
    </row>
    <row r="454" ht="15.75" customHeight="1">
      <c r="K454" s="217"/>
      <c r="L454" s="218"/>
      <c r="AR454" s="61"/>
      <c r="AY454" s="146"/>
    </row>
    <row r="455" ht="15.75" customHeight="1">
      <c r="K455" s="217"/>
      <c r="L455" s="218"/>
      <c r="AR455" s="61"/>
      <c r="AY455" s="146"/>
    </row>
    <row r="456" ht="15.75" customHeight="1">
      <c r="K456" s="217"/>
      <c r="L456" s="218"/>
      <c r="AR456" s="61"/>
      <c r="AY456" s="146"/>
    </row>
    <row r="457" ht="15.75" customHeight="1">
      <c r="K457" s="217"/>
      <c r="L457" s="218"/>
      <c r="AR457" s="61"/>
      <c r="AY457" s="146"/>
    </row>
    <row r="458" ht="15.75" customHeight="1">
      <c r="K458" s="217"/>
      <c r="L458" s="218"/>
      <c r="AR458" s="61"/>
      <c r="AY458" s="146"/>
    </row>
    <row r="459" ht="15.75" customHeight="1">
      <c r="K459" s="217"/>
      <c r="L459" s="218"/>
      <c r="AR459" s="61"/>
      <c r="AY459" s="146"/>
    </row>
    <row r="460" ht="15.75" customHeight="1">
      <c r="K460" s="217"/>
      <c r="L460" s="218"/>
      <c r="AR460" s="61"/>
      <c r="AY460" s="146"/>
    </row>
    <row r="461" ht="15.75" customHeight="1">
      <c r="K461" s="217"/>
      <c r="L461" s="218"/>
      <c r="AR461" s="61"/>
      <c r="AY461" s="146"/>
    </row>
    <row r="462" ht="15.75" customHeight="1">
      <c r="K462" s="217"/>
      <c r="L462" s="218"/>
      <c r="AR462" s="61"/>
      <c r="AY462" s="146"/>
    </row>
    <row r="463" ht="15.75" customHeight="1">
      <c r="K463" s="217"/>
      <c r="L463" s="218"/>
      <c r="AR463" s="61"/>
      <c r="AY463" s="146"/>
    </row>
    <row r="464" ht="15.75" customHeight="1">
      <c r="K464" s="217"/>
      <c r="L464" s="218"/>
      <c r="AR464" s="61"/>
      <c r="AY464" s="146"/>
    </row>
    <row r="465" ht="15.75" customHeight="1">
      <c r="K465" s="217"/>
      <c r="L465" s="218"/>
      <c r="AR465" s="61"/>
      <c r="AY465" s="146"/>
    </row>
    <row r="466" ht="15.75" customHeight="1">
      <c r="K466" s="217"/>
      <c r="L466" s="218"/>
      <c r="AR466" s="61"/>
      <c r="AY466" s="146"/>
    </row>
    <row r="467" ht="15.75" customHeight="1">
      <c r="K467" s="217"/>
      <c r="L467" s="218"/>
      <c r="AR467" s="61"/>
      <c r="AY467" s="146"/>
    </row>
    <row r="468" ht="15.75" customHeight="1">
      <c r="K468" s="217"/>
      <c r="L468" s="218"/>
      <c r="AR468" s="61"/>
      <c r="AY468" s="146"/>
    </row>
    <row r="469" ht="15.75" customHeight="1">
      <c r="K469" s="217"/>
      <c r="L469" s="218"/>
      <c r="AR469" s="61"/>
      <c r="AY469" s="146"/>
    </row>
    <row r="470" ht="15.75" customHeight="1">
      <c r="K470" s="217"/>
      <c r="L470" s="218"/>
      <c r="AR470" s="61"/>
      <c r="AY470" s="146"/>
    </row>
    <row r="471" ht="15.75" customHeight="1">
      <c r="K471" s="217"/>
      <c r="L471" s="218"/>
      <c r="AR471" s="61"/>
      <c r="AY471" s="146"/>
    </row>
    <row r="472" ht="15.75" customHeight="1">
      <c r="K472" s="217"/>
      <c r="L472" s="218"/>
      <c r="AR472" s="61"/>
      <c r="AY472" s="146"/>
    </row>
    <row r="473" ht="15.75" customHeight="1">
      <c r="K473" s="217"/>
      <c r="L473" s="218"/>
      <c r="AR473" s="61"/>
      <c r="AY473" s="146"/>
    </row>
    <row r="474" ht="15.75" customHeight="1">
      <c r="K474" s="217"/>
      <c r="L474" s="218"/>
      <c r="AR474" s="61"/>
      <c r="AY474" s="146"/>
    </row>
    <row r="475" ht="15.75" customHeight="1">
      <c r="K475" s="217"/>
      <c r="L475" s="218"/>
      <c r="AR475" s="61"/>
      <c r="AY475" s="146"/>
    </row>
    <row r="476" ht="15.75" customHeight="1">
      <c r="K476" s="217"/>
      <c r="L476" s="218"/>
      <c r="AR476" s="61"/>
      <c r="AY476" s="146"/>
    </row>
    <row r="477" ht="15.75" customHeight="1">
      <c r="K477" s="217"/>
      <c r="L477" s="218"/>
      <c r="AR477" s="61"/>
      <c r="AY477" s="146"/>
    </row>
    <row r="478" ht="15.75" customHeight="1">
      <c r="K478" s="217"/>
      <c r="L478" s="218"/>
      <c r="AR478" s="61"/>
      <c r="AY478" s="146"/>
    </row>
    <row r="479" ht="15.75" customHeight="1">
      <c r="K479" s="217"/>
      <c r="L479" s="218"/>
      <c r="AR479" s="61"/>
      <c r="AY479" s="146"/>
    </row>
    <row r="480" ht="15.75" customHeight="1">
      <c r="K480" s="217"/>
      <c r="L480" s="218"/>
      <c r="AR480" s="61"/>
      <c r="AY480" s="146"/>
    </row>
    <row r="481" ht="15.75" customHeight="1">
      <c r="K481" s="217"/>
      <c r="L481" s="218"/>
      <c r="AR481" s="61"/>
      <c r="AY481" s="146"/>
    </row>
    <row r="482" ht="15.75" customHeight="1">
      <c r="K482" s="217"/>
      <c r="L482" s="218"/>
      <c r="AR482" s="61"/>
      <c r="AY482" s="146"/>
    </row>
    <row r="483" ht="15.75" customHeight="1">
      <c r="K483" s="217"/>
      <c r="L483" s="218"/>
      <c r="AR483" s="61"/>
      <c r="AY483" s="146"/>
    </row>
    <row r="484" ht="15.75" customHeight="1">
      <c r="K484" s="217"/>
      <c r="L484" s="218"/>
      <c r="AR484" s="61"/>
      <c r="AY484" s="146"/>
    </row>
    <row r="485" ht="15.75" customHeight="1">
      <c r="K485" s="217"/>
      <c r="L485" s="218"/>
      <c r="AR485" s="61"/>
      <c r="AY485" s="146"/>
    </row>
    <row r="486" ht="15.75" customHeight="1">
      <c r="K486" s="217"/>
      <c r="L486" s="218"/>
      <c r="AR486" s="61"/>
      <c r="AY486" s="146"/>
    </row>
    <row r="487" ht="15.75" customHeight="1">
      <c r="K487" s="217"/>
      <c r="L487" s="218"/>
      <c r="AR487" s="61"/>
      <c r="AY487" s="146"/>
    </row>
    <row r="488" ht="15.75" customHeight="1">
      <c r="K488" s="217"/>
      <c r="L488" s="218"/>
      <c r="AR488" s="61"/>
      <c r="AY488" s="146"/>
    </row>
    <row r="489" ht="15.75" customHeight="1">
      <c r="K489" s="217"/>
      <c r="L489" s="218"/>
      <c r="AR489" s="61"/>
      <c r="AY489" s="146"/>
    </row>
    <row r="490" ht="15.75" customHeight="1">
      <c r="K490" s="217"/>
      <c r="L490" s="218"/>
      <c r="AR490" s="61"/>
      <c r="AY490" s="146"/>
    </row>
    <row r="491" ht="15.75" customHeight="1">
      <c r="K491" s="217"/>
      <c r="L491" s="218"/>
      <c r="AR491" s="61"/>
      <c r="AY491" s="146"/>
    </row>
    <row r="492" ht="15.75" customHeight="1">
      <c r="K492" s="217"/>
      <c r="L492" s="218"/>
      <c r="AR492" s="61"/>
      <c r="AY492" s="146"/>
    </row>
    <row r="493" ht="15.75" customHeight="1">
      <c r="K493" s="217"/>
      <c r="L493" s="218"/>
      <c r="AR493" s="61"/>
      <c r="AY493" s="146"/>
    </row>
    <row r="494" ht="15.75" customHeight="1">
      <c r="K494" s="217"/>
      <c r="L494" s="218"/>
      <c r="AR494" s="61"/>
      <c r="AY494" s="146"/>
    </row>
    <row r="495" ht="15.75" customHeight="1">
      <c r="K495" s="217"/>
      <c r="L495" s="218"/>
      <c r="AR495" s="61"/>
      <c r="AY495" s="146"/>
    </row>
    <row r="496" ht="15.75" customHeight="1">
      <c r="K496" s="217"/>
      <c r="L496" s="218"/>
      <c r="AR496" s="61"/>
      <c r="AY496" s="146"/>
    </row>
    <row r="497" ht="15.75" customHeight="1">
      <c r="K497" s="217"/>
      <c r="L497" s="218"/>
      <c r="AR497" s="61"/>
      <c r="AY497" s="146"/>
    </row>
    <row r="498" ht="15.75" customHeight="1">
      <c r="K498" s="217"/>
      <c r="L498" s="218"/>
      <c r="AR498" s="61"/>
      <c r="AY498" s="146"/>
    </row>
    <row r="499" ht="15.75" customHeight="1">
      <c r="K499" s="217"/>
      <c r="L499" s="218"/>
      <c r="AR499" s="61"/>
      <c r="AY499" s="146"/>
    </row>
    <row r="500" ht="15.75" customHeight="1">
      <c r="K500" s="217"/>
      <c r="L500" s="218"/>
      <c r="AR500" s="61"/>
      <c r="AY500" s="146"/>
    </row>
    <row r="501" ht="15.75" customHeight="1">
      <c r="K501" s="217"/>
      <c r="L501" s="218"/>
      <c r="AR501" s="61"/>
      <c r="AY501" s="146"/>
    </row>
    <row r="502" ht="15.75" customHeight="1">
      <c r="K502" s="217"/>
      <c r="L502" s="218"/>
      <c r="AR502" s="61"/>
      <c r="AY502" s="146"/>
    </row>
    <row r="503" ht="15.75" customHeight="1">
      <c r="K503" s="217"/>
      <c r="L503" s="218"/>
      <c r="AR503" s="61"/>
      <c r="AY503" s="146"/>
    </row>
    <row r="504" ht="15.75" customHeight="1">
      <c r="K504" s="217"/>
      <c r="L504" s="218"/>
      <c r="AR504" s="61"/>
      <c r="AY504" s="146"/>
    </row>
    <row r="505" ht="15.75" customHeight="1">
      <c r="K505" s="217"/>
      <c r="L505" s="218"/>
      <c r="AR505" s="61"/>
      <c r="AY505" s="146"/>
    </row>
    <row r="506" ht="15.75" customHeight="1">
      <c r="K506" s="217"/>
      <c r="L506" s="218"/>
      <c r="AR506" s="61"/>
      <c r="AY506" s="146"/>
    </row>
    <row r="507" ht="15.75" customHeight="1">
      <c r="K507" s="217"/>
      <c r="L507" s="218"/>
      <c r="AR507" s="61"/>
      <c r="AY507" s="146"/>
    </row>
    <row r="508" ht="15.75" customHeight="1">
      <c r="K508" s="217"/>
      <c r="L508" s="218"/>
      <c r="AR508" s="61"/>
      <c r="AY508" s="146"/>
    </row>
    <row r="509" ht="15.75" customHeight="1">
      <c r="K509" s="217"/>
      <c r="L509" s="218"/>
      <c r="AR509" s="61"/>
      <c r="AY509" s="146"/>
    </row>
    <row r="510" ht="15.75" customHeight="1">
      <c r="K510" s="217"/>
      <c r="L510" s="218"/>
      <c r="AR510" s="61"/>
      <c r="AY510" s="146"/>
    </row>
    <row r="511" ht="15.75" customHeight="1">
      <c r="K511" s="217"/>
      <c r="L511" s="218"/>
      <c r="AR511" s="61"/>
      <c r="AY511" s="146"/>
    </row>
    <row r="512" ht="15.75" customHeight="1">
      <c r="K512" s="217"/>
      <c r="L512" s="218"/>
      <c r="AR512" s="61"/>
      <c r="AY512" s="146"/>
    </row>
    <row r="513" ht="15.75" customHeight="1">
      <c r="K513" s="217"/>
      <c r="L513" s="218"/>
      <c r="AR513" s="61"/>
      <c r="AY513" s="146"/>
    </row>
    <row r="514" ht="15.75" customHeight="1">
      <c r="K514" s="217"/>
      <c r="L514" s="218"/>
      <c r="AR514" s="61"/>
      <c r="AY514" s="146"/>
    </row>
    <row r="515" ht="15.75" customHeight="1">
      <c r="K515" s="217"/>
      <c r="L515" s="218"/>
      <c r="AR515" s="61"/>
      <c r="AY515" s="146"/>
    </row>
    <row r="516" ht="15.75" customHeight="1">
      <c r="K516" s="217"/>
      <c r="L516" s="218"/>
      <c r="AR516" s="61"/>
      <c r="AY516" s="146"/>
    </row>
    <row r="517" ht="15.75" customHeight="1">
      <c r="K517" s="217"/>
      <c r="L517" s="218"/>
      <c r="AR517" s="61"/>
      <c r="AY517" s="146"/>
    </row>
    <row r="518" ht="15.75" customHeight="1">
      <c r="K518" s="217"/>
      <c r="L518" s="218"/>
      <c r="AR518" s="61"/>
      <c r="AY518" s="146"/>
    </row>
    <row r="519" ht="15.75" customHeight="1">
      <c r="K519" s="217"/>
      <c r="L519" s="218"/>
      <c r="AR519" s="61"/>
      <c r="AY519" s="146"/>
    </row>
    <row r="520" ht="15.75" customHeight="1">
      <c r="K520" s="217"/>
      <c r="L520" s="218"/>
      <c r="AR520" s="61"/>
      <c r="AY520" s="146"/>
    </row>
    <row r="521" ht="15.75" customHeight="1">
      <c r="K521" s="217"/>
      <c r="L521" s="218"/>
      <c r="AR521" s="61"/>
      <c r="AY521" s="146"/>
    </row>
    <row r="522" ht="15.75" customHeight="1">
      <c r="K522" s="217"/>
      <c r="L522" s="218"/>
      <c r="AR522" s="61"/>
      <c r="AY522" s="146"/>
    </row>
    <row r="523" ht="15.75" customHeight="1">
      <c r="K523" s="217"/>
      <c r="L523" s="218"/>
      <c r="AR523" s="61"/>
      <c r="AY523" s="146"/>
    </row>
    <row r="524" ht="15.75" customHeight="1">
      <c r="K524" s="217"/>
      <c r="L524" s="218"/>
      <c r="AR524" s="61"/>
      <c r="AY524" s="146"/>
    </row>
    <row r="525" ht="15.75" customHeight="1">
      <c r="K525" s="217"/>
      <c r="L525" s="218"/>
      <c r="AR525" s="61"/>
      <c r="AY525" s="146"/>
    </row>
    <row r="526" ht="15.75" customHeight="1">
      <c r="K526" s="217"/>
      <c r="L526" s="218"/>
      <c r="AR526" s="61"/>
      <c r="AY526" s="146"/>
    </row>
    <row r="527" ht="15.75" customHeight="1">
      <c r="K527" s="217"/>
      <c r="L527" s="218"/>
      <c r="AR527" s="61"/>
      <c r="AY527" s="146"/>
    </row>
    <row r="528" ht="15.75" customHeight="1">
      <c r="K528" s="217"/>
      <c r="L528" s="218"/>
      <c r="AR528" s="61"/>
      <c r="AY528" s="146"/>
    </row>
    <row r="529" ht="15.75" customHeight="1">
      <c r="K529" s="217"/>
      <c r="L529" s="218"/>
      <c r="AR529" s="61"/>
      <c r="AY529" s="146"/>
    </row>
    <row r="530" ht="15.75" customHeight="1">
      <c r="K530" s="217"/>
      <c r="L530" s="218"/>
      <c r="AR530" s="61"/>
      <c r="AY530" s="146"/>
    </row>
    <row r="531" ht="15.75" customHeight="1">
      <c r="K531" s="217"/>
      <c r="L531" s="218"/>
      <c r="AR531" s="61"/>
      <c r="AY531" s="146"/>
    </row>
    <row r="532" ht="15.75" customHeight="1">
      <c r="K532" s="217"/>
      <c r="L532" s="218"/>
      <c r="AR532" s="61"/>
      <c r="AY532" s="146"/>
    </row>
    <row r="533" ht="15.75" customHeight="1">
      <c r="K533" s="217"/>
      <c r="L533" s="218"/>
      <c r="AR533" s="61"/>
      <c r="AY533" s="146"/>
    </row>
    <row r="534" ht="15.75" customHeight="1">
      <c r="K534" s="217"/>
      <c r="L534" s="218"/>
      <c r="AR534" s="61"/>
      <c r="AY534" s="146"/>
    </row>
    <row r="535" ht="15.75" customHeight="1">
      <c r="K535" s="217"/>
      <c r="L535" s="218"/>
      <c r="AR535" s="61"/>
      <c r="AY535" s="146"/>
    </row>
    <row r="536" ht="15.75" customHeight="1">
      <c r="K536" s="217"/>
      <c r="L536" s="218"/>
      <c r="AR536" s="61"/>
      <c r="AY536" s="146"/>
    </row>
    <row r="537" ht="15.75" customHeight="1">
      <c r="K537" s="217"/>
      <c r="L537" s="218"/>
      <c r="AR537" s="61"/>
      <c r="AY537" s="146"/>
    </row>
    <row r="538" ht="15.75" customHeight="1">
      <c r="K538" s="217"/>
      <c r="L538" s="218"/>
      <c r="AR538" s="61"/>
      <c r="AY538" s="146"/>
    </row>
    <row r="539" ht="15.75" customHeight="1">
      <c r="K539" s="217"/>
      <c r="L539" s="218"/>
      <c r="AR539" s="61"/>
      <c r="AY539" s="146"/>
    </row>
    <row r="540" ht="15.75" customHeight="1">
      <c r="K540" s="217"/>
      <c r="L540" s="218"/>
      <c r="AR540" s="61"/>
      <c r="AY540" s="146"/>
    </row>
    <row r="541" ht="15.75" customHeight="1">
      <c r="K541" s="217"/>
      <c r="L541" s="218"/>
      <c r="AR541" s="61"/>
      <c r="AY541" s="146"/>
    </row>
    <row r="542" ht="15.75" customHeight="1">
      <c r="K542" s="217"/>
      <c r="L542" s="218"/>
      <c r="AR542" s="61"/>
      <c r="AY542" s="146"/>
    </row>
    <row r="543" ht="15.75" customHeight="1">
      <c r="K543" s="217"/>
      <c r="L543" s="218"/>
      <c r="AR543" s="61"/>
      <c r="AY543" s="146"/>
    </row>
    <row r="544" ht="15.75" customHeight="1">
      <c r="K544" s="217"/>
      <c r="L544" s="218"/>
      <c r="AR544" s="61"/>
      <c r="AY544" s="146"/>
    </row>
    <row r="545" ht="15.75" customHeight="1">
      <c r="K545" s="217"/>
      <c r="L545" s="218"/>
      <c r="AR545" s="61"/>
      <c r="AY545" s="146"/>
    </row>
    <row r="546" ht="15.75" customHeight="1">
      <c r="K546" s="217"/>
      <c r="L546" s="218"/>
      <c r="AR546" s="61"/>
      <c r="AY546" s="146"/>
    </row>
    <row r="547" ht="15.75" customHeight="1">
      <c r="K547" s="217"/>
      <c r="L547" s="218"/>
      <c r="AR547" s="61"/>
      <c r="AY547" s="146"/>
    </row>
    <row r="548" ht="15.75" customHeight="1">
      <c r="K548" s="217"/>
      <c r="L548" s="218"/>
      <c r="AR548" s="61"/>
      <c r="AY548" s="146"/>
    </row>
    <row r="549" ht="15.75" customHeight="1">
      <c r="K549" s="217"/>
      <c r="L549" s="218"/>
      <c r="AR549" s="61"/>
      <c r="AY549" s="146"/>
    </row>
    <row r="550" ht="15.75" customHeight="1">
      <c r="K550" s="217"/>
      <c r="L550" s="218"/>
      <c r="AR550" s="61"/>
      <c r="AY550" s="146"/>
    </row>
    <row r="551" ht="15.75" customHeight="1">
      <c r="K551" s="217"/>
      <c r="L551" s="218"/>
      <c r="AR551" s="61"/>
      <c r="AY551" s="146"/>
    </row>
    <row r="552" ht="15.75" customHeight="1">
      <c r="K552" s="217"/>
      <c r="L552" s="218"/>
      <c r="AR552" s="61"/>
      <c r="AY552" s="146"/>
    </row>
    <row r="553" ht="15.75" customHeight="1">
      <c r="K553" s="217"/>
      <c r="L553" s="218"/>
      <c r="AR553" s="61"/>
      <c r="AY553" s="146"/>
    </row>
    <row r="554" ht="15.75" customHeight="1">
      <c r="K554" s="217"/>
      <c r="L554" s="218"/>
      <c r="AR554" s="61"/>
      <c r="AY554" s="146"/>
    </row>
    <row r="555" ht="15.75" customHeight="1">
      <c r="K555" s="217"/>
      <c r="L555" s="218"/>
      <c r="AR555" s="61"/>
      <c r="AY555" s="146"/>
    </row>
    <row r="556" ht="15.75" customHeight="1">
      <c r="K556" s="217"/>
      <c r="L556" s="218"/>
      <c r="AR556" s="61"/>
      <c r="AY556" s="146"/>
    </row>
    <row r="557" ht="15.75" customHeight="1">
      <c r="K557" s="217"/>
      <c r="L557" s="218"/>
      <c r="AR557" s="61"/>
      <c r="AY557" s="146"/>
    </row>
    <row r="558" ht="15.75" customHeight="1">
      <c r="K558" s="217"/>
      <c r="L558" s="218"/>
      <c r="AR558" s="61"/>
      <c r="AY558" s="146"/>
    </row>
    <row r="559" ht="15.75" customHeight="1">
      <c r="K559" s="217"/>
      <c r="L559" s="218"/>
      <c r="AR559" s="61"/>
      <c r="AY559" s="146"/>
    </row>
    <row r="560" ht="15.75" customHeight="1">
      <c r="K560" s="217"/>
      <c r="L560" s="218"/>
      <c r="AR560" s="61"/>
      <c r="AY560" s="146"/>
    </row>
    <row r="561" ht="15.75" customHeight="1">
      <c r="K561" s="217"/>
      <c r="L561" s="218"/>
      <c r="AR561" s="61"/>
      <c r="AY561" s="146"/>
    </row>
    <row r="562" ht="15.75" customHeight="1">
      <c r="K562" s="217"/>
      <c r="L562" s="218"/>
      <c r="AR562" s="61"/>
      <c r="AY562" s="146"/>
    </row>
    <row r="563" ht="15.75" customHeight="1">
      <c r="K563" s="217"/>
      <c r="L563" s="218"/>
      <c r="AR563" s="61"/>
      <c r="AY563" s="146"/>
    </row>
    <row r="564" ht="15.75" customHeight="1">
      <c r="K564" s="217"/>
      <c r="L564" s="218"/>
      <c r="AR564" s="61"/>
      <c r="AY564" s="146"/>
    </row>
    <row r="565" ht="15.75" customHeight="1">
      <c r="K565" s="217"/>
      <c r="L565" s="218"/>
      <c r="AR565" s="61"/>
      <c r="AY565" s="146"/>
    </row>
    <row r="566" ht="15.75" customHeight="1">
      <c r="K566" s="217"/>
      <c r="L566" s="218"/>
      <c r="AR566" s="61"/>
      <c r="AY566" s="146"/>
    </row>
    <row r="567" ht="15.75" customHeight="1">
      <c r="K567" s="217"/>
      <c r="L567" s="218"/>
      <c r="AR567" s="61"/>
      <c r="AY567" s="146"/>
    </row>
    <row r="568" ht="15.75" customHeight="1">
      <c r="K568" s="217"/>
      <c r="L568" s="218"/>
      <c r="AR568" s="61"/>
      <c r="AY568" s="146"/>
    </row>
    <row r="569" ht="15.75" customHeight="1">
      <c r="K569" s="217"/>
      <c r="L569" s="218"/>
      <c r="AR569" s="61"/>
      <c r="AY569" s="146"/>
    </row>
    <row r="570" ht="15.75" customHeight="1">
      <c r="K570" s="217"/>
      <c r="L570" s="218"/>
      <c r="AR570" s="61"/>
      <c r="AY570" s="146"/>
    </row>
    <row r="571" ht="15.75" customHeight="1">
      <c r="K571" s="217"/>
      <c r="L571" s="218"/>
      <c r="AR571" s="61"/>
      <c r="AY571" s="146"/>
    </row>
    <row r="572" ht="15.75" customHeight="1">
      <c r="K572" s="217"/>
      <c r="L572" s="218"/>
      <c r="AR572" s="61"/>
      <c r="AY572" s="146"/>
    </row>
    <row r="573" ht="15.75" customHeight="1">
      <c r="K573" s="217"/>
      <c r="L573" s="218"/>
      <c r="AR573" s="61"/>
      <c r="AY573" s="146"/>
    </row>
    <row r="574" ht="15.75" customHeight="1">
      <c r="K574" s="217"/>
      <c r="L574" s="218"/>
      <c r="AR574" s="61"/>
      <c r="AY574" s="146"/>
    </row>
    <row r="575" ht="15.75" customHeight="1">
      <c r="K575" s="217"/>
      <c r="L575" s="218"/>
      <c r="AR575" s="61"/>
      <c r="AY575" s="146"/>
    </row>
    <row r="576" ht="15.75" customHeight="1">
      <c r="K576" s="217"/>
      <c r="L576" s="218"/>
      <c r="AR576" s="61"/>
      <c r="AY576" s="146"/>
    </row>
    <row r="577" ht="15.75" customHeight="1">
      <c r="K577" s="217"/>
      <c r="L577" s="218"/>
      <c r="AR577" s="61"/>
      <c r="AY577" s="146"/>
    </row>
    <row r="578" ht="15.75" customHeight="1">
      <c r="K578" s="217"/>
      <c r="L578" s="218"/>
      <c r="AR578" s="61"/>
      <c r="AY578" s="146"/>
    </row>
    <row r="579" ht="15.75" customHeight="1">
      <c r="K579" s="217"/>
      <c r="L579" s="218"/>
      <c r="AR579" s="61"/>
      <c r="AY579" s="146"/>
    </row>
    <row r="580" ht="15.75" customHeight="1">
      <c r="K580" s="217"/>
      <c r="L580" s="218"/>
      <c r="AR580" s="61"/>
      <c r="AY580" s="146"/>
    </row>
    <row r="581" ht="15.75" customHeight="1">
      <c r="K581" s="217"/>
      <c r="L581" s="218"/>
      <c r="AR581" s="61"/>
      <c r="AY581" s="146"/>
    </row>
    <row r="582" ht="15.75" customHeight="1">
      <c r="K582" s="217"/>
      <c r="L582" s="218"/>
      <c r="AR582" s="61"/>
      <c r="AY582" s="146"/>
    </row>
    <row r="583" ht="15.75" customHeight="1">
      <c r="K583" s="217"/>
      <c r="L583" s="218"/>
      <c r="AR583" s="61"/>
      <c r="AY583" s="146"/>
    </row>
    <row r="584" ht="15.75" customHeight="1">
      <c r="K584" s="217"/>
      <c r="L584" s="218"/>
      <c r="AR584" s="61"/>
      <c r="AY584" s="146"/>
    </row>
    <row r="585" ht="15.75" customHeight="1">
      <c r="K585" s="217"/>
      <c r="L585" s="218"/>
      <c r="AR585" s="61"/>
      <c r="AY585" s="146"/>
    </row>
    <row r="586" ht="15.75" customHeight="1">
      <c r="K586" s="217"/>
      <c r="L586" s="218"/>
      <c r="AR586" s="61"/>
      <c r="AY586" s="146"/>
    </row>
    <row r="587" ht="15.75" customHeight="1">
      <c r="K587" s="217"/>
      <c r="L587" s="218"/>
      <c r="AR587" s="61"/>
      <c r="AY587" s="146"/>
    </row>
    <row r="588" ht="15.75" customHeight="1">
      <c r="K588" s="217"/>
      <c r="L588" s="218"/>
      <c r="AR588" s="61"/>
      <c r="AY588" s="146"/>
    </row>
    <row r="589" ht="15.75" customHeight="1">
      <c r="K589" s="217"/>
      <c r="L589" s="218"/>
      <c r="AR589" s="61"/>
      <c r="AY589" s="146"/>
    </row>
    <row r="590" ht="15.75" customHeight="1">
      <c r="K590" s="217"/>
      <c r="L590" s="218"/>
      <c r="AR590" s="61"/>
      <c r="AY590" s="146"/>
    </row>
    <row r="591" ht="15.75" customHeight="1">
      <c r="K591" s="217"/>
      <c r="L591" s="218"/>
      <c r="AR591" s="61"/>
      <c r="AY591" s="146"/>
    </row>
    <row r="592" ht="15.75" customHeight="1">
      <c r="K592" s="217"/>
      <c r="L592" s="218"/>
      <c r="AR592" s="61"/>
      <c r="AY592" s="146"/>
    </row>
    <row r="593" ht="15.75" customHeight="1">
      <c r="K593" s="217"/>
      <c r="L593" s="218"/>
      <c r="AR593" s="61"/>
      <c r="AY593" s="146"/>
    </row>
    <row r="594" ht="15.75" customHeight="1">
      <c r="K594" s="217"/>
      <c r="L594" s="218"/>
      <c r="AR594" s="61"/>
      <c r="AY594" s="146"/>
    </row>
    <row r="595" ht="15.75" customHeight="1">
      <c r="K595" s="217"/>
      <c r="L595" s="218"/>
      <c r="AR595" s="61"/>
      <c r="AY595" s="146"/>
    </row>
    <row r="596" ht="15.75" customHeight="1">
      <c r="K596" s="217"/>
      <c r="L596" s="218"/>
      <c r="AR596" s="61"/>
      <c r="AY596" s="146"/>
    </row>
    <row r="597" ht="15.75" customHeight="1">
      <c r="K597" s="217"/>
      <c r="L597" s="218"/>
      <c r="AR597" s="61"/>
      <c r="AY597" s="146"/>
    </row>
    <row r="598" ht="15.75" customHeight="1">
      <c r="K598" s="217"/>
      <c r="L598" s="218"/>
      <c r="AR598" s="61"/>
      <c r="AY598" s="146"/>
    </row>
    <row r="599" ht="15.75" customHeight="1">
      <c r="K599" s="217"/>
      <c r="L599" s="218"/>
      <c r="AR599" s="61"/>
      <c r="AY599" s="146"/>
    </row>
    <row r="600" ht="15.75" customHeight="1">
      <c r="K600" s="217"/>
      <c r="L600" s="218"/>
      <c r="AR600" s="61"/>
      <c r="AY600" s="146"/>
    </row>
    <row r="601" ht="15.75" customHeight="1">
      <c r="K601" s="217"/>
      <c r="L601" s="218"/>
      <c r="AR601" s="61"/>
      <c r="AY601" s="146"/>
    </row>
    <row r="602" ht="15.75" customHeight="1">
      <c r="K602" s="217"/>
      <c r="L602" s="218"/>
      <c r="AR602" s="61"/>
      <c r="AY602" s="146"/>
    </row>
    <row r="603" ht="15.75" customHeight="1">
      <c r="K603" s="217"/>
      <c r="L603" s="218"/>
      <c r="AR603" s="61"/>
      <c r="AY603" s="146"/>
    </row>
    <row r="604" ht="15.75" customHeight="1">
      <c r="K604" s="217"/>
      <c r="L604" s="218"/>
      <c r="AR604" s="61"/>
      <c r="AY604" s="146"/>
    </row>
    <row r="605" ht="15.75" customHeight="1">
      <c r="K605" s="217"/>
      <c r="L605" s="218"/>
      <c r="AR605" s="61"/>
      <c r="AY605" s="146"/>
    </row>
    <row r="606" ht="15.75" customHeight="1">
      <c r="K606" s="217"/>
      <c r="L606" s="218"/>
      <c r="AR606" s="61"/>
      <c r="AY606" s="146"/>
    </row>
    <row r="607" ht="15.75" customHeight="1">
      <c r="K607" s="217"/>
      <c r="L607" s="218"/>
      <c r="AR607" s="61"/>
      <c r="AY607" s="146"/>
    </row>
    <row r="608" ht="15.75" customHeight="1">
      <c r="K608" s="217"/>
      <c r="L608" s="218"/>
      <c r="AR608" s="61"/>
      <c r="AY608" s="146"/>
    </row>
    <row r="609" ht="15.75" customHeight="1">
      <c r="K609" s="217"/>
      <c r="L609" s="218"/>
      <c r="AR609" s="61"/>
      <c r="AY609" s="146"/>
    </row>
    <row r="610" ht="15.75" customHeight="1">
      <c r="K610" s="217"/>
      <c r="L610" s="218"/>
      <c r="AR610" s="61"/>
      <c r="AY610" s="146"/>
    </row>
    <row r="611" ht="15.75" customHeight="1">
      <c r="K611" s="217"/>
      <c r="L611" s="218"/>
      <c r="AR611" s="61"/>
      <c r="AY611" s="146"/>
    </row>
    <row r="612" ht="15.75" customHeight="1">
      <c r="K612" s="217"/>
      <c r="L612" s="218"/>
      <c r="AR612" s="61"/>
      <c r="AY612" s="146"/>
    </row>
    <row r="613" ht="15.75" customHeight="1">
      <c r="K613" s="217"/>
      <c r="L613" s="218"/>
      <c r="AR613" s="61"/>
      <c r="AY613" s="146"/>
    </row>
    <row r="614" ht="15.75" customHeight="1">
      <c r="K614" s="217"/>
      <c r="L614" s="218"/>
      <c r="AR614" s="61"/>
      <c r="AY614" s="146"/>
    </row>
    <row r="615" ht="15.75" customHeight="1">
      <c r="K615" s="217"/>
      <c r="L615" s="218"/>
      <c r="AR615" s="61"/>
      <c r="AY615" s="146"/>
    </row>
    <row r="616" ht="15.75" customHeight="1">
      <c r="K616" s="217"/>
      <c r="L616" s="218"/>
      <c r="AR616" s="61"/>
      <c r="AY616" s="146"/>
    </row>
    <row r="617" ht="15.75" customHeight="1">
      <c r="K617" s="217"/>
      <c r="L617" s="218"/>
      <c r="AR617" s="61"/>
      <c r="AY617" s="146"/>
    </row>
    <row r="618" ht="15.75" customHeight="1">
      <c r="K618" s="217"/>
      <c r="L618" s="218"/>
      <c r="AR618" s="61"/>
      <c r="AY618" s="146"/>
    </row>
    <row r="619" ht="15.75" customHeight="1">
      <c r="K619" s="217"/>
      <c r="L619" s="218"/>
      <c r="AR619" s="61"/>
      <c r="AY619" s="146"/>
    </row>
    <row r="620" ht="15.75" customHeight="1">
      <c r="K620" s="217"/>
      <c r="L620" s="218"/>
      <c r="AR620" s="61"/>
      <c r="AY620" s="146"/>
    </row>
    <row r="621" ht="15.75" customHeight="1">
      <c r="K621" s="217"/>
      <c r="L621" s="218"/>
      <c r="AR621" s="61"/>
      <c r="AY621" s="146"/>
    </row>
    <row r="622" ht="15.75" customHeight="1">
      <c r="K622" s="217"/>
      <c r="L622" s="218"/>
      <c r="AR622" s="61"/>
      <c r="AY622" s="146"/>
    </row>
    <row r="623" ht="15.75" customHeight="1">
      <c r="K623" s="217"/>
      <c r="L623" s="218"/>
      <c r="AR623" s="61"/>
      <c r="AY623" s="146"/>
    </row>
    <row r="624" ht="15.75" customHeight="1">
      <c r="K624" s="217"/>
      <c r="L624" s="218"/>
      <c r="AR624" s="61"/>
      <c r="AY624" s="146"/>
    </row>
    <row r="625" ht="15.75" customHeight="1">
      <c r="K625" s="217"/>
      <c r="L625" s="218"/>
      <c r="AR625" s="61"/>
      <c r="AY625" s="146"/>
    </row>
    <row r="626" ht="15.75" customHeight="1">
      <c r="K626" s="217"/>
      <c r="L626" s="218"/>
      <c r="AR626" s="61"/>
      <c r="AY626" s="146"/>
    </row>
    <row r="627" ht="15.75" customHeight="1">
      <c r="K627" s="217"/>
      <c r="L627" s="218"/>
      <c r="AR627" s="61"/>
      <c r="AY627" s="146"/>
    </row>
    <row r="628" ht="15.75" customHeight="1">
      <c r="K628" s="217"/>
      <c r="L628" s="218"/>
      <c r="AR628" s="61"/>
      <c r="AY628" s="146"/>
    </row>
    <row r="629" ht="15.75" customHeight="1">
      <c r="K629" s="217"/>
      <c r="L629" s="218"/>
      <c r="AR629" s="61"/>
      <c r="AY629" s="146"/>
    </row>
    <row r="630" ht="15.75" customHeight="1">
      <c r="K630" s="217"/>
      <c r="L630" s="218"/>
      <c r="AR630" s="61"/>
      <c r="AY630" s="146"/>
    </row>
    <row r="631" ht="15.75" customHeight="1">
      <c r="K631" s="217"/>
      <c r="L631" s="218"/>
      <c r="AR631" s="61"/>
      <c r="AY631" s="146"/>
    </row>
    <row r="632" ht="15.75" customHeight="1">
      <c r="K632" s="217"/>
      <c r="L632" s="218"/>
      <c r="AR632" s="61"/>
      <c r="AY632" s="146"/>
    </row>
    <row r="633" ht="15.75" customHeight="1">
      <c r="K633" s="217"/>
      <c r="L633" s="218"/>
      <c r="AR633" s="61"/>
      <c r="AY633" s="146"/>
    </row>
    <row r="634" ht="15.75" customHeight="1">
      <c r="K634" s="217"/>
      <c r="L634" s="218"/>
      <c r="AR634" s="61"/>
      <c r="AY634" s="146"/>
    </row>
    <row r="635" ht="15.75" customHeight="1">
      <c r="K635" s="217"/>
      <c r="L635" s="218"/>
      <c r="AR635" s="61"/>
      <c r="AY635" s="146"/>
    </row>
    <row r="636" ht="15.75" customHeight="1">
      <c r="K636" s="217"/>
      <c r="L636" s="218"/>
      <c r="AR636" s="61"/>
      <c r="AY636" s="146"/>
    </row>
    <row r="637" ht="15.75" customHeight="1">
      <c r="K637" s="217"/>
      <c r="L637" s="218"/>
      <c r="AR637" s="61"/>
      <c r="AY637" s="146"/>
    </row>
    <row r="638" ht="15.75" customHeight="1">
      <c r="K638" s="217"/>
      <c r="L638" s="218"/>
      <c r="AR638" s="61"/>
      <c r="AY638" s="146"/>
    </row>
    <row r="639" ht="15.75" customHeight="1">
      <c r="K639" s="217"/>
      <c r="L639" s="218"/>
      <c r="AR639" s="61"/>
      <c r="AY639" s="146"/>
    </row>
    <row r="640" ht="15.75" customHeight="1">
      <c r="K640" s="217"/>
      <c r="L640" s="218"/>
      <c r="AR640" s="61"/>
      <c r="AY640" s="146"/>
    </row>
    <row r="641" ht="15.75" customHeight="1">
      <c r="K641" s="217"/>
      <c r="L641" s="218"/>
      <c r="AR641" s="61"/>
      <c r="AY641" s="146"/>
    </row>
    <row r="642" ht="15.75" customHeight="1">
      <c r="K642" s="217"/>
      <c r="L642" s="218"/>
      <c r="AR642" s="61"/>
      <c r="AY642" s="146"/>
    </row>
    <row r="643" ht="15.75" customHeight="1">
      <c r="K643" s="217"/>
      <c r="L643" s="218"/>
      <c r="AR643" s="61"/>
      <c r="AY643" s="146"/>
    </row>
    <row r="644" ht="15.75" customHeight="1">
      <c r="K644" s="217"/>
      <c r="L644" s="218"/>
      <c r="AR644" s="61"/>
      <c r="AY644" s="146"/>
    </row>
    <row r="645" ht="15.75" customHeight="1">
      <c r="K645" s="217"/>
      <c r="L645" s="218"/>
      <c r="AR645" s="61"/>
      <c r="AY645" s="146"/>
    </row>
    <row r="646" ht="15.75" customHeight="1">
      <c r="K646" s="217"/>
      <c r="L646" s="218"/>
      <c r="AR646" s="61"/>
      <c r="AY646" s="146"/>
    </row>
    <row r="647" ht="15.75" customHeight="1">
      <c r="K647" s="217"/>
      <c r="L647" s="218"/>
      <c r="AR647" s="61"/>
      <c r="AY647" s="146"/>
    </row>
    <row r="648" ht="15.75" customHeight="1">
      <c r="K648" s="217"/>
      <c r="L648" s="218"/>
      <c r="AR648" s="61"/>
      <c r="AY648" s="146"/>
    </row>
    <row r="649" ht="15.75" customHeight="1">
      <c r="K649" s="217"/>
      <c r="L649" s="218"/>
      <c r="AR649" s="61"/>
      <c r="AY649" s="146"/>
    </row>
    <row r="650" ht="15.75" customHeight="1">
      <c r="K650" s="217"/>
      <c r="L650" s="218"/>
      <c r="AR650" s="61"/>
      <c r="AY650" s="146"/>
    </row>
    <row r="651" ht="15.75" customHeight="1">
      <c r="K651" s="217"/>
      <c r="L651" s="218"/>
      <c r="AR651" s="61"/>
      <c r="AY651" s="146"/>
    </row>
    <row r="652" ht="15.75" customHeight="1">
      <c r="K652" s="217"/>
      <c r="L652" s="218"/>
      <c r="AR652" s="61"/>
      <c r="AY652" s="146"/>
    </row>
    <row r="653" ht="15.75" customHeight="1">
      <c r="K653" s="217"/>
      <c r="L653" s="218"/>
      <c r="AR653" s="61"/>
      <c r="AY653" s="146"/>
    </row>
    <row r="654" ht="15.75" customHeight="1">
      <c r="K654" s="217"/>
      <c r="L654" s="218"/>
      <c r="AR654" s="61"/>
      <c r="AY654" s="146"/>
    </row>
    <row r="655" ht="15.75" customHeight="1">
      <c r="K655" s="217"/>
      <c r="L655" s="218"/>
      <c r="AR655" s="61"/>
      <c r="AY655" s="146"/>
    </row>
    <row r="656" ht="15.75" customHeight="1">
      <c r="K656" s="217"/>
      <c r="L656" s="218"/>
      <c r="AR656" s="61"/>
      <c r="AY656" s="146"/>
    </row>
    <row r="657" ht="15.75" customHeight="1">
      <c r="K657" s="217"/>
      <c r="L657" s="218"/>
      <c r="AR657" s="61"/>
      <c r="AY657" s="146"/>
    </row>
    <row r="658" ht="15.75" customHeight="1">
      <c r="K658" s="217"/>
      <c r="L658" s="218"/>
      <c r="AR658" s="61"/>
      <c r="AY658" s="146"/>
    </row>
    <row r="659" ht="15.75" customHeight="1">
      <c r="K659" s="217"/>
      <c r="L659" s="218"/>
      <c r="AR659" s="61"/>
      <c r="AY659" s="146"/>
    </row>
    <row r="660" ht="15.75" customHeight="1">
      <c r="K660" s="217"/>
      <c r="L660" s="218"/>
      <c r="AR660" s="61"/>
      <c r="AY660" s="146"/>
    </row>
    <row r="661" ht="15.75" customHeight="1">
      <c r="K661" s="217"/>
      <c r="L661" s="218"/>
      <c r="AR661" s="61"/>
      <c r="AY661" s="146"/>
    </row>
    <row r="662" ht="15.75" customHeight="1">
      <c r="K662" s="217"/>
      <c r="L662" s="218"/>
      <c r="AR662" s="61"/>
      <c r="AY662" s="146"/>
    </row>
    <row r="663" ht="15.75" customHeight="1">
      <c r="K663" s="217"/>
      <c r="L663" s="218"/>
      <c r="AR663" s="61"/>
      <c r="AY663" s="146"/>
    </row>
    <row r="664" ht="15.75" customHeight="1">
      <c r="K664" s="217"/>
      <c r="L664" s="218"/>
      <c r="AR664" s="61"/>
      <c r="AY664" s="146"/>
    </row>
    <row r="665" ht="15.75" customHeight="1">
      <c r="K665" s="217"/>
      <c r="L665" s="218"/>
      <c r="AR665" s="61"/>
      <c r="AY665" s="146"/>
    </row>
    <row r="666" ht="15.75" customHeight="1">
      <c r="K666" s="217"/>
      <c r="L666" s="218"/>
      <c r="AR666" s="61"/>
      <c r="AY666" s="146"/>
    </row>
    <row r="667" ht="15.75" customHeight="1">
      <c r="K667" s="217"/>
      <c r="L667" s="218"/>
      <c r="AR667" s="61"/>
      <c r="AY667" s="146"/>
    </row>
    <row r="668" ht="15.75" customHeight="1">
      <c r="K668" s="217"/>
      <c r="L668" s="218"/>
      <c r="AR668" s="61"/>
      <c r="AY668" s="146"/>
    </row>
    <row r="669" ht="15.75" customHeight="1">
      <c r="K669" s="217"/>
      <c r="L669" s="218"/>
      <c r="AR669" s="61"/>
      <c r="AY669" s="146"/>
    </row>
    <row r="670" ht="15.75" customHeight="1">
      <c r="K670" s="217"/>
      <c r="L670" s="218"/>
      <c r="AR670" s="61"/>
      <c r="AY670" s="146"/>
    </row>
    <row r="671" ht="15.75" customHeight="1">
      <c r="K671" s="217"/>
      <c r="L671" s="218"/>
      <c r="AR671" s="61"/>
      <c r="AY671" s="146"/>
    </row>
    <row r="672" ht="15.75" customHeight="1">
      <c r="K672" s="217"/>
      <c r="L672" s="218"/>
      <c r="AR672" s="61"/>
      <c r="AY672" s="146"/>
    </row>
    <row r="673" ht="15.75" customHeight="1">
      <c r="K673" s="217"/>
      <c r="L673" s="218"/>
      <c r="AR673" s="61"/>
      <c r="AY673" s="146"/>
    </row>
    <row r="674" ht="15.75" customHeight="1">
      <c r="K674" s="217"/>
      <c r="L674" s="218"/>
      <c r="AR674" s="61"/>
      <c r="AY674" s="146"/>
    </row>
    <row r="675" ht="15.75" customHeight="1">
      <c r="K675" s="217"/>
      <c r="L675" s="218"/>
      <c r="AR675" s="61"/>
      <c r="AY675" s="146"/>
    </row>
    <row r="676" ht="15.75" customHeight="1">
      <c r="K676" s="217"/>
      <c r="L676" s="218"/>
      <c r="AR676" s="61"/>
      <c r="AY676" s="146"/>
    </row>
    <row r="677" ht="15.75" customHeight="1">
      <c r="K677" s="217"/>
      <c r="L677" s="218"/>
      <c r="AR677" s="61"/>
      <c r="AY677" s="146"/>
    </row>
    <row r="678" ht="15.75" customHeight="1">
      <c r="K678" s="217"/>
      <c r="L678" s="218"/>
      <c r="AR678" s="61"/>
      <c r="AY678" s="146"/>
    </row>
    <row r="679" ht="15.75" customHeight="1">
      <c r="K679" s="217"/>
      <c r="L679" s="218"/>
      <c r="AR679" s="61"/>
      <c r="AY679" s="146"/>
    </row>
    <row r="680" ht="15.75" customHeight="1">
      <c r="K680" s="217"/>
      <c r="L680" s="218"/>
      <c r="AR680" s="61"/>
      <c r="AY680" s="146"/>
    </row>
    <row r="681" ht="15.75" customHeight="1">
      <c r="K681" s="217"/>
      <c r="L681" s="218"/>
      <c r="AR681" s="61"/>
      <c r="AY681" s="146"/>
    </row>
    <row r="682" ht="15.75" customHeight="1">
      <c r="K682" s="217"/>
      <c r="L682" s="218"/>
      <c r="AR682" s="61"/>
      <c r="AY682" s="146"/>
    </row>
    <row r="683" ht="15.75" customHeight="1">
      <c r="K683" s="217"/>
      <c r="L683" s="218"/>
      <c r="AR683" s="61"/>
      <c r="AY683" s="146"/>
    </row>
    <row r="684" ht="15.75" customHeight="1">
      <c r="K684" s="217"/>
      <c r="L684" s="218"/>
      <c r="AR684" s="61"/>
      <c r="AY684" s="146"/>
    </row>
    <row r="685" ht="15.75" customHeight="1">
      <c r="K685" s="217"/>
      <c r="L685" s="218"/>
      <c r="AR685" s="61"/>
      <c r="AY685" s="146"/>
    </row>
    <row r="686" ht="15.75" customHeight="1">
      <c r="K686" s="217"/>
      <c r="L686" s="218"/>
      <c r="AR686" s="61"/>
      <c r="AY686" s="146"/>
    </row>
    <row r="687" ht="15.75" customHeight="1">
      <c r="K687" s="217"/>
      <c r="L687" s="218"/>
      <c r="AR687" s="61"/>
      <c r="AY687" s="146"/>
    </row>
    <row r="688" ht="15.75" customHeight="1">
      <c r="K688" s="217"/>
      <c r="L688" s="218"/>
      <c r="AR688" s="61"/>
      <c r="AY688" s="146"/>
    </row>
    <row r="689" ht="15.75" customHeight="1">
      <c r="K689" s="217"/>
      <c r="L689" s="218"/>
      <c r="AR689" s="61"/>
      <c r="AY689" s="146"/>
    </row>
    <row r="690" ht="15.75" customHeight="1">
      <c r="K690" s="217"/>
      <c r="L690" s="218"/>
      <c r="AR690" s="61"/>
      <c r="AY690" s="146"/>
    </row>
    <row r="691" ht="15.75" customHeight="1">
      <c r="K691" s="217"/>
      <c r="L691" s="218"/>
      <c r="AR691" s="61"/>
      <c r="AY691" s="146"/>
    </row>
    <row r="692" ht="15.75" customHeight="1">
      <c r="K692" s="217"/>
      <c r="L692" s="218"/>
      <c r="AR692" s="61"/>
      <c r="AY692" s="146"/>
    </row>
    <row r="693" ht="15.75" customHeight="1">
      <c r="K693" s="217"/>
      <c r="L693" s="218"/>
      <c r="AR693" s="61"/>
      <c r="AY693" s="146"/>
    </row>
    <row r="694" ht="15.75" customHeight="1">
      <c r="K694" s="217"/>
      <c r="L694" s="218"/>
      <c r="AR694" s="61"/>
      <c r="AY694" s="146"/>
    </row>
    <row r="695" ht="15.75" customHeight="1">
      <c r="K695" s="217"/>
      <c r="L695" s="218"/>
      <c r="AR695" s="61"/>
      <c r="AY695" s="146"/>
    </row>
    <row r="696" ht="15.75" customHeight="1">
      <c r="K696" s="217"/>
      <c r="L696" s="218"/>
      <c r="AR696" s="61"/>
      <c r="AY696" s="146"/>
    </row>
    <row r="697" ht="15.75" customHeight="1">
      <c r="K697" s="217"/>
      <c r="L697" s="218"/>
      <c r="AR697" s="61"/>
      <c r="AY697" s="146"/>
    </row>
    <row r="698" ht="15.75" customHeight="1">
      <c r="K698" s="217"/>
      <c r="L698" s="218"/>
      <c r="AR698" s="61"/>
      <c r="AY698" s="146"/>
    </row>
    <row r="699" ht="15.75" customHeight="1">
      <c r="K699" s="217"/>
      <c r="L699" s="218"/>
      <c r="AR699" s="61"/>
      <c r="AY699" s="146"/>
    </row>
    <row r="700" ht="15.75" customHeight="1">
      <c r="K700" s="217"/>
      <c r="L700" s="218"/>
      <c r="AR700" s="61"/>
      <c r="AY700" s="146"/>
    </row>
    <row r="701" ht="15.75" customHeight="1">
      <c r="K701" s="217"/>
      <c r="L701" s="218"/>
      <c r="AR701" s="61"/>
      <c r="AY701" s="146"/>
    </row>
    <row r="702" ht="15.75" customHeight="1">
      <c r="K702" s="217"/>
      <c r="L702" s="218"/>
      <c r="AR702" s="61"/>
      <c r="AY702" s="146"/>
    </row>
    <row r="703" ht="15.75" customHeight="1">
      <c r="K703" s="217"/>
      <c r="L703" s="218"/>
      <c r="AR703" s="61"/>
      <c r="AY703" s="146"/>
    </row>
    <row r="704" ht="15.75" customHeight="1">
      <c r="K704" s="217"/>
      <c r="L704" s="218"/>
      <c r="AR704" s="61"/>
      <c r="AY704" s="146"/>
    </row>
    <row r="705" ht="15.75" customHeight="1">
      <c r="K705" s="217"/>
      <c r="L705" s="218"/>
      <c r="AR705" s="61"/>
      <c r="AY705" s="146"/>
    </row>
    <row r="706" ht="15.75" customHeight="1">
      <c r="K706" s="217"/>
      <c r="L706" s="218"/>
      <c r="AR706" s="61"/>
      <c r="AY706" s="146"/>
    </row>
    <row r="707" ht="15.75" customHeight="1">
      <c r="K707" s="217"/>
      <c r="L707" s="218"/>
      <c r="AR707" s="61"/>
      <c r="AY707" s="146"/>
    </row>
    <row r="708" ht="15.75" customHeight="1">
      <c r="K708" s="217"/>
      <c r="L708" s="218"/>
      <c r="AR708" s="61"/>
      <c r="AY708" s="146"/>
    </row>
    <row r="709" ht="15.75" customHeight="1">
      <c r="K709" s="217"/>
      <c r="L709" s="218"/>
      <c r="AR709" s="61"/>
      <c r="AY709" s="146"/>
    </row>
    <row r="710" ht="15.75" customHeight="1">
      <c r="K710" s="217"/>
      <c r="L710" s="218"/>
      <c r="AR710" s="61"/>
      <c r="AY710" s="146"/>
    </row>
    <row r="711" ht="15.75" customHeight="1">
      <c r="K711" s="217"/>
      <c r="L711" s="218"/>
      <c r="AR711" s="61"/>
      <c r="AY711" s="146"/>
    </row>
    <row r="712" ht="15.75" customHeight="1">
      <c r="K712" s="217"/>
      <c r="L712" s="218"/>
      <c r="AR712" s="61"/>
      <c r="AY712" s="146"/>
    </row>
    <row r="713" ht="15.75" customHeight="1">
      <c r="K713" s="217"/>
      <c r="L713" s="218"/>
      <c r="AR713" s="61"/>
      <c r="AY713" s="146"/>
    </row>
    <row r="714" ht="15.75" customHeight="1">
      <c r="K714" s="217"/>
      <c r="L714" s="218"/>
      <c r="AR714" s="61"/>
      <c r="AY714" s="146"/>
    </row>
    <row r="715" ht="15.75" customHeight="1">
      <c r="K715" s="217"/>
      <c r="L715" s="218"/>
      <c r="AR715" s="61"/>
      <c r="AY715" s="146"/>
    </row>
    <row r="716" ht="15.75" customHeight="1">
      <c r="K716" s="217"/>
      <c r="L716" s="218"/>
      <c r="AR716" s="61"/>
      <c r="AY716" s="146"/>
    </row>
    <row r="717" ht="15.75" customHeight="1">
      <c r="K717" s="217"/>
      <c r="L717" s="218"/>
      <c r="AR717" s="61"/>
      <c r="AY717" s="146"/>
    </row>
    <row r="718" ht="15.75" customHeight="1">
      <c r="K718" s="217"/>
      <c r="L718" s="218"/>
      <c r="AR718" s="61"/>
      <c r="AY718" s="146"/>
    </row>
    <row r="719" ht="15.75" customHeight="1">
      <c r="K719" s="217"/>
      <c r="L719" s="218"/>
      <c r="AR719" s="61"/>
      <c r="AY719" s="146"/>
    </row>
    <row r="720" ht="15.75" customHeight="1">
      <c r="K720" s="217"/>
      <c r="L720" s="218"/>
      <c r="AR720" s="61"/>
      <c r="AY720" s="146"/>
    </row>
    <row r="721" ht="15.75" customHeight="1">
      <c r="K721" s="217"/>
      <c r="L721" s="218"/>
      <c r="AR721" s="61"/>
      <c r="AY721" s="146"/>
    </row>
    <row r="722" ht="15.75" customHeight="1">
      <c r="K722" s="217"/>
      <c r="L722" s="218"/>
      <c r="AR722" s="61"/>
      <c r="AY722" s="146"/>
    </row>
    <row r="723" ht="15.75" customHeight="1">
      <c r="K723" s="217"/>
      <c r="L723" s="218"/>
      <c r="AR723" s="61"/>
      <c r="AY723" s="146"/>
    </row>
    <row r="724" ht="15.75" customHeight="1">
      <c r="K724" s="217"/>
      <c r="L724" s="218"/>
      <c r="AR724" s="61"/>
      <c r="AY724" s="146"/>
    </row>
    <row r="725" ht="15.75" customHeight="1">
      <c r="K725" s="217"/>
      <c r="L725" s="218"/>
      <c r="AR725" s="61"/>
      <c r="AY725" s="146"/>
    </row>
    <row r="726" ht="15.75" customHeight="1">
      <c r="K726" s="217"/>
      <c r="L726" s="218"/>
      <c r="AR726" s="61"/>
      <c r="AY726" s="146"/>
    </row>
    <row r="727" ht="15.75" customHeight="1">
      <c r="K727" s="217"/>
      <c r="L727" s="218"/>
      <c r="AR727" s="61"/>
      <c r="AY727" s="146"/>
    </row>
    <row r="728" ht="15.75" customHeight="1">
      <c r="K728" s="217"/>
      <c r="L728" s="218"/>
      <c r="AR728" s="61"/>
      <c r="AY728" s="146"/>
    </row>
    <row r="729" ht="15.75" customHeight="1">
      <c r="K729" s="217"/>
      <c r="L729" s="218"/>
      <c r="AR729" s="61"/>
      <c r="AY729" s="146"/>
    </row>
    <row r="730" ht="15.75" customHeight="1">
      <c r="K730" s="217"/>
      <c r="L730" s="218"/>
      <c r="AR730" s="61"/>
      <c r="AY730" s="146"/>
    </row>
    <row r="731" ht="15.75" customHeight="1">
      <c r="K731" s="217"/>
      <c r="L731" s="218"/>
      <c r="AR731" s="61"/>
      <c r="AY731" s="146"/>
    </row>
    <row r="732" ht="15.75" customHeight="1">
      <c r="K732" s="217"/>
      <c r="L732" s="218"/>
      <c r="AR732" s="61"/>
      <c r="AY732" s="146"/>
    </row>
    <row r="733" ht="15.75" customHeight="1">
      <c r="K733" s="217"/>
      <c r="L733" s="218"/>
      <c r="AR733" s="61"/>
      <c r="AY733" s="146"/>
    </row>
    <row r="734" ht="15.75" customHeight="1">
      <c r="K734" s="217"/>
      <c r="L734" s="218"/>
      <c r="AR734" s="61"/>
      <c r="AY734" s="146"/>
    </row>
    <row r="735" ht="15.75" customHeight="1">
      <c r="K735" s="217"/>
      <c r="L735" s="218"/>
      <c r="AR735" s="61"/>
      <c r="AY735" s="146"/>
    </row>
    <row r="736" ht="15.75" customHeight="1">
      <c r="K736" s="217"/>
      <c r="L736" s="218"/>
      <c r="AR736" s="61"/>
      <c r="AY736" s="146"/>
    </row>
    <row r="737" ht="15.75" customHeight="1">
      <c r="K737" s="217"/>
      <c r="L737" s="218"/>
      <c r="AR737" s="61"/>
      <c r="AY737" s="146"/>
    </row>
    <row r="738" ht="15.75" customHeight="1">
      <c r="K738" s="217"/>
      <c r="L738" s="218"/>
      <c r="AR738" s="61"/>
      <c r="AY738" s="146"/>
    </row>
    <row r="739" ht="15.75" customHeight="1">
      <c r="K739" s="217"/>
      <c r="L739" s="218"/>
      <c r="AR739" s="61"/>
      <c r="AY739" s="146"/>
    </row>
    <row r="740" ht="15.75" customHeight="1">
      <c r="K740" s="217"/>
      <c r="L740" s="218"/>
      <c r="AR740" s="61"/>
      <c r="AY740" s="146"/>
    </row>
    <row r="741" ht="15.75" customHeight="1">
      <c r="K741" s="217"/>
      <c r="L741" s="218"/>
      <c r="AR741" s="61"/>
      <c r="AY741" s="146"/>
    </row>
    <row r="742" ht="15.75" customHeight="1">
      <c r="K742" s="217"/>
      <c r="L742" s="218"/>
      <c r="AR742" s="61"/>
      <c r="AY742" s="146"/>
    </row>
    <row r="743" ht="15.75" customHeight="1">
      <c r="K743" s="217"/>
      <c r="L743" s="218"/>
      <c r="AR743" s="61"/>
      <c r="AY743" s="146"/>
    </row>
    <row r="744" ht="15.75" customHeight="1">
      <c r="K744" s="217"/>
      <c r="L744" s="218"/>
      <c r="AR744" s="61"/>
      <c r="AY744" s="146"/>
    </row>
    <row r="745" ht="15.75" customHeight="1">
      <c r="K745" s="217"/>
      <c r="L745" s="218"/>
      <c r="AR745" s="61"/>
      <c r="AY745" s="146"/>
    </row>
    <row r="746" ht="15.75" customHeight="1">
      <c r="K746" s="217"/>
      <c r="L746" s="218"/>
      <c r="AR746" s="61"/>
      <c r="AY746" s="146"/>
    </row>
    <row r="747" ht="15.75" customHeight="1">
      <c r="K747" s="217"/>
      <c r="L747" s="218"/>
      <c r="AR747" s="61"/>
      <c r="AY747" s="146"/>
    </row>
    <row r="748" ht="15.75" customHeight="1">
      <c r="K748" s="217"/>
      <c r="L748" s="218"/>
      <c r="AR748" s="61"/>
      <c r="AY748" s="146"/>
    </row>
    <row r="749" ht="15.75" customHeight="1">
      <c r="K749" s="217"/>
      <c r="L749" s="218"/>
      <c r="AR749" s="61"/>
      <c r="AY749" s="146"/>
    </row>
    <row r="750" ht="15.75" customHeight="1">
      <c r="K750" s="217"/>
      <c r="L750" s="218"/>
      <c r="AR750" s="61"/>
      <c r="AY750" s="146"/>
    </row>
    <row r="751" ht="15.75" customHeight="1">
      <c r="K751" s="217"/>
      <c r="L751" s="218"/>
      <c r="AR751" s="61"/>
      <c r="AY751" s="146"/>
    </row>
    <row r="752" ht="15.75" customHeight="1">
      <c r="K752" s="217"/>
      <c r="L752" s="218"/>
      <c r="AR752" s="61"/>
      <c r="AY752" s="146"/>
    </row>
    <row r="753" ht="15.75" customHeight="1">
      <c r="K753" s="217"/>
      <c r="L753" s="218"/>
      <c r="AR753" s="61"/>
      <c r="AY753" s="146"/>
    </row>
    <row r="754" ht="15.75" customHeight="1">
      <c r="K754" s="217"/>
      <c r="L754" s="218"/>
      <c r="AR754" s="61"/>
      <c r="AY754" s="146"/>
    </row>
    <row r="755" ht="15.75" customHeight="1">
      <c r="K755" s="217"/>
      <c r="L755" s="218"/>
      <c r="AR755" s="61"/>
      <c r="AY755" s="146"/>
    </row>
    <row r="756" ht="15.75" customHeight="1">
      <c r="K756" s="217"/>
      <c r="L756" s="218"/>
      <c r="AR756" s="61"/>
      <c r="AY756" s="146"/>
    </row>
    <row r="757" ht="15.75" customHeight="1">
      <c r="K757" s="217"/>
      <c r="L757" s="218"/>
      <c r="AR757" s="61"/>
      <c r="AY757" s="146"/>
    </row>
    <row r="758" ht="15.75" customHeight="1">
      <c r="K758" s="217"/>
      <c r="L758" s="218"/>
      <c r="AR758" s="61"/>
      <c r="AY758" s="146"/>
    </row>
    <row r="759" ht="15.75" customHeight="1">
      <c r="K759" s="217"/>
      <c r="L759" s="218"/>
      <c r="AR759" s="61"/>
      <c r="AY759" s="146"/>
    </row>
    <row r="760" ht="15.75" customHeight="1">
      <c r="K760" s="217"/>
      <c r="L760" s="218"/>
      <c r="AR760" s="61"/>
      <c r="AY760" s="146"/>
    </row>
    <row r="761" ht="15.75" customHeight="1">
      <c r="K761" s="217"/>
      <c r="L761" s="218"/>
      <c r="AR761" s="61"/>
      <c r="AY761" s="146"/>
    </row>
    <row r="762" ht="15.75" customHeight="1">
      <c r="K762" s="217"/>
      <c r="L762" s="218"/>
      <c r="AR762" s="61"/>
      <c r="AY762" s="146"/>
    </row>
    <row r="763" ht="15.75" customHeight="1">
      <c r="K763" s="217"/>
      <c r="L763" s="218"/>
      <c r="AR763" s="61"/>
      <c r="AY763" s="146"/>
    </row>
    <row r="764" ht="15.75" customHeight="1">
      <c r="K764" s="217"/>
      <c r="L764" s="218"/>
      <c r="AR764" s="61"/>
      <c r="AY764" s="146"/>
    </row>
    <row r="765" ht="15.75" customHeight="1">
      <c r="K765" s="217"/>
      <c r="L765" s="218"/>
      <c r="AR765" s="61"/>
      <c r="AY765" s="146"/>
    </row>
    <row r="766" ht="15.75" customHeight="1">
      <c r="K766" s="217"/>
      <c r="L766" s="218"/>
      <c r="AR766" s="61"/>
      <c r="AY766" s="146"/>
    </row>
    <row r="767" ht="15.75" customHeight="1">
      <c r="K767" s="217"/>
      <c r="L767" s="218"/>
      <c r="AR767" s="61"/>
      <c r="AY767" s="146"/>
    </row>
    <row r="768" ht="15.75" customHeight="1">
      <c r="K768" s="217"/>
      <c r="L768" s="218"/>
      <c r="AR768" s="61"/>
      <c r="AY768" s="146"/>
    </row>
    <row r="769" ht="15.75" customHeight="1">
      <c r="K769" s="217"/>
      <c r="L769" s="218"/>
      <c r="AR769" s="61"/>
      <c r="AY769" s="146"/>
    </row>
    <row r="770" ht="15.75" customHeight="1">
      <c r="K770" s="217"/>
      <c r="L770" s="218"/>
      <c r="AR770" s="61"/>
      <c r="AY770" s="146"/>
    </row>
    <row r="771" ht="15.75" customHeight="1">
      <c r="K771" s="217"/>
      <c r="L771" s="218"/>
      <c r="AR771" s="61"/>
      <c r="AY771" s="146"/>
    </row>
    <row r="772" ht="15.75" customHeight="1">
      <c r="K772" s="217"/>
      <c r="L772" s="218"/>
      <c r="AR772" s="61"/>
      <c r="AY772" s="146"/>
    </row>
    <row r="773" ht="15.75" customHeight="1">
      <c r="K773" s="217"/>
      <c r="L773" s="218"/>
      <c r="AR773" s="61"/>
      <c r="AY773" s="146"/>
    </row>
    <row r="774" ht="15.75" customHeight="1">
      <c r="K774" s="217"/>
      <c r="L774" s="218"/>
      <c r="AR774" s="61"/>
      <c r="AY774" s="146"/>
    </row>
    <row r="775" ht="15.75" customHeight="1">
      <c r="K775" s="217"/>
      <c r="L775" s="218"/>
      <c r="AR775" s="61"/>
      <c r="AY775" s="146"/>
    </row>
    <row r="776" ht="15.75" customHeight="1">
      <c r="K776" s="217"/>
      <c r="L776" s="218"/>
      <c r="AR776" s="61"/>
      <c r="AY776" s="146"/>
    </row>
    <row r="777" ht="15.75" customHeight="1">
      <c r="K777" s="217"/>
      <c r="L777" s="218"/>
      <c r="AR777" s="61"/>
      <c r="AY777" s="146"/>
    </row>
    <row r="778" ht="15.75" customHeight="1">
      <c r="K778" s="217"/>
      <c r="L778" s="218"/>
      <c r="AR778" s="61"/>
      <c r="AY778" s="146"/>
    </row>
    <row r="779" ht="15.75" customHeight="1">
      <c r="K779" s="217"/>
      <c r="L779" s="218"/>
      <c r="AR779" s="61"/>
      <c r="AY779" s="146"/>
    </row>
    <row r="780" ht="15.75" customHeight="1">
      <c r="K780" s="217"/>
      <c r="L780" s="218"/>
      <c r="AR780" s="61"/>
      <c r="AY780" s="146"/>
    </row>
    <row r="781" ht="15.75" customHeight="1">
      <c r="K781" s="217"/>
      <c r="L781" s="218"/>
      <c r="AR781" s="61"/>
      <c r="AY781" s="146"/>
    </row>
    <row r="782" ht="15.75" customHeight="1">
      <c r="K782" s="217"/>
      <c r="L782" s="218"/>
      <c r="AR782" s="61"/>
      <c r="AY782" s="146"/>
    </row>
    <row r="783" ht="15.75" customHeight="1">
      <c r="K783" s="217"/>
      <c r="L783" s="218"/>
      <c r="AR783" s="61"/>
      <c r="AY783" s="146"/>
    </row>
    <row r="784" ht="15.75" customHeight="1">
      <c r="K784" s="217"/>
      <c r="L784" s="218"/>
      <c r="AR784" s="61"/>
      <c r="AY784" s="146"/>
    </row>
    <row r="785" ht="15.75" customHeight="1">
      <c r="K785" s="217"/>
      <c r="L785" s="218"/>
      <c r="AR785" s="61"/>
      <c r="AY785" s="146"/>
    </row>
    <row r="786" ht="15.75" customHeight="1">
      <c r="K786" s="217"/>
      <c r="L786" s="218"/>
      <c r="AR786" s="61"/>
      <c r="AY786" s="146"/>
    </row>
    <row r="787" ht="15.75" customHeight="1">
      <c r="K787" s="217"/>
      <c r="L787" s="218"/>
      <c r="AR787" s="61"/>
      <c r="AY787" s="146"/>
    </row>
    <row r="788" ht="15.75" customHeight="1">
      <c r="K788" s="217"/>
      <c r="L788" s="218"/>
      <c r="AR788" s="61"/>
      <c r="AY788" s="146"/>
    </row>
    <row r="789" ht="15.75" customHeight="1">
      <c r="K789" s="217"/>
      <c r="L789" s="218"/>
      <c r="AR789" s="61"/>
      <c r="AY789" s="146"/>
    </row>
    <row r="790" ht="15.75" customHeight="1">
      <c r="K790" s="217"/>
      <c r="L790" s="218"/>
      <c r="AR790" s="61"/>
      <c r="AY790" s="146"/>
    </row>
    <row r="791" ht="15.75" customHeight="1">
      <c r="K791" s="217"/>
      <c r="L791" s="218"/>
      <c r="AR791" s="61"/>
      <c r="AY791" s="146"/>
    </row>
    <row r="792" ht="15.75" customHeight="1">
      <c r="K792" s="217"/>
      <c r="L792" s="218"/>
      <c r="AR792" s="61"/>
      <c r="AY792" s="146"/>
    </row>
    <row r="793" ht="15.75" customHeight="1">
      <c r="K793" s="217"/>
      <c r="L793" s="218"/>
      <c r="AR793" s="61"/>
      <c r="AY793" s="146"/>
    </row>
    <row r="794" ht="15.75" customHeight="1">
      <c r="K794" s="217"/>
      <c r="L794" s="218"/>
      <c r="AR794" s="61"/>
      <c r="AY794" s="146"/>
    </row>
    <row r="795" ht="15.75" customHeight="1">
      <c r="K795" s="217"/>
      <c r="L795" s="218"/>
      <c r="AR795" s="61"/>
      <c r="AY795" s="146"/>
    </row>
    <row r="796" ht="15.75" customHeight="1">
      <c r="K796" s="217"/>
      <c r="L796" s="218"/>
      <c r="AR796" s="61"/>
      <c r="AY796" s="146"/>
    </row>
    <row r="797" ht="15.75" customHeight="1">
      <c r="K797" s="217"/>
      <c r="L797" s="218"/>
      <c r="AR797" s="61"/>
      <c r="AY797" s="146"/>
    </row>
    <row r="798" ht="15.75" customHeight="1">
      <c r="K798" s="217"/>
      <c r="L798" s="218"/>
      <c r="AR798" s="61"/>
      <c r="AY798" s="146"/>
    </row>
    <row r="799" ht="15.75" customHeight="1">
      <c r="K799" s="217"/>
      <c r="L799" s="218"/>
      <c r="AR799" s="61"/>
      <c r="AY799" s="146"/>
    </row>
    <row r="800" ht="15.75" customHeight="1">
      <c r="K800" s="217"/>
      <c r="L800" s="218"/>
      <c r="AR800" s="61"/>
      <c r="AY800" s="146"/>
    </row>
    <row r="801" ht="15.75" customHeight="1">
      <c r="K801" s="217"/>
      <c r="L801" s="218"/>
      <c r="AR801" s="61"/>
      <c r="AY801" s="146"/>
    </row>
    <row r="802" ht="15.75" customHeight="1">
      <c r="K802" s="217"/>
      <c r="L802" s="218"/>
      <c r="AR802" s="61"/>
      <c r="AY802" s="146"/>
    </row>
    <row r="803" ht="15.75" customHeight="1">
      <c r="K803" s="217"/>
      <c r="L803" s="218"/>
      <c r="AR803" s="61"/>
      <c r="AY803" s="146"/>
    </row>
    <row r="804" ht="15.75" customHeight="1">
      <c r="K804" s="217"/>
      <c r="L804" s="218"/>
      <c r="AR804" s="61"/>
      <c r="AY804" s="146"/>
    </row>
    <row r="805" ht="15.75" customHeight="1">
      <c r="K805" s="217"/>
      <c r="L805" s="218"/>
      <c r="AR805" s="61"/>
      <c r="AY805" s="146"/>
    </row>
    <row r="806" ht="15.75" customHeight="1">
      <c r="K806" s="217"/>
      <c r="L806" s="218"/>
      <c r="AR806" s="61"/>
      <c r="AY806" s="146"/>
    </row>
    <row r="807" ht="15.75" customHeight="1">
      <c r="K807" s="217"/>
      <c r="L807" s="218"/>
      <c r="AR807" s="61"/>
      <c r="AY807" s="146"/>
    </row>
    <row r="808" ht="15.75" customHeight="1">
      <c r="K808" s="217"/>
      <c r="L808" s="218"/>
      <c r="AR808" s="61"/>
      <c r="AY808" s="146"/>
    </row>
    <row r="809" ht="15.75" customHeight="1">
      <c r="K809" s="217"/>
      <c r="L809" s="218"/>
      <c r="AR809" s="61"/>
      <c r="AY809" s="146"/>
    </row>
    <row r="810" ht="15.75" customHeight="1">
      <c r="K810" s="217"/>
      <c r="L810" s="218"/>
      <c r="AR810" s="61"/>
      <c r="AY810" s="146"/>
    </row>
    <row r="811" ht="15.75" customHeight="1">
      <c r="K811" s="217"/>
      <c r="L811" s="218"/>
      <c r="AR811" s="61"/>
      <c r="AY811" s="146"/>
    </row>
    <row r="812" ht="15.75" customHeight="1">
      <c r="K812" s="217"/>
      <c r="L812" s="218"/>
      <c r="AR812" s="61"/>
      <c r="AY812" s="146"/>
    </row>
    <row r="813" ht="15.75" customHeight="1">
      <c r="K813" s="217"/>
      <c r="L813" s="218"/>
      <c r="AR813" s="61"/>
      <c r="AY813" s="146"/>
    </row>
    <row r="814" ht="15.75" customHeight="1">
      <c r="K814" s="217"/>
      <c r="L814" s="218"/>
      <c r="AR814" s="61"/>
      <c r="AY814" s="146"/>
    </row>
    <row r="815" ht="15.75" customHeight="1">
      <c r="K815" s="217"/>
      <c r="L815" s="218"/>
      <c r="AR815" s="61"/>
      <c r="AY815" s="146"/>
    </row>
    <row r="816" ht="15.75" customHeight="1">
      <c r="K816" s="217"/>
      <c r="L816" s="218"/>
      <c r="AR816" s="61"/>
      <c r="AY816" s="146"/>
    </row>
    <row r="817" ht="15.75" customHeight="1">
      <c r="K817" s="217"/>
      <c r="L817" s="218"/>
      <c r="AR817" s="61"/>
      <c r="AY817" s="146"/>
    </row>
    <row r="818" ht="15.75" customHeight="1">
      <c r="K818" s="217"/>
      <c r="L818" s="218"/>
      <c r="AR818" s="61"/>
      <c r="AY818" s="146"/>
    </row>
    <row r="819" ht="15.75" customHeight="1">
      <c r="K819" s="217"/>
      <c r="L819" s="218"/>
      <c r="AR819" s="61"/>
      <c r="AY819" s="146"/>
    </row>
    <row r="820" ht="15.75" customHeight="1">
      <c r="K820" s="217"/>
      <c r="L820" s="218"/>
      <c r="AR820" s="61"/>
      <c r="AY820" s="146"/>
    </row>
    <row r="821" ht="15.75" customHeight="1">
      <c r="K821" s="217"/>
      <c r="L821" s="218"/>
      <c r="AR821" s="61"/>
      <c r="AY821" s="146"/>
    </row>
    <row r="822" ht="15.75" customHeight="1">
      <c r="K822" s="217"/>
      <c r="L822" s="218"/>
      <c r="AR822" s="61"/>
      <c r="AY822" s="146"/>
    </row>
    <row r="823" ht="15.75" customHeight="1">
      <c r="K823" s="217"/>
      <c r="L823" s="218"/>
      <c r="AR823" s="61"/>
      <c r="AY823" s="146"/>
    </row>
    <row r="824" ht="15.75" customHeight="1">
      <c r="K824" s="217"/>
      <c r="L824" s="218"/>
      <c r="AR824" s="61"/>
      <c r="AY824" s="146"/>
    </row>
    <row r="825" ht="15.75" customHeight="1">
      <c r="K825" s="217"/>
      <c r="L825" s="218"/>
      <c r="AR825" s="61"/>
      <c r="AY825" s="146"/>
    </row>
    <row r="826" ht="15.75" customHeight="1">
      <c r="K826" s="217"/>
      <c r="L826" s="218"/>
      <c r="AR826" s="61"/>
      <c r="AY826" s="146"/>
    </row>
    <row r="827" ht="15.75" customHeight="1">
      <c r="K827" s="217"/>
      <c r="L827" s="218"/>
      <c r="AR827" s="61"/>
      <c r="AY827" s="146"/>
    </row>
    <row r="828" ht="15.75" customHeight="1">
      <c r="K828" s="217"/>
      <c r="L828" s="218"/>
      <c r="AR828" s="61"/>
      <c r="AY828" s="146"/>
    </row>
    <row r="829" ht="15.75" customHeight="1">
      <c r="K829" s="217"/>
      <c r="L829" s="218"/>
      <c r="AR829" s="61"/>
      <c r="AY829" s="146"/>
    </row>
    <row r="830" ht="15.75" customHeight="1">
      <c r="K830" s="217"/>
      <c r="L830" s="218"/>
      <c r="AR830" s="61"/>
      <c r="AY830" s="146"/>
    </row>
    <row r="831" ht="15.75" customHeight="1">
      <c r="K831" s="217"/>
      <c r="L831" s="218"/>
      <c r="AR831" s="61"/>
      <c r="AY831" s="146"/>
    </row>
    <row r="832" ht="15.75" customHeight="1">
      <c r="K832" s="217"/>
      <c r="L832" s="218"/>
      <c r="AR832" s="61"/>
      <c r="AY832" s="146"/>
    </row>
    <row r="833" ht="15.75" customHeight="1">
      <c r="K833" s="217"/>
      <c r="L833" s="218"/>
      <c r="AR833" s="61"/>
      <c r="AY833" s="146"/>
    </row>
    <row r="834" ht="15.75" customHeight="1">
      <c r="K834" s="217"/>
      <c r="L834" s="218"/>
      <c r="AR834" s="61"/>
      <c r="AY834" s="146"/>
    </row>
    <row r="835" ht="15.75" customHeight="1">
      <c r="K835" s="217"/>
      <c r="L835" s="218"/>
      <c r="AR835" s="61"/>
      <c r="AY835" s="146"/>
    </row>
    <row r="836" ht="15.75" customHeight="1">
      <c r="K836" s="217"/>
      <c r="L836" s="218"/>
      <c r="AR836" s="61"/>
      <c r="AY836" s="146"/>
    </row>
    <row r="837" ht="15.75" customHeight="1">
      <c r="K837" s="217"/>
      <c r="L837" s="218"/>
      <c r="AR837" s="61"/>
      <c r="AY837" s="146"/>
    </row>
    <row r="838" ht="15.75" customHeight="1">
      <c r="K838" s="217"/>
      <c r="L838" s="218"/>
      <c r="AR838" s="61"/>
      <c r="AY838" s="146"/>
    </row>
    <row r="839" ht="15.75" customHeight="1">
      <c r="K839" s="217"/>
      <c r="L839" s="218"/>
      <c r="AR839" s="61"/>
      <c r="AY839" s="146"/>
    </row>
    <row r="840" ht="15.75" customHeight="1">
      <c r="K840" s="217"/>
      <c r="L840" s="218"/>
      <c r="AR840" s="61"/>
      <c r="AY840" s="146"/>
    </row>
    <row r="841" ht="15.75" customHeight="1">
      <c r="K841" s="217"/>
      <c r="L841" s="218"/>
      <c r="AR841" s="61"/>
      <c r="AY841" s="146"/>
    </row>
    <row r="842" ht="15.75" customHeight="1">
      <c r="K842" s="217"/>
      <c r="L842" s="218"/>
      <c r="AR842" s="61"/>
      <c r="AY842" s="146"/>
    </row>
    <row r="843" ht="15.75" customHeight="1">
      <c r="K843" s="217"/>
      <c r="L843" s="218"/>
      <c r="AR843" s="61"/>
      <c r="AY843" s="146"/>
    </row>
    <row r="844" ht="15.75" customHeight="1">
      <c r="K844" s="217"/>
      <c r="L844" s="218"/>
      <c r="AR844" s="61"/>
      <c r="AY844" s="146"/>
    </row>
    <row r="845" ht="15.75" customHeight="1">
      <c r="K845" s="217"/>
      <c r="L845" s="218"/>
      <c r="AR845" s="61"/>
      <c r="AY845" s="146"/>
    </row>
    <row r="846" ht="15.75" customHeight="1">
      <c r="K846" s="217"/>
      <c r="L846" s="218"/>
      <c r="AR846" s="61"/>
      <c r="AY846" s="146"/>
    </row>
    <row r="847" ht="15.75" customHeight="1">
      <c r="K847" s="217"/>
      <c r="L847" s="218"/>
      <c r="AR847" s="61"/>
      <c r="AY847" s="146"/>
    </row>
    <row r="848" ht="15.75" customHeight="1">
      <c r="K848" s="217"/>
      <c r="L848" s="218"/>
      <c r="AR848" s="61"/>
      <c r="AY848" s="146"/>
    </row>
    <row r="849" ht="15.75" customHeight="1">
      <c r="K849" s="217"/>
      <c r="L849" s="218"/>
      <c r="AR849" s="61"/>
      <c r="AY849" s="146"/>
    </row>
    <row r="850" ht="15.75" customHeight="1">
      <c r="K850" s="217"/>
      <c r="L850" s="218"/>
      <c r="AR850" s="61"/>
      <c r="AY850" s="146"/>
    </row>
    <row r="851" ht="15.75" customHeight="1">
      <c r="K851" s="217"/>
      <c r="L851" s="218"/>
      <c r="AR851" s="61"/>
      <c r="AY851" s="146"/>
    </row>
    <row r="852" ht="15.75" customHeight="1">
      <c r="K852" s="217"/>
      <c r="L852" s="218"/>
      <c r="AR852" s="61"/>
      <c r="AY852" s="146"/>
    </row>
    <row r="853" ht="15.75" customHeight="1">
      <c r="K853" s="217"/>
      <c r="L853" s="218"/>
      <c r="AR853" s="61"/>
      <c r="AY853" s="146"/>
    </row>
    <row r="854" ht="15.75" customHeight="1">
      <c r="K854" s="217"/>
      <c r="L854" s="218"/>
      <c r="AR854" s="61"/>
      <c r="AY854" s="146"/>
    </row>
    <row r="855" ht="15.75" customHeight="1">
      <c r="K855" s="217"/>
      <c r="L855" s="218"/>
      <c r="AR855" s="61"/>
      <c r="AY855" s="146"/>
    </row>
    <row r="856" ht="15.75" customHeight="1">
      <c r="K856" s="217"/>
      <c r="L856" s="218"/>
      <c r="AR856" s="61"/>
      <c r="AY856" s="146"/>
    </row>
    <row r="857" ht="15.75" customHeight="1">
      <c r="K857" s="217"/>
      <c r="L857" s="218"/>
      <c r="AR857" s="61"/>
      <c r="AY857" s="146"/>
    </row>
    <row r="858" ht="15.75" customHeight="1">
      <c r="K858" s="217"/>
      <c r="L858" s="218"/>
      <c r="AR858" s="61"/>
      <c r="AY858" s="146"/>
    </row>
    <row r="859" ht="15.75" customHeight="1">
      <c r="K859" s="217"/>
      <c r="L859" s="218"/>
      <c r="AR859" s="61"/>
      <c r="AY859" s="146"/>
    </row>
    <row r="860" ht="15.75" customHeight="1">
      <c r="K860" s="217"/>
      <c r="L860" s="218"/>
      <c r="AR860" s="61"/>
      <c r="AY860" s="146"/>
    </row>
    <row r="861" ht="15.75" customHeight="1">
      <c r="K861" s="217"/>
      <c r="L861" s="218"/>
      <c r="AR861" s="61"/>
      <c r="AY861" s="146"/>
    </row>
    <row r="862" ht="15.75" customHeight="1">
      <c r="K862" s="217"/>
      <c r="L862" s="218"/>
      <c r="AR862" s="61"/>
      <c r="AY862" s="146"/>
    </row>
    <row r="863" ht="15.75" customHeight="1">
      <c r="K863" s="217"/>
      <c r="L863" s="218"/>
      <c r="AR863" s="61"/>
      <c r="AY863" s="146"/>
    </row>
    <row r="864" ht="15.75" customHeight="1">
      <c r="K864" s="217"/>
      <c r="L864" s="218"/>
      <c r="AR864" s="61"/>
      <c r="AY864" s="146"/>
    </row>
    <row r="865" ht="15.75" customHeight="1">
      <c r="K865" s="217"/>
      <c r="L865" s="218"/>
      <c r="AR865" s="61"/>
      <c r="AY865" s="146"/>
    </row>
    <row r="866" ht="15.75" customHeight="1">
      <c r="K866" s="217"/>
      <c r="L866" s="218"/>
      <c r="AR866" s="61"/>
      <c r="AY866" s="146"/>
    </row>
    <row r="867" ht="15.75" customHeight="1">
      <c r="K867" s="217"/>
      <c r="L867" s="218"/>
      <c r="AR867" s="61"/>
      <c r="AY867" s="146"/>
    </row>
    <row r="868" ht="15.75" customHeight="1">
      <c r="K868" s="217"/>
      <c r="L868" s="218"/>
      <c r="AR868" s="61"/>
      <c r="AY868" s="146"/>
    </row>
    <row r="869" ht="15.75" customHeight="1">
      <c r="K869" s="217"/>
      <c r="L869" s="218"/>
      <c r="AR869" s="61"/>
      <c r="AY869" s="146"/>
    </row>
    <row r="870" ht="15.75" customHeight="1">
      <c r="K870" s="217"/>
      <c r="L870" s="218"/>
      <c r="AR870" s="61"/>
      <c r="AY870" s="146"/>
    </row>
    <row r="871" ht="15.75" customHeight="1">
      <c r="K871" s="217"/>
      <c r="L871" s="218"/>
      <c r="AR871" s="61"/>
      <c r="AY871" s="146"/>
    </row>
    <row r="872" ht="15.75" customHeight="1">
      <c r="K872" s="217"/>
      <c r="L872" s="218"/>
      <c r="AR872" s="61"/>
      <c r="AY872" s="146"/>
    </row>
    <row r="873" ht="15.75" customHeight="1">
      <c r="K873" s="217"/>
      <c r="L873" s="218"/>
      <c r="AR873" s="61"/>
      <c r="AY873" s="146"/>
    </row>
    <row r="874" ht="15.75" customHeight="1">
      <c r="K874" s="217"/>
      <c r="L874" s="218"/>
      <c r="AR874" s="61"/>
      <c r="AY874" s="146"/>
    </row>
    <row r="875" ht="15.75" customHeight="1">
      <c r="K875" s="217"/>
      <c r="L875" s="218"/>
      <c r="AR875" s="61"/>
      <c r="AY875" s="146"/>
    </row>
    <row r="876" ht="15.75" customHeight="1">
      <c r="K876" s="217"/>
      <c r="L876" s="218"/>
      <c r="AR876" s="61"/>
      <c r="AY876" s="146"/>
    </row>
    <row r="877" ht="15.75" customHeight="1">
      <c r="K877" s="217"/>
      <c r="L877" s="218"/>
      <c r="AR877" s="61"/>
      <c r="AY877" s="146"/>
    </row>
    <row r="878" ht="15.75" customHeight="1">
      <c r="K878" s="217"/>
      <c r="L878" s="218"/>
      <c r="AR878" s="61"/>
      <c r="AY878" s="146"/>
    </row>
    <row r="879" ht="15.75" customHeight="1">
      <c r="K879" s="217"/>
      <c r="L879" s="218"/>
      <c r="AR879" s="61"/>
      <c r="AY879" s="146"/>
    </row>
    <row r="880" ht="15.75" customHeight="1">
      <c r="K880" s="217"/>
      <c r="L880" s="218"/>
      <c r="AR880" s="61"/>
      <c r="AY880" s="146"/>
    </row>
    <row r="881" ht="15.75" customHeight="1">
      <c r="K881" s="217"/>
      <c r="L881" s="218"/>
      <c r="AR881" s="61"/>
      <c r="AY881" s="146"/>
    </row>
    <row r="882" ht="15.75" customHeight="1">
      <c r="K882" s="217"/>
      <c r="L882" s="218"/>
      <c r="AR882" s="61"/>
      <c r="AY882" s="146"/>
    </row>
    <row r="883" ht="15.75" customHeight="1">
      <c r="K883" s="217"/>
      <c r="L883" s="218"/>
      <c r="AR883" s="61"/>
      <c r="AY883" s="146"/>
    </row>
    <row r="884" ht="15.75" customHeight="1">
      <c r="K884" s="217"/>
      <c r="L884" s="218"/>
      <c r="AR884" s="61"/>
      <c r="AY884" s="146"/>
    </row>
    <row r="885" ht="15.75" customHeight="1">
      <c r="K885" s="217"/>
      <c r="L885" s="218"/>
      <c r="AR885" s="61"/>
      <c r="AY885" s="146"/>
    </row>
    <row r="886" ht="15.75" customHeight="1">
      <c r="K886" s="217"/>
      <c r="L886" s="218"/>
      <c r="AR886" s="61"/>
      <c r="AY886" s="146"/>
    </row>
    <row r="887" ht="15.75" customHeight="1">
      <c r="K887" s="217"/>
      <c r="L887" s="218"/>
      <c r="AR887" s="61"/>
      <c r="AY887" s="146"/>
    </row>
    <row r="888" ht="15.75" customHeight="1">
      <c r="K888" s="217"/>
      <c r="L888" s="218"/>
      <c r="AR888" s="61"/>
      <c r="AY888" s="146"/>
    </row>
    <row r="889" ht="15.75" customHeight="1">
      <c r="K889" s="217"/>
      <c r="L889" s="218"/>
      <c r="AR889" s="61"/>
      <c r="AY889" s="146"/>
    </row>
    <row r="890" ht="15.75" customHeight="1">
      <c r="K890" s="217"/>
      <c r="L890" s="218"/>
      <c r="AR890" s="61"/>
      <c r="AY890" s="146"/>
    </row>
    <row r="891" ht="15.75" customHeight="1">
      <c r="K891" s="217"/>
      <c r="L891" s="218"/>
      <c r="AR891" s="61"/>
      <c r="AY891" s="146"/>
    </row>
    <row r="892" ht="15.75" customHeight="1">
      <c r="K892" s="217"/>
      <c r="L892" s="218"/>
      <c r="AR892" s="61"/>
      <c r="AY892" s="146"/>
    </row>
    <row r="893" ht="15.75" customHeight="1">
      <c r="K893" s="217"/>
      <c r="L893" s="218"/>
      <c r="AR893" s="61"/>
      <c r="AY893" s="146"/>
    </row>
    <row r="894" ht="15.75" customHeight="1">
      <c r="K894" s="217"/>
      <c r="L894" s="218"/>
      <c r="AR894" s="61"/>
      <c r="AY894" s="146"/>
    </row>
    <row r="895" ht="15.75" customHeight="1">
      <c r="K895" s="217"/>
      <c r="L895" s="218"/>
      <c r="AR895" s="61"/>
      <c r="AY895" s="146"/>
    </row>
    <row r="896" ht="15.75" customHeight="1">
      <c r="K896" s="217"/>
      <c r="L896" s="218"/>
      <c r="AR896" s="61"/>
      <c r="AY896" s="146"/>
    </row>
    <row r="897" ht="15.75" customHeight="1">
      <c r="K897" s="217"/>
      <c r="L897" s="218"/>
      <c r="AR897" s="61"/>
      <c r="AY897" s="146"/>
    </row>
    <row r="898" ht="15.75" customHeight="1">
      <c r="K898" s="217"/>
      <c r="L898" s="218"/>
      <c r="AR898" s="61"/>
      <c r="AY898" s="146"/>
    </row>
    <row r="899" ht="15.75" customHeight="1">
      <c r="K899" s="217"/>
      <c r="L899" s="218"/>
      <c r="AR899" s="61"/>
      <c r="AY899" s="146"/>
    </row>
    <row r="900" ht="15.75" customHeight="1">
      <c r="K900" s="217"/>
      <c r="L900" s="218"/>
      <c r="AR900" s="61"/>
      <c r="AY900" s="146"/>
    </row>
    <row r="901" ht="15.75" customHeight="1">
      <c r="K901" s="217"/>
      <c r="L901" s="218"/>
      <c r="AR901" s="61"/>
      <c r="AY901" s="146"/>
    </row>
    <row r="902" ht="15.75" customHeight="1">
      <c r="K902" s="217"/>
      <c r="L902" s="218"/>
      <c r="AR902" s="61"/>
      <c r="AY902" s="146"/>
    </row>
    <row r="903" ht="15.75" customHeight="1">
      <c r="K903" s="217"/>
      <c r="L903" s="218"/>
      <c r="AR903" s="61"/>
      <c r="AY903" s="146"/>
    </row>
    <row r="904" ht="15.75" customHeight="1">
      <c r="K904" s="217"/>
      <c r="L904" s="218"/>
      <c r="AR904" s="61"/>
      <c r="AY904" s="146"/>
    </row>
    <row r="905" ht="15.75" customHeight="1">
      <c r="K905" s="217"/>
      <c r="L905" s="218"/>
      <c r="AR905" s="61"/>
      <c r="AY905" s="146"/>
    </row>
    <row r="906" ht="15.75" customHeight="1">
      <c r="K906" s="217"/>
      <c r="L906" s="218"/>
      <c r="AR906" s="61"/>
      <c r="AY906" s="146"/>
    </row>
    <row r="907" ht="15.75" customHeight="1">
      <c r="K907" s="217"/>
      <c r="L907" s="218"/>
      <c r="AR907" s="61"/>
      <c r="AY907" s="146"/>
    </row>
    <row r="908" ht="15.75" customHeight="1">
      <c r="K908" s="217"/>
      <c r="L908" s="218"/>
      <c r="AR908" s="61"/>
      <c r="AY908" s="146"/>
    </row>
    <row r="909" ht="15.75" customHeight="1">
      <c r="K909" s="217"/>
      <c r="L909" s="218"/>
      <c r="AR909" s="61"/>
      <c r="AY909" s="146"/>
    </row>
    <row r="910" ht="15.75" customHeight="1">
      <c r="K910" s="217"/>
      <c r="L910" s="218"/>
      <c r="AR910" s="61"/>
      <c r="AY910" s="146"/>
    </row>
    <row r="911" ht="15.75" customHeight="1">
      <c r="K911" s="217"/>
      <c r="L911" s="218"/>
      <c r="AR911" s="61"/>
      <c r="AY911" s="146"/>
    </row>
    <row r="912" ht="15.75" customHeight="1">
      <c r="K912" s="217"/>
      <c r="L912" s="218"/>
      <c r="AR912" s="61"/>
      <c r="AY912" s="146"/>
    </row>
    <row r="913" ht="15.75" customHeight="1">
      <c r="K913" s="217"/>
      <c r="L913" s="218"/>
      <c r="AR913" s="61"/>
      <c r="AY913" s="146"/>
    </row>
    <row r="914" ht="15.75" customHeight="1">
      <c r="K914" s="217"/>
      <c r="L914" s="218"/>
      <c r="AR914" s="61"/>
      <c r="AY914" s="146"/>
    </row>
    <row r="915" ht="15.75" customHeight="1">
      <c r="K915" s="217"/>
      <c r="L915" s="218"/>
      <c r="AR915" s="61"/>
      <c r="AY915" s="146"/>
    </row>
    <row r="916" ht="15.75" customHeight="1">
      <c r="K916" s="217"/>
      <c r="L916" s="218"/>
      <c r="AR916" s="61"/>
      <c r="AY916" s="146"/>
    </row>
    <row r="917" ht="15.75" customHeight="1">
      <c r="K917" s="217"/>
      <c r="L917" s="218"/>
      <c r="AR917" s="61"/>
      <c r="AY917" s="146"/>
    </row>
    <row r="918" ht="15.75" customHeight="1">
      <c r="K918" s="217"/>
      <c r="L918" s="218"/>
      <c r="AR918" s="61"/>
      <c r="AY918" s="146"/>
    </row>
    <row r="919" ht="15.75" customHeight="1">
      <c r="K919" s="217"/>
      <c r="L919" s="218"/>
      <c r="AR919" s="61"/>
      <c r="AY919" s="146"/>
    </row>
    <row r="920" ht="15.75" customHeight="1">
      <c r="K920" s="217"/>
      <c r="L920" s="218"/>
      <c r="AR920" s="61"/>
      <c r="AY920" s="146"/>
    </row>
    <row r="921" ht="15.75" customHeight="1">
      <c r="K921" s="217"/>
      <c r="L921" s="218"/>
      <c r="AR921" s="61"/>
      <c r="AY921" s="146"/>
    </row>
    <row r="922" ht="15.75" customHeight="1">
      <c r="K922" s="217"/>
      <c r="L922" s="218"/>
      <c r="AR922" s="61"/>
      <c r="AY922" s="146"/>
    </row>
    <row r="923" ht="15.75" customHeight="1">
      <c r="K923" s="217"/>
      <c r="L923" s="218"/>
      <c r="AR923" s="61"/>
      <c r="AY923" s="146"/>
    </row>
    <row r="924" ht="15.75" customHeight="1">
      <c r="K924" s="217"/>
      <c r="L924" s="218"/>
      <c r="AR924" s="61"/>
      <c r="AY924" s="146"/>
    </row>
    <row r="925" ht="15.75" customHeight="1">
      <c r="K925" s="217"/>
      <c r="L925" s="218"/>
      <c r="AR925" s="61"/>
      <c r="AY925" s="146"/>
    </row>
    <row r="926" ht="15.75" customHeight="1">
      <c r="K926" s="217"/>
      <c r="L926" s="218"/>
      <c r="AR926" s="61"/>
      <c r="AY926" s="146"/>
    </row>
    <row r="927" ht="15.75" customHeight="1">
      <c r="K927" s="217"/>
      <c r="L927" s="218"/>
      <c r="AR927" s="61"/>
      <c r="AY927" s="146"/>
    </row>
    <row r="928" ht="15.75" customHeight="1">
      <c r="K928" s="217"/>
      <c r="L928" s="218"/>
      <c r="AR928" s="61"/>
      <c r="AY928" s="146"/>
    </row>
    <row r="929" ht="15.75" customHeight="1">
      <c r="K929" s="217"/>
      <c r="L929" s="218"/>
      <c r="AR929" s="61"/>
      <c r="AY929" s="146"/>
    </row>
    <row r="930" ht="15.75" customHeight="1">
      <c r="K930" s="217"/>
      <c r="L930" s="218"/>
      <c r="AR930" s="61"/>
      <c r="AY930" s="146"/>
    </row>
    <row r="931" ht="15.75" customHeight="1">
      <c r="K931" s="217"/>
      <c r="L931" s="218"/>
      <c r="AR931" s="61"/>
      <c r="AY931" s="146"/>
    </row>
    <row r="932" ht="15.75" customHeight="1">
      <c r="K932" s="217"/>
      <c r="L932" s="218"/>
      <c r="AR932" s="61"/>
      <c r="AY932" s="146"/>
    </row>
    <row r="933" ht="15.75" customHeight="1">
      <c r="K933" s="217"/>
      <c r="L933" s="218"/>
      <c r="AR933" s="61"/>
      <c r="AY933" s="146"/>
    </row>
    <row r="934" ht="15.75" customHeight="1">
      <c r="K934" s="217"/>
      <c r="L934" s="218"/>
      <c r="AR934" s="61"/>
      <c r="AY934" s="146"/>
    </row>
    <row r="935" ht="15.75" customHeight="1">
      <c r="K935" s="217"/>
      <c r="L935" s="218"/>
      <c r="AR935" s="61"/>
      <c r="AY935" s="146"/>
    </row>
    <row r="936" ht="15.75" customHeight="1">
      <c r="K936" s="217"/>
      <c r="L936" s="218"/>
      <c r="AR936" s="61"/>
      <c r="AY936" s="146"/>
    </row>
    <row r="937" ht="15.75" customHeight="1">
      <c r="K937" s="217"/>
      <c r="L937" s="218"/>
      <c r="AR937" s="61"/>
      <c r="AY937" s="146"/>
    </row>
    <row r="938" ht="15.75" customHeight="1">
      <c r="K938" s="217"/>
      <c r="L938" s="218"/>
      <c r="AR938" s="61"/>
      <c r="AY938" s="146"/>
    </row>
    <row r="939" ht="15.75" customHeight="1">
      <c r="K939" s="217"/>
      <c r="L939" s="218"/>
      <c r="AR939" s="61"/>
      <c r="AY939" s="146"/>
    </row>
    <row r="940" ht="15.75" customHeight="1">
      <c r="K940" s="217"/>
      <c r="L940" s="218"/>
      <c r="AR940" s="61"/>
      <c r="AY940" s="146"/>
    </row>
    <row r="941" ht="15.75" customHeight="1">
      <c r="K941" s="217"/>
      <c r="L941" s="218"/>
      <c r="AR941" s="61"/>
      <c r="AY941" s="146"/>
    </row>
    <row r="942" ht="15.75" customHeight="1">
      <c r="K942" s="217"/>
      <c r="L942" s="218"/>
      <c r="AR942" s="61"/>
      <c r="AY942" s="146"/>
    </row>
    <row r="943" ht="15.75" customHeight="1">
      <c r="K943" s="217"/>
      <c r="L943" s="218"/>
      <c r="AR943" s="61"/>
      <c r="AY943" s="146"/>
    </row>
    <row r="944" ht="15.75" customHeight="1">
      <c r="K944" s="217"/>
      <c r="L944" s="218"/>
      <c r="AR944" s="61"/>
      <c r="AY944" s="146"/>
    </row>
    <row r="945" ht="15.75" customHeight="1">
      <c r="K945" s="217"/>
      <c r="L945" s="218"/>
      <c r="AR945" s="61"/>
      <c r="AY945" s="146"/>
    </row>
    <row r="946" ht="15.75" customHeight="1">
      <c r="K946" s="217"/>
      <c r="L946" s="218"/>
      <c r="AR946" s="61"/>
      <c r="AY946" s="146"/>
    </row>
    <row r="947" ht="15.75" customHeight="1">
      <c r="K947" s="217"/>
      <c r="L947" s="218"/>
      <c r="AR947" s="61"/>
      <c r="AY947" s="146"/>
    </row>
    <row r="948" ht="15.75" customHeight="1">
      <c r="K948" s="217"/>
      <c r="L948" s="218"/>
      <c r="AR948" s="61"/>
      <c r="AY948" s="146"/>
    </row>
    <row r="949" ht="15.75" customHeight="1">
      <c r="K949" s="217"/>
      <c r="L949" s="218"/>
      <c r="AR949" s="61"/>
      <c r="AY949" s="146"/>
    </row>
    <row r="950" ht="15.75" customHeight="1">
      <c r="K950" s="217"/>
      <c r="L950" s="218"/>
      <c r="AR950" s="61"/>
      <c r="AY950" s="146"/>
    </row>
    <row r="951" ht="15.75" customHeight="1">
      <c r="K951" s="217"/>
      <c r="L951" s="218"/>
      <c r="AR951" s="61"/>
      <c r="AY951" s="146"/>
    </row>
    <row r="952" ht="15.75" customHeight="1">
      <c r="K952" s="217"/>
      <c r="L952" s="218"/>
      <c r="AR952" s="61"/>
      <c r="AY952" s="146"/>
    </row>
    <row r="953" ht="15.75" customHeight="1">
      <c r="K953" s="217"/>
      <c r="L953" s="218"/>
      <c r="AR953" s="61"/>
      <c r="AY953" s="146"/>
    </row>
    <row r="954" ht="15.75" customHeight="1">
      <c r="K954" s="217"/>
      <c r="L954" s="218"/>
      <c r="AR954" s="61"/>
      <c r="AY954" s="146"/>
    </row>
    <row r="955" ht="15.75" customHeight="1">
      <c r="K955" s="217"/>
      <c r="L955" s="218"/>
      <c r="AR955" s="61"/>
      <c r="AY955" s="146"/>
    </row>
    <row r="956" ht="15.75" customHeight="1">
      <c r="K956" s="217"/>
      <c r="L956" s="218"/>
      <c r="AR956" s="61"/>
      <c r="AY956" s="146"/>
    </row>
    <row r="957" ht="15.75" customHeight="1">
      <c r="K957" s="217"/>
      <c r="L957" s="218"/>
      <c r="AR957" s="61"/>
      <c r="AY957" s="146"/>
    </row>
    <row r="958" ht="15.75" customHeight="1">
      <c r="K958" s="217"/>
      <c r="L958" s="218"/>
      <c r="AR958" s="61"/>
      <c r="AY958" s="146"/>
    </row>
    <row r="959" ht="15.75" customHeight="1">
      <c r="K959" s="217"/>
      <c r="L959" s="218"/>
      <c r="AR959" s="61"/>
      <c r="AY959" s="146"/>
    </row>
    <row r="960" ht="15.75" customHeight="1">
      <c r="K960" s="217"/>
      <c r="L960" s="218"/>
      <c r="AR960" s="61"/>
      <c r="AY960" s="146"/>
    </row>
    <row r="961" ht="15.75" customHeight="1">
      <c r="K961" s="217"/>
      <c r="L961" s="218"/>
      <c r="AR961" s="61"/>
      <c r="AY961" s="146"/>
    </row>
    <row r="962" ht="15.75" customHeight="1">
      <c r="K962" s="217"/>
      <c r="L962" s="218"/>
      <c r="AR962" s="61"/>
      <c r="AY962" s="146"/>
    </row>
    <row r="963" ht="15.75" customHeight="1">
      <c r="K963" s="217"/>
      <c r="L963" s="218"/>
      <c r="AR963" s="61"/>
      <c r="AY963" s="146"/>
    </row>
    <row r="964" ht="15.75" customHeight="1">
      <c r="K964" s="217"/>
      <c r="L964" s="218"/>
      <c r="AR964" s="61"/>
      <c r="AY964" s="146"/>
    </row>
    <row r="965" ht="15.75" customHeight="1">
      <c r="K965" s="217"/>
      <c r="L965" s="218"/>
      <c r="AR965" s="61"/>
      <c r="AY965" s="146"/>
    </row>
    <row r="966" ht="15.75" customHeight="1">
      <c r="K966" s="217"/>
      <c r="L966" s="218"/>
      <c r="AR966" s="61"/>
      <c r="AY966" s="146"/>
    </row>
    <row r="967" ht="15.75" customHeight="1">
      <c r="K967" s="217"/>
      <c r="L967" s="218"/>
      <c r="AR967" s="61"/>
      <c r="AY967" s="146"/>
    </row>
    <row r="968" ht="15.75" customHeight="1">
      <c r="K968" s="217"/>
      <c r="L968" s="218"/>
      <c r="AR968" s="61"/>
      <c r="AY968" s="146"/>
    </row>
    <row r="969" ht="15.75" customHeight="1">
      <c r="K969" s="217"/>
      <c r="L969" s="218"/>
      <c r="AR969" s="61"/>
      <c r="AY969" s="146"/>
    </row>
    <row r="970" ht="15.75" customHeight="1">
      <c r="K970" s="217"/>
      <c r="L970" s="218"/>
      <c r="AR970" s="61"/>
      <c r="AY970" s="146"/>
    </row>
    <row r="971" ht="15.75" customHeight="1">
      <c r="K971" s="217"/>
      <c r="L971" s="218"/>
      <c r="AR971" s="61"/>
      <c r="AY971" s="146"/>
    </row>
    <row r="972" ht="15.75" customHeight="1">
      <c r="K972" s="217"/>
      <c r="L972" s="218"/>
      <c r="AR972" s="61"/>
      <c r="AY972" s="146"/>
    </row>
    <row r="973" ht="15.75" customHeight="1">
      <c r="K973" s="217"/>
      <c r="L973" s="218"/>
      <c r="AR973" s="61"/>
      <c r="AY973" s="146"/>
    </row>
    <row r="974" ht="15.75" customHeight="1">
      <c r="K974" s="217"/>
      <c r="L974" s="218"/>
      <c r="AR974" s="61"/>
      <c r="AY974" s="146"/>
    </row>
    <row r="975" ht="15.75" customHeight="1">
      <c r="K975" s="217"/>
      <c r="L975" s="218"/>
      <c r="AR975" s="61"/>
      <c r="AY975" s="146"/>
    </row>
    <row r="976" ht="15.75" customHeight="1">
      <c r="K976" s="217"/>
      <c r="L976" s="218"/>
      <c r="AR976" s="61"/>
      <c r="AY976" s="146"/>
    </row>
    <row r="977" ht="15.75" customHeight="1">
      <c r="K977" s="217"/>
      <c r="L977" s="218"/>
      <c r="AR977" s="61"/>
      <c r="AY977" s="146"/>
    </row>
    <row r="978" ht="15.75" customHeight="1">
      <c r="K978" s="217"/>
      <c r="L978" s="218"/>
      <c r="AR978" s="61"/>
      <c r="AY978" s="146"/>
    </row>
    <row r="979" ht="15.75" customHeight="1">
      <c r="K979" s="217"/>
      <c r="L979" s="218"/>
      <c r="AR979" s="61"/>
      <c r="AY979" s="146"/>
    </row>
    <row r="980" ht="15.75" customHeight="1">
      <c r="K980" s="217"/>
      <c r="L980" s="218"/>
      <c r="AR980" s="61"/>
      <c r="AY980" s="146"/>
    </row>
    <row r="981" ht="15.75" customHeight="1">
      <c r="K981" s="217"/>
      <c r="L981" s="218"/>
      <c r="AR981" s="61"/>
      <c r="AY981" s="146"/>
    </row>
    <row r="982" ht="15.75" customHeight="1">
      <c r="K982" s="217"/>
      <c r="L982" s="218"/>
      <c r="AR982" s="61"/>
      <c r="AY982" s="146"/>
    </row>
    <row r="983" ht="15.75" customHeight="1">
      <c r="K983" s="217"/>
      <c r="L983" s="218"/>
      <c r="AR983" s="61"/>
      <c r="AY983" s="146"/>
    </row>
    <row r="984" ht="15.75" customHeight="1">
      <c r="K984" s="217"/>
      <c r="L984" s="218"/>
      <c r="AR984" s="61"/>
      <c r="AY984" s="146"/>
    </row>
    <row r="985" ht="15.75" customHeight="1">
      <c r="K985" s="217"/>
      <c r="L985" s="218"/>
      <c r="AR985" s="61"/>
      <c r="AY985" s="146"/>
    </row>
    <row r="986" ht="15.75" customHeight="1">
      <c r="K986" s="217"/>
      <c r="L986" s="218"/>
      <c r="AR986" s="61"/>
      <c r="AY986" s="146"/>
    </row>
    <row r="987" ht="15.75" customHeight="1">
      <c r="K987" s="217"/>
      <c r="L987" s="218"/>
      <c r="AR987" s="61"/>
      <c r="AY987" s="146"/>
    </row>
    <row r="988" ht="15.75" customHeight="1">
      <c r="K988" s="217"/>
      <c r="L988" s="218"/>
      <c r="AR988" s="61"/>
      <c r="AY988" s="146"/>
    </row>
    <row r="989" ht="15.75" customHeight="1">
      <c r="K989" s="217"/>
      <c r="L989" s="218"/>
      <c r="AR989" s="61"/>
      <c r="AY989" s="146"/>
    </row>
    <row r="990" ht="15.75" customHeight="1">
      <c r="K990" s="217"/>
      <c r="L990" s="218"/>
      <c r="AR990" s="61"/>
      <c r="AY990" s="146"/>
    </row>
    <row r="991" ht="15.75" customHeight="1">
      <c r="K991" s="217"/>
      <c r="L991" s="218"/>
      <c r="AR991" s="61"/>
      <c r="AY991" s="146"/>
    </row>
    <row r="992" ht="15.75" customHeight="1">
      <c r="K992" s="217"/>
      <c r="L992" s="218"/>
      <c r="AR992" s="61"/>
      <c r="AY992" s="146"/>
    </row>
    <row r="993" ht="15.75" customHeight="1">
      <c r="K993" s="217"/>
      <c r="L993" s="218"/>
      <c r="AR993" s="61"/>
      <c r="AY993" s="146"/>
    </row>
    <row r="994" ht="15.75" customHeight="1">
      <c r="K994" s="217"/>
      <c r="L994" s="218"/>
      <c r="AR994" s="61"/>
      <c r="AY994" s="146"/>
    </row>
    <row r="995" ht="15.75" customHeight="1">
      <c r="K995" s="217"/>
      <c r="L995" s="218"/>
      <c r="AR995" s="61"/>
      <c r="AY995" s="146"/>
    </row>
    <row r="996" ht="15.75" customHeight="1">
      <c r="K996" s="217"/>
      <c r="L996" s="218"/>
      <c r="AR996" s="61"/>
      <c r="AY996" s="146"/>
    </row>
    <row r="997" ht="15.75" customHeight="1">
      <c r="K997" s="217"/>
      <c r="L997" s="218"/>
      <c r="AR997" s="61"/>
      <c r="AY997" s="146"/>
    </row>
    <row r="998" ht="15.75" customHeight="1">
      <c r="K998" s="217"/>
      <c r="L998" s="218"/>
      <c r="AR998" s="61"/>
      <c r="AY998" s="146"/>
    </row>
    <row r="999" ht="15.75" customHeight="1">
      <c r="K999" s="217"/>
      <c r="L999" s="218"/>
      <c r="AR999" s="61"/>
      <c r="AY999" s="146"/>
    </row>
    <row r="1000" ht="15.75" customHeight="1">
      <c r="K1000" s="217"/>
      <c r="L1000" s="218"/>
      <c r="AR1000" s="61"/>
      <c r="AY1000" s="146"/>
    </row>
    <row r="1001" ht="15.75" customHeight="1">
      <c r="K1001" s="217"/>
      <c r="L1001" s="218"/>
      <c r="AR1001" s="61"/>
      <c r="AY1001" s="146"/>
    </row>
    <row r="1002" ht="15.75" customHeight="1">
      <c r="K1002" s="217"/>
      <c r="L1002" s="218"/>
      <c r="AR1002" s="61"/>
      <c r="AY1002" s="146"/>
    </row>
    <row r="1003" ht="15.75" customHeight="1">
      <c r="K1003" s="217"/>
      <c r="L1003" s="218"/>
      <c r="AR1003" s="61"/>
      <c r="AY1003" s="146"/>
    </row>
    <row r="1004" ht="15.75" customHeight="1">
      <c r="K1004" s="217"/>
      <c r="L1004" s="218"/>
      <c r="AR1004" s="61"/>
      <c r="AY1004" s="146"/>
    </row>
    <row r="1005" ht="15.75" customHeight="1">
      <c r="K1005" s="217"/>
      <c r="L1005" s="218"/>
      <c r="AR1005" s="61"/>
      <c r="AY1005" s="146"/>
    </row>
    <row r="1006" ht="15.75" customHeight="1">
      <c r="K1006" s="217"/>
      <c r="L1006" s="218"/>
      <c r="AR1006" s="61"/>
      <c r="AY1006" s="146"/>
    </row>
    <row r="1007" ht="15.75" customHeight="1">
      <c r="K1007" s="217"/>
      <c r="L1007" s="218"/>
      <c r="AR1007" s="61"/>
      <c r="AY1007" s="146"/>
    </row>
    <row r="1008" ht="15.75" customHeight="1">
      <c r="K1008" s="217"/>
      <c r="L1008" s="218"/>
      <c r="AR1008" s="61"/>
      <c r="AY1008" s="146"/>
    </row>
    <row r="1009" ht="15.75" customHeight="1">
      <c r="K1009" s="217"/>
      <c r="L1009" s="218"/>
      <c r="AR1009" s="61"/>
      <c r="AY1009" s="146"/>
    </row>
    <row r="1010" ht="15.75" customHeight="1">
      <c r="K1010" s="217"/>
      <c r="L1010" s="218"/>
      <c r="AR1010" s="61"/>
      <c r="AY1010" s="146"/>
    </row>
    <row r="1011" ht="15.75" customHeight="1">
      <c r="K1011" s="217"/>
      <c r="L1011" s="218"/>
      <c r="AR1011" s="61"/>
      <c r="AY1011" s="146"/>
    </row>
    <row r="1012" ht="15.75" customHeight="1">
      <c r="K1012" s="217"/>
      <c r="L1012" s="218"/>
      <c r="AR1012" s="61"/>
      <c r="AY1012" s="146"/>
    </row>
    <row r="1013" ht="15.75" customHeight="1">
      <c r="K1013" s="217"/>
      <c r="L1013" s="218"/>
      <c r="AR1013" s="61"/>
      <c r="AY1013" s="146"/>
    </row>
  </sheetData>
  <mergeCells count="10">
    <mergeCell ref="AE3:AH3"/>
    <mergeCell ref="AI3:AL3"/>
    <mergeCell ref="AM3:AP3"/>
    <mergeCell ref="C3:F3"/>
    <mergeCell ref="G3:J3"/>
    <mergeCell ref="K3:N3"/>
    <mergeCell ref="O3:R3"/>
    <mergeCell ref="S3:V3"/>
    <mergeCell ref="W3:Z3"/>
    <mergeCell ref="AA3:AD3"/>
  </mergeCells>
  <dataValidations>
    <dataValidation type="list" allowBlank="1" showErrorMessage="1" sqref="AT6:AX30">
      <formula1>"A+,A,B,C,D,E"</formula1>
    </dataValidation>
  </dataValidations>
  <hyperlinks>
    <hyperlink display="HOME" location="HOME!A1" ref="A1"/>
  </hyperlink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25"/>
    <col customWidth="1" min="2" max="2" width="22.0"/>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9.38"/>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118.0"/>
  </cols>
  <sheetData>
    <row r="1" ht="16.5" customHeight="1">
      <c r="A1" s="42"/>
      <c r="B1" s="43" t="s">
        <v>61</v>
      </c>
      <c r="C1" s="219" t="s">
        <v>393</v>
      </c>
      <c r="D1" s="219" t="s">
        <v>83</v>
      </c>
      <c r="E1" s="220" t="s">
        <v>63</v>
      </c>
      <c r="F1" s="220" t="s">
        <v>83</v>
      </c>
      <c r="G1" s="221" t="s">
        <v>394</v>
      </c>
      <c r="H1" s="221" t="s">
        <v>83</v>
      </c>
      <c r="I1" s="222" t="s">
        <v>395</v>
      </c>
      <c r="J1" s="222" t="s">
        <v>83</v>
      </c>
      <c r="K1" s="223" t="s">
        <v>396</v>
      </c>
      <c r="L1" s="224" t="s">
        <v>83</v>
      </c>
      <c r="M1" s="225" t="s">
        <v>397</v>
      </c>
      <c r="N1" s="225" t="s">
        <v>83</v>
      </c>
      <c r="O1" s="226" t="s">
        <v>398</v>
      </c>
      <c r="P1" s="225" t="s">
        <v>83</v>
      </c>
      <c r="Q1" s="227" t="s">
        <v>48</v>
      </c>
      <c r="R1" s="227" t="s">
        <v>83</v>
      </c>
      <c r="S1" s="228" t="s">
        <v>399</v>
      </c>
      <c r="T1" s="229" t="s">
        <v>83</v>
      </c>
      <c r="U1" s="230" t="s">
        <v>32</v>
      </c>
      <c r="V1" s="230" t="s">
        <v>83</v>
      </c>
      <c r="W1" s="42"/>
      <c r="X1" s="43" t="s">
        <v>33</v>
      </c>
      <c r="Y1" s="43" t="s">
        <v>73</v>
      </c>
      <c r="Z1" s="43" t="s">
        <v>74</v>
      </c>
      <c r="AA1" s="42" t="s">
        <v>75</v>
      </c>
      <c r="AB1" s="42" t="s">
        <v>76</v>
      </c>
      <c r="AC1" s="42" t="s">
        <v>77</v>
      </c>
      <c r="AD1" s="42" t="s">
        <v>210</v>
      </c>
      <c r="AE1" s="96" t="s">
        <v>79</v>
      </c>
    </row>
    <row r="2" ht="16.5" customHeight="1">
      <c r="A2" s="42">
        <v>1.0</v>
      </c>
      <c r="B2" s="231" t="s">
        <v>400</v>
      </c>
      <c r="C2" s="63">
        <v>61.0</v>
      </c>
      <c r="D2" s="56" t="str">
        <f t="shared" ref="D2:D21" si="1">VLOOKUP(C2,$B$41:$C$49,2)</f>
        <v>C</v>
      </c>
      <c r="E2" s="73">
        <v>53.0</v>
      </c>
      <c r="F2" s="56" t="str">
        <f t="shared" ref="F2:F21" si="2">VLOOKUP(E2,$B$41:$C$49,2)</f>
        <v>D</v>
      </c>
      <c r="G2" s="72"/>
      <c r="H2" s="77" t="str">
        <f t="shared" ref="H2:H21" si="3">VLOOKUP(G2,$B$41:$C$49,2)</f>
        <v>U</v>
      </c>
      <c r="I2" s="73">
        <v>35.0</v>
      </c>
      <c r="J2" s="56" t="str">
        <f t="shared" ref="J2:J21" si="4">VLOOKUP(I2,$B$41:$C$49,2)</f>
        <v>F</v>
      </c>
      <c r="K2" s="72"/>
      <c r="L2" s="56" t="str">
        <f t="shared" ref="L2:L21" si="5">VLOOKUP(K2,$B$41:$C$49,2)</f>
        <v>U</v>
      </c>
      <c r="M2" s="73">
        <v>66.0</v>
      </c>
      <c r="N2" s="56" t="str">
        <f t="shared" ref="N2:N21" si="6">VLOOKUP(M2,$B$41:$C$49,2)</f>
        <v>C</v>
      </c>
      <c r="O2" s="72"/>
      <c r="P2" s="56" t="str">
        <f t="shared" ref="P2:P21" si="7">VLOOKUP(O2,$B$41:$C$49,2)</f>
        <v>U</v>
      </c>
      <c r="Q2" s="73">
        <v>46.0</v>
      </c>
      <c r="R2" s="56" t="str">
        <f t="shared" ref="R2:R21" si="8">VLOOKUP(Q2,$B$41:$C$49,2)</f>
        <v>E</v>
      </c>
      <c r="S2" s="73">
        <v>65.0</v>
      </c>
      <c r="T2" s="56" t="str">
        <f t="shared" ref="T2:T21" si="9">VLOOKUP(S2,$B$41:$C$49,2)</f>
        <v>C</v>
      </c>
      <c r="U2" s="232"/>
      <c r="V2" s="56" t="str">
        <f t="shared" ref="V2:V21" si="10">VLOOKUP(U2,$B$41:$C$49,2)</f>
        <v>U</v>
      </c>
      <c r="W2" s="72"/>
      <c r="X2" s="233">
        <f t="shared" ref="X2:X21" si="11">AVERAGE(C2,E2,G2,I2,K2,M2,O2,Q2,S2,U2)</f>
        <v>54.33333333</v>
      </c>
      <c r="Y2" s="72">
        <f t="shared" ref="Y2:Y21" si="12">RANK(X2,$X$2:$X$21)</f>
        <v>17</v>
      </c>
      <c r="Z2" s="134" t="s">
        <v>85</v>
      </c>
      <c r="AA2" s="134" t="s">
        <v>85</v>
      </c>
      <c r="AB2" s="134" t="s">
        <v>85</v>
      </c>
      <c r="AC2" s="134" t="s">
        <v>87</v>
      </c>
      <c r="AD2" s="134" t="s">
        <v>85</v>
      </c>
      <c r="AE2" s="83" t="s">
        <v>401</v>
      </c>
    </row>
    <row r="3" ht="16.5" customHeight="1">
      <c r="A3" s="42">
        <v>2.0</v>
      </c>
      <c r="B3" s="116" t="s">
        <v>402</v>
      </c>
      <c r="C3" s="63">
        <v>53.0</v>
      </c>
      <c r="D3" s="56" t="str">
        <f t="shared" si="1"/>
        <v>D</v>
      </c>
      <c r="E3" s="73">
        <v>40.0</v>
      </c>
      <c r="F3" s="56" t="str">
        <f t="shared" si="2"/>
        <v>E</v>
      </c>
      <c r="G3" s="73">
        <v>58.0</v>
      </c>
      <c r="H3" s="56" t="str">
        <f t="shared" si="3"/>
        <v>D</v>
      </c>
      <c r="I3" s="73">
        <v>40.0</v>
      </c>
      <c r="J3" s="56" t="str">
        <f t="shared" si="4"/>
        <v>E</v>
      </c>
      <c r="K3" s="72"/>
      <c r="L3" s="56" t="str">
        <f t="shared" si="5"/>
        <v>U</v>
      </c>
      <c r="M3" s="72"/>
      <c r="N3" s="56" t="str">
        <f t="shared" si="6"/>
        <v>U</v>
      </c>
      <c r="O3" s="72"/>
      <c r="P3" s="56" t="str">
        <f t="shared" si="7"/>
        <v>U</v>
      </c>
      <c r="Q3" s="72"/>
      <c r="R3" s="56" t="str">
        <f t="shared" si="8"/>
        <v>U</v>
      </c>
      <c r="S3" s="207">
        <v>73.0</v>
      </c>
      <c r="T3" s="56" t="str">
        <f t="shared" si="9"/>
        <v>B</v>
      </c>
      <c r="U3" s="121">
        <v>40.0</v>
      </c>
      <c r="V3" s="56" t="str">
        <f t="shared" si="10"/>
        <v>E</v>
      </c>
      <c r="W3" s="42"/>
      <c r="X3" s="233">
        <f t="shared" si="11"/>
        <v>50.66666667</v>
      </c>
      <c r="Y3" s="72">
        <f t="shared" si="12"/>
        <v>19</v>
      </c>
      <c r="Z3" s="134" t="s">
        <v>87</v>
      </c>
      <c r="AA3" s="134" t="s">
        <v>85</v>
      </c>
      <c r="AB3" s="134" t="s">
        <v>85</v>
      </c>
      <c r="AC3" s="134" t="s">
        <v>85</v>
      </c>
      <c r="AD3" s="134" t="s">
        <v>87</v>
      </c>
      <c r="AE3" s="83" t="s">
        <v>403</v>
      </c>
    </row>
    <row r="4" ht="16.5" customHeight="1">
      <c r="A4" s="42">
        <v>3.0</v>
      </c>
      <c r="B4" s="116" t="s">
        <v>404</v>
      </c>
      <c r="C4" s="63">
        <v>55.0</v>
      </c>
      <c r="D4" s="56" t="str">
        <f t="shared" si="1"/>
        <v>D</v>
      </c>
      <c r="E4" s="73">
        <v>41.0</v>
      </c>
      <c r="F4" s="56" t="str">
        <f t="shared" si="2"/>
        <v>E</v>
      </c>
      <c r="G4" s="73">
        <v>79.0</v>
      </c>
      <c r="H4" s="56" t="str">
        <f t="shared" si="3"/>
        <v>B</v>
      </c>
      <c r="I4" s="73">
        <v>48.0</v>
      </c>
      <c r="J4" s="56" t="str">
        <f t="shared" si="4"/>
        <v>E</v>
      </c>
      <c r="K4" s="72"/>
      <c r="L4" s="56" t="str">
        <f t="shared" si="5"/>
        <v>U</v>
      </c>
      <c r="M4" s="72"/>
      <c r="N4" s="56" t="str">
        <f t="shared" si="6"/>
        <v>U</v>
      </c>
      <c r="O4" s="72"/>
      <c r="P4" s="56" t="str">
        <f t="shared" si="7"/>
        <v>U</v>
      </c>
      <c r="Q4" s="72"/>
      <c r="R4" s="56" t="str">
        <f t="shared" si="8"/>
        <v>U</v>
      </c>
      <c r="S4" s="207">
        <v>73.0</v>
      </c>
      <c r="T4" s="56" t="str">
        <f t="shared" si="9"/>
        <v>B</v>
      </c>
      <c r="U4" s="121">
        <v>62.0</v>
      </c>
      <c r="V4" s="56" t="str">
        <f t="shared" si="10"/>
        <v>C</v>
      </c>
      <c r="W4" s="42"/>
      <c r="X4" s="233">
        <f t="shared" si="11"/>
        <v>59.66666667</v>
      </c>
      <c r="Y4" s="72">
        <f t="shared" si="12"/>
        <v>13</v>
      </c>
      <c r="Z4" s="134" t="s">
        <v>87</v>
      </c>
      <c r="AA4" s="134" t="s">
        <v>85</v>
      </c>
      <c r="AB4" s="134" t="s">
        <v>87</v>
      </c>
      <c r="AC4" s="134" t="s">
        <v>85</v>
      </c>
      <c r="AD4" s="134" t="s">
        <v>85</v>
      </c>
      <c r="AE4" s="83" t="s">
        <v>405</v>
      </c>
    </row>
    <row r="5" ht="16.5" customHeight="1">
      <c r="A5" s="42">
        <v>4.0</v>
      </c>
      <c r="B5" s="116" t="s">
        <v>406</v>
      </c>
      <c r="C5" s="63">
        <v>69.0</v>
      </c>
      <c r="D5" s="56" t="str">
        <f t="shared" si="1"/>
        <v>C</v>
      </c>
      <c r="E5" s="73">
        <v>52.0</v>
      </c>
      <c r="F5" s="56" t="str">
        <f t="shared" si="2"/>
        <v>D</v>
      </c>
      <c r="G5" s="73">
        <v>55.0</v>
      </c>
      <c r="H5" s="56" t="str">
        <f t="shared" si="3"/>
        <v>D</v>
      </c>
      <c r="I5" s="73">
        <v>66.0</v>
      </c>
      <c r="J5" s="56" t="str">
        <f t="shared" si="4"/>
        <v>C</v>
      </c>
      <c r="K5" s="72"/>
      <c r="L5" s="56" t="str">
        <f t="shared" si="5"/>
        <v>U</v>
      </c>
      <c r="M5" s="72"/>
      <c r="N5" s="56" t="str">
        <f t="shared" si="6"/>
        <v>U</v>
      </c>
      <c r="O5" s="72"/>
      <c r="P5" s="56" t="str">
        <f t="shared" si="7"/>
        <v>U</v>
      </c>
      <c r="Q5" s="72"/>
      <c r="R5" s="56" t="str">
        <f t="shared" si="8"/>
        <v>U</v>
      </c>
      <c r="S5" s="73">
        <v>80.0</v>
      </c>
      <c r="T5" s="56" t="str">
        <f t="shared" si="9"/>
        <v>A</v>
      </c>
      <c r="U5" s="121">
        <v>50.0</v>
      </c>
      <c r="V5" s="56" t="str">
        <f t="shared" si="10"/>
        <v>D</v>
      </c>
      <c r="W5" s="42"/>
      <c r="X5" s="233">
        <f t="shared" si="11"/>
        <v>62</v>
      </c>
      <c r="Y5" s="72">
        <f t="shared" si="12"/>
        <v>10</v>
      </c>
      <c r="Z5" s="134" t="s">
        <v>87</v>
      </c>
      <c r="AA5" s="134" t="s">
        <v>85</v>
      </c>
      <c r="AB5" s="134" t="s">
        <v>85</v>
      </c>
      <c r="AC5" s="134" t="s">
        <v>85</v>
      </c>
      <c r="AD5" s="134" t="s">
        <v>87</v>
      </c>
      <c r="AE5" s="83" t="s">
        <v>407</v>
      </c>
    </row>
    <row r="6" ht="16.5" customHeight="1">
      <c r="A6" s="121">
        <v>5.0</v>
      </c>
      <c r="B6" s="116" t="s">
        <v>408</v>
      </c>
      <c r="C6" s="63">
        <v>73.0</v>
      </c>
      <c r="D6" s="56" t="str">
        <f t="shared" si="1"/>
        <v>B</v>
      </c>
      <c r="E6" s="73">
        <v>52.0</v>
      </c>
      <c r="F6" s="56" t="str">
        <f t="shared" si="2"/>
        <v>D</v>
      </c>
      <c r="G6" s="73">
        <v>64.0</v>
      </c>
      <c r="H6" s="56" t="str">
        <f t="shared" si="3"/>
        <v>C</v>
      </c>
      <c r="I6" s="73">
        <v>35.0</v>
      </c>
      <c r="J6" s="56" t="str">
        <f t="shared" si="4"/>
        <v>F</v>
      </c>
      <c r="K6" s="72"/>
      <c r="L6" s="56" t="str">
        <f t="shared" si="5"/>
        <v>U</v>
      </c>
      <c r="M6" s="72"/>
      <c r="N6" s="56" t="str">
        <f t="shared" si="6"/>
        <v>U</v>
      </c>
      <c r="O6" s="72"/>
      <c r="P6" s="56" t="str">
        <f t="shared" si="7"/>
        <v>U</v>
      </c>
      <c r="Q6" s="72"/>
      <c r="R6" s="56" t="str">
        <f t="shared" si="8"/>
        <v>U</v>
      </c>
      <c r="S6" s="207">
        <v>62.0</v>
      </c>
      <c r="T6" s="56" t="str">
        <f t="shared" si="9"/>
        <v>C</v>
      </c>
      <c r="U6" s="234">
        <v>60.0</v>
      </c>
      <c r="V6" s="56" t="str">
        <f t="shared" si="10"/>
        <v>C</v>
      </c>
      <c r="W6" s="42"/>
      <c r="X6" s="233">
        <f t="shared" si="11"/>
        <v>57.66666667</v>
      </c>
      <c r="Y6" s="72">
        <f t="shared" si="12"/>
        <v>15</v>
      </c>
      <c r="Z6" s="134" t="s">
        <v>87</v>
      </c>
      <c r="AA6" s="134" t="s">
        <v>85</v>
      </c>
      <c r="AB6" s="134" t="s">
        <v>87</v>
      </c>
      <c r="AC6" s="134" t="s">
        <v>85</v>
      </c>
      <c r="AD6" s="134" t="s">
        <v>87</v>
      </c>
      <c r="AE6" s="235" t="s">
        <v>409</v>
      </c>
    </row>
    <row r="7" ht="16.5" customHeight="1">
      <c r="A7" s="42">
        <v>6.0</v>
      </c>
      <c r="B7" s="116" t="s">
        <v>410</v>
      </c>
      <c r="C7" s="63">
        <v>23.0</v>
      </c>
      <c r="D7" s="56" t="str">
        <f t="shared" si="1"/>
        <v>G</v>
      </c>
      <c r="E7" s="73">
        <v>6.0</v>
      </c>
      <c r="F7" s="56" t="str">
        <f t="shared" si="2"/>
        <v>U</v>
      </c>
      <c r="G7" s="73">
        <v>16.0</v>
      </c>
      <c r="H7" s="77" t="str">
        <f t="shared" si="3"/>
        <v>U</v>
      </c>
      <c r="I7" s="73">
        <v>23.0</v>
      </c>
      <c r="J7" s="56" t="str">
        <f t="shared" si="4"/>
        <v>G</v>
      </c>
      <c r="K7" s="72"/>
      <c r="L7" s="56" t="str">
        <f t="shared" si="5"/>
        <v>U</v>
      </c>
      <c r="M7" s="72"/>
      <c r="N7" s="56" t="str">
        <f t="shared" si="6"/>
        <v>U</v>
      </c>
      <c r="O7" s="72"/>
      <c r="P7" s="56" t="str">
        <f t="shared" si="7"/>
        <v>U</v>
      </c>
      <c r="Q7" s="73">
        <v>13.0</v>
      </c>
      <c r="R7" s="56" t="str">
        <f t="shared" si="8"/>
        <v>U</v>
      </c>
      <c r="S7" s="73">
        <v>16.0</v>
      </c>
      <c r="T7" s="56" t="str">
        <f t="shared" si="9"/>
        <v>U</v>
      </c>
      <c r="U7" s="42"/>
      <c r="V7" s="56" t="str">
        <f t="shared" si="10"/>
        <v>U</v>
      </c>
      <c r="W7" s="42"/>
      <c r="X7" s="233">
        <f t="shared" si="11"/>
        <v>16.16666667</v>
      </c>
      <c r="Y7" s="72">
        <f t="shared" si="12"/>
        <v>20</v>
      </c>
      <c r="Z7" s="134" t="s">
        <v>87</v>
      </c>
      <c r="AA7" s="134" t="s">
        <v>85</v>
      </c>
      <c r="AB7" s="134" t="s">
        <v>87</v>
      </c>
      <c r="AC7" s="134" t="s">
        <v>85</v>
      </c>
      <c r="AD7" s="134" t="s">
        <v>87</v>
      </c>
      <c r="AE7" s="83" t="s">
        <v>411</v>
      </c>
    </row>
    <row r="8" ht="16.5" customHeight="1">
      <c r="A8" s="42">
        <v>7.0</v>
      </c>
      <c r="B8" s="116" t="s">
        <v>412</v>
      </c>
      <c r="C8" s="63">
        <v>81.0</v>
      </c>
      <c r="D8" s="56" t="str">
        <f t="shared" si="1"/>
        <v>A</v>
      </c>
      <c r="E8" s="73">
        <v>79.0</v>
      </c>
      <c r="F8" s="56" t="str">
        <f t="shared" si="2"/>
        <v>B</v>
      </c>
      <c r="G8" s="73">
        <v>90.0</v>
      </c>
      <c r="H8" s="56" t="str">
        <f t="shared" si="3"/>
        <v>A*</v>
      </c>
      <c r="I8" s="73">
        <v>89.0</v>
      </c>
      <c r="J8" s="56" t="str">
        <f t="shared" si="4"/>
        <v>A</v>
      </c>
      <c r="K8" s="72"/>
      <c r="L8" s="56" t="str">
        <f t="shared" si="5"/>
        <v>U</v>
      </c>
      <c r="M8" s="72"/>
      <c r="N8" s="56" t="str">
        <f t="shared" si="6"/>
        <v>U</v>
      </c>
      <c r="O8" s="72"/>
      <c r="P8" s="56" t="str">
        <f t="shared" si="7"/>
        <v>U</v>
      </c>
      <c r="Q8" s="73">
        <v>90.0</v>
      </c>
      <c r="R8" s="56" t="str">
        <f t="shared" si="8"/>
        <v>A*</v>
      </c>
      <c r="S8" s="73">
        <v>89.0</v>
      </c>
      <c r="T8" s="56" t="str">
        <f t="shared" si="9"/>
        <v>A</v>
      </c>
      <c r="U8" s="42"/>
      <c r="V8" s="56" t="str">
        <f t="shared" si="10"/>
        <v>U</v>
      </c>
      <c r="W8" s="42"/>
      <c r="X8" s="233">
        <f t="shared" si="11"/>
        <v>86.33333333</v>
      </c>
      <c r="Y8" s="72">
        <f t="shared" si="12"/>
        <v>1</v>
      </c>
      <c r="Z8" s="134" t="s">
        <v>86</v>
      </c>
      <c r="AA8" s="134" t="s">
        <v>85</v>
      </c>
      <c r="AB8" s="134" t="s">
        <v>85</v>
      </c>
      <c r="AC8" s="134" t="s">
        <v>85</v>
      </c>
      <c r="AD8" s="134" t="s">
        <v>86</v>
      </c>
      <c r="AE8" s="83" t="s">
        <v>413</v>
      </c>
    </row>
    <row r="9" ht="16.5" customHeight="1">
      <c r="A9" s="42">
        <v>8.0</v>
      </c>
      <c r="B9" s="116" t="s">
        <v>414</v>
      </c>
      <c r="C9" s="63">
        <v>63.0</v>
      </c>
      <c r="D9" s="56" t="str">
        <f t="shared" si="1"/>
        <v>C</v>
      </c>
      <c r="E9" s="73">
        <v>71.0</v>
      </c>
      <c r="F9" s="56" t="str">
        <f t="shared" si="2"/>
        <v>B</v>
      </c>
      <c r="G9" s="73">
        <v>78.0</v>
      </c>
      <c r="H9" s="56" t="str">
        <f t="shared" si="3"/>
        <v>B</v>
      </c>
      <c r="I9" s="73">
        <v>79.0</v>
      </c>
      <c r="J9" s="56" t="str">
        <f t="shared" si="4"/>
        <v>B</v>
      </c>
      <c r="K9" s="73">
        <v>95.0</v>
      </c>
      <c r="L9" s="56" t="str">
        <f t="shared" si="5"/>
        <v>A*</v>
      </c>
      <c r="M9" s="72"/>
      <c r="N9" s="56" t="str">
        <f t="shared" si="6"/>
        <v>U</v>
      </c>
      <c r="O9" s="72"/>
      <c r="P9" s="56" t="str">
        <f t="shared" si="7"/>
        <v>U</v>
      </c>
      <c r="Q9" s="73">
        <v>51.0</v>
      </c>
      <c r="R9" s="56" t="str">
        <f t="shared" si="8"/>
        <v>D</v>
      </c>
      <c r="S9" s="207">
        <v>86.0</v>
      </c>
      <c r="T9" s="56" t="str">
        <f t="shared" si="9"/>
        <v>A</v>
      </c>
      <c r="U9" s="42"/>
      <c r="V9" s="56" t="str">
        <f t="shared" si="10"/>
        <v>U</v>
      </c>
      <c r="W9" s="42"/>
      <c r="X9" s="233">
        <f t="shared" si="11"/>
        <v>74.71428571</v>
      </c>
      <c r="Y9" s="72">
        <f t="shared" si="12"/>
        <v>4</v>
      </c>
      <c r="Z9" s="134" t="s">
        <v>85</v>
      </c>
      <c r="AA9" s="134" t="s">
        <v>85</v>
      </c>
      <c r="AB9" s="134" t="s">
        <v>87</v>
      </c>
      <c r="AC9" s="134" t="s">
        <v>85</v>
      </c>
      <c r="AD9" s="134" t="s">
        <v>85</v>
      </c>
      <c r="AE9" s="83" t="s">
        <v>415</v>
      </c>
    </row>
    <row r="10" ht="16.5" customHeight="1">
      <c r="A10" s="42">
        <v>9.0</v>
      </c>
      <c r="B10" s="116" t="s">
        <v>416</v>
      </c>
      <c r="C10" s="63">
        <v>59.0</v>
      </c>
      <c r="D10" s="56" t="str">
        <f t="shared" si="1"/>
        <v>D</v>
      </c>
      <c r="E10" s="73">
        <v>42.0</v>
      </c>
      <c r="F10" s="56" t="str">
        <f t="shared" si="2"/>
        <v>E</v>
      </c>
      <c r="G10" s="73">
        <v>55.0</v>
      </c>
      <c r="H10" s="56" t="str">
        <f t="shared" si="3"/>
        <v>D</v>
      </c>
      <c r="I10" s="73">
        <v>39.0</v>
      </c>
      <c r="J10" s="56" t="str">
        <f t="shared" si="4"/>
        <v>F</v>
      </c>
      <c r="K10" s="72"/>
      <c r="L10" s="56" t="str">
        <f t="shared" si="5"/>
        <v>U</v>
      </c>
      <c r="M10" s="72"/>
      <c r="N10" s="56" t="str">
        <f t="shared" si="6"/>
        <v>U</v>
      </c>
      <c r="O10" s="72"/>
      <c r="P10" s="56" t="str">
        <f t="shared" si="7"/>
        <v>U</v>
      </c>
      <c r="Q10" s="72"/>
      <c r="R10" s="56" t="str">
        <f t="shared" si="8"/>
        <v>U</v>
      </c>
      <c r="S10" s="207">
        <v>67.0</v>
      </c>
      <c r="T10" s="56" t="str">
        <f t="shared" si="9"/>
        <v>C</v>
      </c>
      <c r="U10" s="121">
        <v>56.0</v>
      </c>
      <c r="V10" s="56" t="str">
        <f t="shared" si="10"/>
        <v>D</v>
      </c>
      <c r="W10" s="42"/>
      <c r="X10" s="233">
        <f t="shared" si="11"/>
        <v>53</v>
      </c>
      <c r="Y10" s="72">
        <f t="shared" si="12"/>
        <v>18</v>
      </c>
      <c r="Z10" s="134" t="s">
        <v>87</v>
      </c>
      <c r="AA10" s="134" t="s">
        <v>85</v>
      </c>
      <c r="AB10" s="134" t="s">
        <v>87</v>
      </c>
      <c r="AC10" s="134" t="s">
        <v>85</v>
      </c>
      <c r="AD10" s="134" t="s">
        <v>85</v>
      </c>
      <c r="AE10" s="235" t="s">
        <v>417</v>
      </c>
    </row>
    <row r="11" ht="16.5" customHeight="1">
      <c r="A11" s="42">
        <v>10.0</v>
      </c>
      <c r="B11" s="231" t="s">
        <v>418</v>
      </c>
      <c r="C11" s="63">
        <v>61.0</v>
      </c>
      <c r="D11" s="56" t="str">
        <f t="shared" si="1"/>
        <v>C</v>
      </c>
      <c r="E11" s="73">
        <v>53.0</v>
      </c>
      <c r="F11" s="56" t="str">
        <f t="shared" si="2"/>
        <v>D</v>
      </c>
      <c r="G11" s="73">
        <v>66.0</v>
      </c>
      <c r="H11" s="56" t="str">
        <f t="shared" si="3"/>
        <v>C</v>
      </c>
      <c r="I11" s="73">
        <v>58.0</v>
      </c>
      <c r="J11" s="56" t="str">
        <f t="shared" si="4"/>
        <v>D</v>
      </c>
      <c r="K11" s="72"/>
      <c r="L11" s="56" t="str">
        <f t="shared" si="5"/>
        <v>U</v>
      </c>
      <c r="M11" s="72"/>
      <c r="N11" s="56" t="str">
        <f t="shared" si="6"/>
        <v>U</v>
      </c>
      <c r="O11" s="72"/>
      <c r="P11" s="56" t="str">
        <f t="shared" si="7"/>
        <v>U</v>
      </c>
      <c r="Q11" s="73">
        <v>54.0</v>
      </c>
      <c r="R11" s="56" t="str">
        <f t="shared" si="8"/>
        <v>D</v>
      </c>
      <c r="S11" s="207">
        <v>70.0</v>
      </c>
      <c r="T11" s="56" t="str">
        <f t="shared" si="9"/>
        <v>B</v>
      </c>
      <c r="U11" s="42"/>
      <c r="V11" s="56" t="str">
        <f t="shared" si="10"/>
        <v>U</v>
      </c>
      <c r="W11" s="42"/>
      <c r="X11" s="233">
        <f t="shared" si="11"/>
        <v>60.33333333</v>
      </c>
      <c r="Y11" s="72">
        <f t="shared" si="12"/>
        <v>11</v>
      </c>
      <c r="Z11" s="134" t="s">
        <v>87</v>
      </c>
      <c r="AA11" s="134" t="s">
        <v>86</v>
      </c>
      <c r="AB11" s="134" t="s">
        <v>85</v>
      </c>
      <c r="AC11" s="134" t="s">
        <v>87</v>
      </c>
      <c r="AD11" s="134" t="s">
        <v>85</v>
      </c>
      <c r="AE11" s="235" t="s">
        <v>419</v>
      </c>
    </row>
    <row r="12" ht="16.5" customHeight="1">
      <c r="A12" s="42">
        <v>11.0</v>
      </c>
      <c r="B12" s="116" t="s">
        <v>420</v>
      </c>
      <c r="C12" s="63">
        <v>59.0</v>
      </c>
      <c r="D12" s="56" t="str">
        <f t="shared" si="1"/>
        <v>D</v>
      </c>
      <c r="E12" s="73">
        <v>58.0</v>
      </c>
      <c r="F12" s="56" t="str">
        <f t="shared" si="2"/>
        <v>D</v>
      </c>
      <c r="G12" s="73">
        <v>79.0</v>
      </c>
      <c r="H12" s="56" t="str">
        <f t="shared" si="3"/>
        <v>B</v>
      </c>
      <c r="I12" s="73">
        <v>70.0</v>
      </c>
      <c r="J12" s="56" t="str">
        <f t="shared" si="4"/>
        <v>B</v>
      </c>
      <c r="K12" s="72"/>
      <c r="L12" s="56" t="str">
        <f t="shared" si="5"/>
        <v>U</v>
      </c>
      <c r="M12" s="72"/>
      <c r="N12" s="56" t="str">
        <f t="shared" si="6"/>
        <v>U</v>
      </c>
      <c r="O12" s="72"/>
      <c r="P12" s="56" t="str">
        <f t="shared" si="7"/>
        <v>U</v>
      </c>
      <c r="Q12" s="72"/>
      <c r="R12" s="56" t="str">
        <f t="shared" si="8"/>
        <v>U</v>
      </c>
      <c r="S12" s="207">
        <v>84.0</v>
      </c>
      <c r="T12" s="56" t="str">
        <f t="shared" si="9"/>
        <v>A</v>
      </c>
      <c r="U12" s="234">
        <v>56.0</v>
      </c>
      <c r="V12" s="56" t="str">
        <f t="shared" si="10"/>
        <v>D</v>
      </c>
      <c r="W12" s="42"/>
      <c r="X12" s="233">
        <f t="shared" si="11"/>
        <v>67.66666667</v>
      </c>
      <c r="Y12" s="72">
        <f t="shared" si="12"/>
        <v>8</v>
      </c>
      <c r="Z12" s="134" t="s">
        <v>85</v>
      </c>
      <c r="AA12" s="134" t="s">
        <v>85</v>
      </c>
      <c r="AB12" s="134" t="s">
        <v>85</v>
      </c>
      <c r="AC12" s="134" t="s">
        <v>87</v>
      </c>
      <c r="AD12" s="134" t="s">
        <v>85</v>
      </c>
      <c r="AE12" s="235" t="s">
        <v>421</v>
      </c>
    </row>
    <row r="13" ht="16.5" customHeight="1">
      <c r="A13" s="42">
        <v>12.0</v>
      </c>
      <c r="B13" s="116" t="s">
        <v>422</v>
      </c>
      <c r="C13" s="63">
        <v>76.0</v>
      </c>
      <c r="D13" s="56" t="str">
        <f t="shared" si="1"/>
        <v>B</v>
      </c>
      <c r="E13" s="73">
        <v>81.0</v>
      </c>
      <c r="F13" s="56" t="str">
        <f t="shared" si="2"/>
        <v>A</v>
      </c>
      <c r="G13" s="73">
        <v>76.0</v>
      </c>
      <c r="H13" s="56" t="str">
        <f t="shared" si="3"/>
        <v>B</v>
      </c>
      <c r="I13" s="73">
        <v>68.0</v>
      </c>
      <c r="J13" s="56" t="str">
        <f t="shared" si="4"/>
        <v>C</v>
      </c>
      <c r="K13" s="72"/>
      <c r="L13" s="56" t="str">
        <f t="shared" si="5"/>
        <v>U</v>
      </c>
      <c r="M13" s="72"/>
      <c r="N13" s="56" t="str">
        <f t="shared" si="6"/>
        <v>U</v>
      </c>
      <c r="O13" s="72"/>
      <c r="P13" s="56" t="str">
        <f t="shared" si="7"/>
        <v>U</v>
      </c>
      <c r="Q13" s="72"/>
      <c r="R13" s="56" t="str">
        <f t="shared" si="8"/>
        <v>U</v>
      </c>
      <c r="S13" s="207">
        <v>90.0</v>
      </c>
      <c r="T13" s="56" t="str">
        <f t="shared" si="9"/>
        <v>A*</v>
      </c>
      <c r="U13" s="234">
        <v>82.0</v>
      </c>
      <c r="V13" s="56" t="str">
        <f t="shared" si="10"/>
        <v>A</v>
      </c>
      <c r="W13" s="42"/>
      <c r="X13" s="233">
        <f t="shared" si="11"/>
        <v>78.83333333</v>
      </c>
      <c r="Y13" s="72">
        <f t="shared" si="12"/>
        <v>3</v>
      </c>
      <c r="Z13" s="134" t="s">
        <v>85</v>
      </c>
      <c r="AA13" s="134" t="s">
        <v>86</v>
      </c>
      <c r="AB13" s="134" t="s">
        <v>85</v>
      </c>
      <c r="AC13" s="134" t="s">
        <v>85</v>
      </c>
      <c r="AD13" s="134" t="s">
        <v>86</v>
      </c>
      <c r="AE13" s="129" t="s">
        <v>423</v>
      </c>
    </row>
    <row r="14" ht="16.5" customHeight="1">
      <c r="A14" s="42">
        <v>13.0</v>
      </c>
      <c r="B14" s="116" t="s">
        <v>424</v>
      </c>
      <c r="C14" s="63">
        <v>81.0</v>
      </c>
      <c r="D14" s="56" t="str">
        <f t="shared" si="1"/>
        <v>A</v>
      </c>
      <c r="E14" s="73">
        <v>81.0</v>
      </c>
      <c r="F14" s="56" t="str">
        <f t="shared" si="2"/>
        <v>A</v>
      </c>
      <c r="G14" s="73">
        <v>82.0</v>
      </c>
      <c r="H14" s="56" t="str">
        <f t="shared" si="3"/>
        <v>A</v>
      </c>
      <c r="I14" s="66">
        <v>74.0</v>
      </c>
      <c r="J14" s="56" t="str">
        <f t="shared" si="4"/>
        <v>B</v>
      </c>
      <c r="K14" s="73">
        <v>78.0</v>
      </c>
      <c r="L14" s="56" t="str">
        <f t="shared" si="5"/>
        <v>B</v>
      </c>
      <c r="M14" s="72"/>
      <c r="N14" s="56" t="str">
        <f t="shared" si="6"/>
        <v>U</v>
      </c>
      <c r="O14" s="72"/>
      <c r="P14" s="56" t="str">
        <f t="shared" si="7"/>
        <v>U</v>
      </c>
      <c r="Q14" s="73">
        <v>80.0</v>
      </c>
      <c r="R14" s="56" t="str">
        <f t="shared" si="8"/>
        <v>A</v>
      </c>
      <c r="S14" s="73">
        <v>90.0</v>
      </c>
      <c r="T14" s="56" t="str">
        <f t="shared" si="9"/>
        <v>A*</v>
      </c>
      <c r="U14" s="42"/>
      <c r="V14" s="56" t="str">
        <f t="shared" si="10"/>
        <v>U</v>
      </c>
      <c r="W14" s="42"/>
      <c r="X14" s="233">
        <f t="shared" si="11"/>
        <v>80.85714286</v>
      </c>
      <c r="Y14" s="72">
        <f t="shared" si="12"/>
        <v>2</v>
      </c>
      <c r="Z14" s="134" t="s">
        <v>85</v>
      </c>
      <c r="AA14" s="134" t="s">
        <v>85</v>
      </c>
      <c r="AB14" s="134" t="s">
        <v>85</v>
      </c>
      <c r="AC14" s="134" t="s">
        <v>87</v>
      </c>
      <c r="AD14" s="134" t="s">
        <v>85</v>
      </c>
      <c r="AE14" s="235" t="s">
        <v>425</v>
      </c>
    </row>
    <row r="15" ht="16.5" customHeight="1">
      <c r="A15" s="42">
        <v>14.0</v>
      </c>
      <c r="B15" s="116" t="s">
        <v>426</v>
      </c>
      <c r="C15" s="63">
        <v>50.0</v>
      </c>
      <c r="D15" s="56" t="str">
        <f t="shared" si="1"/>
        <v>D</v>
      </c>
      <c r="E15" s="73">
        <v>71.0</v>
      </c>
      <c r="F15" s="56" t="str">
        <f t="shared" si="2"/>
        <v>B</v>
      </c>
      <c r="G15" s="73">
        <v>72.0</v>
      </c>
      <c r="H15" s="56" t="str">
        <f t="shared" si="3"/>
        <v>B</v>
      </c>
      <c r="I15" s="73">
        <v>58.0</v>
      </c>
      <c r="J15" s="56" t="str">
        <f t="shared" si="4"/>
        <v>D</v>
      </c>
      <c r="K15" s="73">
        <v>95.0</v>
      </c>
      <c r="L15" s="56" t="str">
        <f t="shared" si="5"/>
        <v>A*</v>
      </c>
      <c r="M15" s="72"/>
      <c r="N15" s="56" t="str">
        <f t="shared" si="6"/>
        <v>U</v>
      </c>
      <c r="O15" s="72"/>
      <c r="P15" s="56" t="str">
        <f t="shared" si="7"/>
        <v>U</v>
      </c>
      <c r="Q15" s="73">
        <v>53.0</v>
      </c>
      <c r="R15" s="56" t="str">
        <f t="shared" si="8"/>
        <v>D</v>
      </c>
      <c r="S15" s="207">
        <v>81.0</v>
      </c>
      <c r="T15" s="56" t="str">
        <f t="shared" si="9"/>
        <v>A</v>
      </c>
      <c r="U15" s="42"/>
      <c r="V15" s="56" t="str">
        <f t="shared" si="10"/>
        <v>U</v>
      </c>
      <c r="W15" s="42"/>
      <c r="X15" s="233">
        <f t="shared" si="11"/>
        <v>68.57142857</v>
      </c>
      <c r="Y15" s="72">
        <f t="shared" si="12"/>
        <v>7</v>
      </c>
      <c r="Z15" s="134" t="s">
        <v>85</v>
      </c>
      <c r="AA15" s="134" t="s">
        <v>86</v>
      </c>
      <c r="AB15" s="134" t="s">
        <v>85</v>
      </c>
      <c r="AC15" s="134" t="s">
        <v>85</v>
      </c>
      <c r="AD15" s="134" t="s">
        <v>85</v>
      </c>
      <c r="AE15" s="235" t="s">
        <v>427</v>
      </c>
    </row>
    <row r="16" ht="16.5" customHeight="1">
      <c r="A16" s="42">
        <v>15.0</v>
      </c>
      <c r="B16" s="116" t="s">
        <v>428</v>
      </c>
      <c r="C16" s="63">
        <v>41.0</v>
      </c>
      <c r="D16" s="56" t="str">
        <f t="shared" si="1"/>
        <v>E</v>
      </c>
      <c r="E16" s="73">
        <v>65.0</v>
      </c>
      <c r="F16" s="56" t="str">
        <f t="shared" si="2"/>
        <v>C</v>
      </c>
      <c r="G16" s="73">
        <v>73.0</v>
      </c>
      <c r="H16" s="56" t="str">
        <f t="shared" si="3"/>
        <v>B</v>
      </c>
      <c r="I16" s="73">
        <v>46.0</v>
      </c>
      <c r="J16" s="56" t="str">
        <f t="shared" si="4"/>
        <v>E</v>
      </c>
      <c r="K16" s="72"/>
      <c r="L16" s="56" t="str">
        <f t="shared" si="5"/>
        <v>U</v>
      </c>
      <c r="M16" s="72"/>
      <c r="N16" s="56" t="str">
        <f t="shared" si="6"/>
        <v>U</v>
      </c>
      <c r="O16" s="72"/>
      <c r="P16" s="56" t="str">
        <f t="shared" si="7"/>
        <v>U</v>
      </c>
      <c r="Q16" s="72"/>
      <c r="R16" s="56" t="str">
        <f t="shared" si="8"/>
        <v>U</v>
      </c>
      <c r="S16" s="207">
        <v>89.0</v>
      </c>
      <c r="T16" s="56" t="str">
        <f t="shared" si="9"/>
        <v>A</v>
      </c>
      <c r="U16" s="121">
        <v>42.0</v>
      </c>
      <c r="V16" s="56" t="str">
        <f t="shared" si="10"/>
        <v>E</v>
      </c>
      <c r="W16" s="42"/>
      <c r="X16" s="233">
        <f t="shared" si="11"/>
        <v>59.33333333</v>
      </c>
      <c r="Y16" s="72">
        <f t="shared" si="12"/>
        <v>14</v>
      </c>
      <c r="Z16" s="134" t="s">
        <v>85</v>
      </c>
      <c r="AA16" s="134" t="s">
        <v>85</v>
      </c>
      <c r="AB16" s="134" t="s">
        <v>85</v>
      </c>
      <c r="AC16" s="134" t="s">
        <v>87</v>
      </c>
      <c r="AD16" s="134" t="s">
        <v>85</v>
      </c>
      <c r="AE16" s="235" t="s">
        <v>429</v>
      </c>
    </row>
    <row r="17" ht="16.5" customHeight="1">
      <c r="A17" s="42">
        <v>16.0</v>
      </c>
      <c r="B17" s="116" t="s">
        <v>430</v>
      </c>
      <c r="C17" s="63">
        <v>76.0</v>
      </c>
      <c r="D17" s="56" t="str">
        <f t="shared" si="1"/>
        <v>B</v>
      </c>
      <c r="E17" s="73">
        <v>64.0</v>
      </c>
      <c r="F17" s="56" t="str">
        <f t="shared" si="2"/>
        <v>C</v>
      </c>
      <c r="G17" s="73">
        <v>73.0</v>
      </c>
      <c r="H17" s="56" t="str">
        <f t="shared" si="3"/>
        <v>B</v>
      </c>
      <c r="I17" s="73">
        <v>46.0</v>
      </c>
      <c r="J17" s="56" t="str">
        <f t="shared" si="4"/>
        <v>E</v>
      </c>
      <c r="K17" s="72"/>
      <c r="L17" s="56" t="str">
        <f t="shared" si="5"/>
        <v>U</v>
      </c>
      <c r="M17" s="72"/>
      <c r="N17" s="56" t="str">
        <f t="shared" si="6"/>
        <v>U</v>
      </c>
      <c r="O17" s="72"/>
      <c r="P17" s="56" t="str">
        <f t="shared" si="7"/>
        <v>U</v>
      </c>
      <c r="Q17" s="72"/>
      <c r="R17" s="56" t="str">
        <f t="shared" si="8"/>
        <v>U</v>
      </c>
      <c r="S17" s="73">
        <v>77.0</v>
      </c>
      <c r="T17" s="56" t="str">
        <f t="shared" si="9"/>
        <v>B</v>
      </c>
      <c r="U17" s="121">
        <v>70.0</v>
      </c>
      <c r="V17" s="56" t="str">
        <f t="shared" si="10"/>
        <v>B</v>
      </c>
      <c r="W17" s="42"/>
      <c r="X17" s="233">
        <f t="shared" si="11"/>
        <v>67.66666667</v>
      </c>
      <c r="Y17" s="72">
        <f t="shared" si="12"/>
        <v>8</v>
      </c>
      <c r="Z17" s="134" t="s">
        <v>85</v>
      </c>
      <c r="AA17" s="134" t="s">
        <v>85</v>
      </c>
      <c r="AB17" s="134" t="s">
        <v>87</v>
      </c>
      <c r="AC17" s="134" t="s">
        <v>85</v>
      </c>
      <c r="AD17" s="134" t="s">
        <v>85</v>
      </c>
      <c r="AE17" s="129" t="s">
        <v>431</v>
      </c>
    </row>
    <row r="18" ht="16.5" customHeight="1">
      <c r="A18" s="42">
        <v>17.0</v>
      </c>
      <c r="B18" s="116" t="s">
        <v>432</v>
      </c>
      <c r="C18" s="63">
        <v>65.0</v>
      </c>
      <c r="D18" s="56" t="str">
        <f t="shared" si="1"/>
        <v>C</v>
      </c>
      <c r="E18" s="73">
        <v>78.0</v>
      </c>
      <c r="F18" s="56" t="str">
        <f t="shared" si="2"/>
        <v>B</v>
      </c>
      <c r="G18" s="73">
        <v>70.0</v>
      </c>
      <c r="H18" s="56" t="str">
        <f t="shared" si="3"/>
        <v>B</v>
      </c>
      <c r="I18" s="73">
        <v>51.0</v>
      </c>
      <c r="J18" s="56" t="str">
        <f t="shared" si="4"/>
        <v>D</v>
      </c>
      <c r="K18" s="72"/>
      <c r="L18" s="56" t="str">
        <f t="shared" si="5"/>
        <v>U</v>
      </c>
      <c r="M18" s="72"/>
      <c r="N18" s="56" t="str">
        <f t="shared" si="6"/>
        <v>U</v>
      </c>
      <c r="O18" s="72"/>
      <c r="P18" s="56" t="str">
        <f t="shared" si="7"/>
        <v>U</v>
      </c>
      <c r="Q18" s="72"/>
      <c r="R18" s="56" t="str">
        <f t="shared" si="8"/>
        <v>U</v>
      </c>
      <c r="S18" s="207">
        <v>78.0</v>
      </c>
      <c r="T18" s="56" t="str">
        <f t="shared" si="9"/>
        <v>B</v>
      </c>
      <c r="U18" s="234">
        <v>74.0</v>
      </c>
      <c r="V18" s="56" t="str">
        <f t="shared" si="10"/>
        <v>B</v>
      </c>
      <c r="W18" s="42"/>
      <c r="X18" s="233">
        <f t="shared" si="11"/>
        <v>69.33333333</v>
      </c>
      <c r="Y18" s="72">
        <f t="shared" si="12"/>
        <v>6</v>
      </c>
      <c r="Z18" s="134" t="s">
        <v>85</v>
      </c>
      <c r="AA18" s="134" t="s">
        <v>85</v>
      </c>
      <c r="AB18" s="134" t="s">
        <v>85</v>
      </c>
      <c r="AC18" s="134" t="s">
        <v>87</v>
      </c>
      <c r="AD18" s="134" t="s">
        <v>85</v>
      </c>
      <c r="AE18" s="235" t="s">
        <v>433</v>
      </c>
    </row>
    <row r="19" ht="16.5" customHeight="1">
      <c r="A19" s="42">
        <v>18.0</v>
      </c>
      <c r="B19" s="116" t="s">
        <v>434</v>
      </c>
      <c r="C19" s="63">
        <v>68.0</v>
      </c>
      <c r="D19" s="56" t="str">
        <f t="shared" si="1"/>
        <v>C</v>
      </c>
      <c r="E19" s="73">
        <v>75.0</v>
      </c>
      <c r="F19" s="56" t="str">
        <f t="shared" si="2"/>
        <v>B</v>
      </c>
      <c r="G19" s="72"/>
      <c r="H19" s="56" t="str">
        <f t="shared" si="3"/>
        <v>U</v>
      </c>
      <c r="I19" s="73">
        <v>79.0</v>
      </c>
      <c r="J19" s="56" t="str">
        <f t="shared" si="4"/>
        <v>B</v>
      </c>
      <c r="K19" s="72"/>
      <c r="L19" s="56" t="str">
        <f t="shared" si="5"/>
        <v>U</v>
      </c>
      <c r="M19" s="73">
        <v>64.0</v>
      </c>
      <c r="N19" s="56" t="str">
        <f t="shared" si="6"/>
        <v>C</v>
      </c>
      <c r="O19" s="72"/>
      <c r="P19" s="56" t="str">
        <f t="shared" si="7"/>
        <v>U</v>
      </c>
      <c r="Q19" s="73">
        <v>53.0</v>
      </c>
      <c r="R19" s="56" t="str">
        <f t="shared" si="8"/>
        <v>D</v>
      </c>
      <c r="S19" s="73">
        <v>90.0</v>
      </c>
      <c r="T19" s="56" t="str">
        <f t="shared" si="9"/>
        <v>A*</v>
      </c>
      <c r="U19" s="42"/>
      <c r="V19" s="56" t="str">
        <f t="shared" si="10"/>
        <v>U</v>
      </c>
      <c r="W19" s="42"/>
      <c r="X19" s="233">
        <f t="shared" si="11"/>
        <v>71.5</v>
      </c>
      <c r="Y19" s="72">
        <f t="shared" si="12"/>
        <v>5</v>
      </c>
      <c r="Z19" s="134" t="s">
        <v>85</v>
      </c>
      <c r="AA19" s="134" t="s">
        <v>85</v>
      </c>
      <c r="AB19" s="134" t="s">
        <v>85</v>
      </c>
      <c r="AC19" s="134" t="s">
        <v>85</v>
      </c>
      <c r="AD19" s="134" t="s">
        <v>87</v>
      </c>
      <c r="AE19" s="235" t="s">
        <v>435</v>
      </c>
    </row>
    <row r="20" ht="16.5" customHeight="1">
      <c r="A20" s="42">
        <v>19.0</v>
      </c>
      <c r="B20" s="116" t="s">
        <v>436</v>
      </c>
      <c r="C20" s="63">
        <v>59.0</v>
      </c>
      <c r="D20" s="56" t="str">
        <f t="shared" si="1"/>
        <v>D</v>
      </c>
      <c r="E20" s="73">
        <v>42.0</v>
      </c>
      <c r="F20" s="56" t="str">
        <f t="shared" si="2"/>
        <v>E</v>
      </c>
      <c r="G20" s="73">
        <v>69.0</v>
      </c>
      <c r="H20" s="56" t="str">
        <f t="shared" si="3"/>
        <v>C</v>
      </c>
      <c r="I20" s="73">
        <v>45.0</v>
      </c>
      <c r="J20" s="56" t="str">
        <f t="shared" si="4"/>
        <v>E</v>
      </c>
      <c r="K20" s="72"/>
      <c r="L20" s="56" t="str">
        <f t="shared" si="5"/>
        <v>U</v>
      </c>
      <c r="M20" s="72"/>
      <c r="N20" s="56" t="str">
        <f t="shared" si="6"/>
        <v>U</v>
      </c>
      <c r="O20" s="72"/>
      <c r="P20" s="56" t="str">
        <f t="shared" si="7"/>
        <v>U</v>
      </c>
      <c r="Q20" s="72"/>
      <c r="R20" s="56" t="str">
        <f t="shared" si="8"/>
        <v>U</v>
      </c>
      <c r="S20" s="73">
        <v>85.0</v>
      </c>
      <c r="T20" s="56" t="str">
        <f t="shared" si="9"/>
        <v>A</v>
      </c>
      <c r="U20" s="234">
        <v>62.0</v>
      </c>
      <c r="V20" s="56" t="str">
        <f t="shared" si="10"/>
        <v>C</v>
      </c>
      <c r="W20" s="42"/>
      <c r="X20" s="233">
        <f t="shared" si="11"/>
        <v>60.33333333</v>
      </c>
      <c r="Y20" s="72">
        <f t="shared" si="12"/>
        <v>11</v>
      </c>
      <c r="Z20" s="134" t="s">
        <v>85</v>
      </c>
      <c r="AA20" s="134" t="s">
        <v>87</v>
      </c>
      <c r="AB20" s="134" t="s">
        <v>85</v>
      </c>
      <c r="AC20" s="134" t="s">
        <v>85</v>
      </c>
      <c r="AD20" s="134" t="s">
        <v>85</v>
      </c>
      <c r="AE20" s="235" t="s">
        <v>437</v>
      </c>
    </row>
    <row r="21" ht="16.5" customHeight="1">
      <c r="A21" s="42">
        <v>20.0</v>
      </c>
      <c r="B21" s="116" t="s">
        <v>438</v>
      </c>
      <c r="C21" s="63">
        <v>46.0</v>
      </c>
      <c r="D21" s="56" t="str">
        <f t="shared" si="1"/>
        <v>E</v>
      </c>
      <c r="E21" s="73">
        <v>52.0</v>
      </c>
      <c r="F21" s="56" t="str">
        <f t="shared" si="2"/>
        <v>D</v>
      </c>
      <c r="G21" s="73">
        <v>59.0</v>
      </c>
      <c r="H21" s="56" t="str">
        <f t="shared" si="3"/>
        <v>D</v>
      </c>
      <c r="I21" s="73">
        <v>59.0</v>
      </c>
      <c r="J21" s="56" t="str">
        <f t="shared" si="4"/>
        <v>D</v>
      </c>
      <c r="K21" s="72"/>
      <c r="L21" s="56" t="str">
        <f t="shared" si="5"/>
        <v>U</v>
      </c>
      <c r="M21" s="72"/>
      <c r="N21" s="56" t="str">
        <f t="shared" si="6"/>
        <v>U</v>
      </c>
      <c r="O21" s="72"/>
      <c r="P21" s="56" t="str">
        <f t="shared" si="7"/>
        <v>U</v>
      </c>
      <c r="Q21" s="72"/>
      <c r="R21" s="56" t="str">
        <f t="shared" si="8"/>
        <v>U</v>
      </c>
      <c r="S21" s="207">
        <v>72.0</v>
      </c>
      <c r="T21" s="56" t="str">
        <f t="shared" si="9"/>
        <v>B</v>
      </c>
      <c r="U21" s="234">
        <v>51.0</v>
      </c>
      <c r="V21" s="56" t="str">
        <f t="shared" si="10"/>
        <v>D</v>
      </c>
      <c r="W21" s="42"/>
      <c r="X21" s="233">
        <f t="shared" si="11"/>
        <v>56.5</v>
      </c>
      <c r="Y21" s="72">
        <f t="shared" si="12"/>
        <v>16</v>
      </c>
      <c r="Z21" s="134" t="s">
        <v>85</v>
      </c>
      <c r="AA21" s="134" t="s">
        <v>85</v>
      </c>
      <c r="AB21" s="134" t="s">
        <v>87</v>
      </c>
      <c r="AC21" s="134" t="s">
        <v>85</v>
      </c>
      <c r="AD21" s="134" t="s">
        <v>85</v>
      </c>
      <c r="AE21" s="235" t="s">
        <v>439</v>
      </c>
    </row>
    <row r="22" ht="16.5" customHeight="1">
      <c r="A22" s="129">
        <v>21.0</v>
      </c>
      <c r="C22" s="209"/>
      <c r="D22" s="209"/>
      <c r="E22" s="209"/>
      <c r="F22" s="209"/>
      <c r="G22" s="209"/>
      <c r="H22" s="209"/>
      <c r="I22" s="209"/>
      <c r="J22" s="209"/>
      <c r="K22" s="209"/>
    </row>
    <row r="23" ht="16.5" customHeight="1">
      <c r="A23" s="42">
        <v>22.0</v>
      </c>
      <c r="B23" s="95"/>
      <c r="C23" s="88"/>
      <c r="D23" s="56" t="str">
        <f t="shared" ref="D23:D30" si="13">VLOOKUP(C23,$B$41:$C$49,2)</f>
        <v>U</v>
      </c>
      <c r="E23" s="72"/>
      <c r="F23" s="56" t="str">
        <f t="shared" ref="F23:F30" si="14">VLOOKUP(E23,$B$41:$C$49,2)</f>
        <v>U</v>
      </c>
      <c r="G23" s="72"/>
      <c r="H23" s="56" t="str">
        <f t="shared" ref="H23:H30" si="15">VLOOKUP(G23,$B$41:$C$49,2)</f>
        <v>U</v>
      </c>
      <c r="I23" s="72"/>
      <c r="J23" s="56" t="str">
        <f t="shared" ref="J23:J30" si="16">VLOOKUP(I23,$B$41:$C$49,2)</f>
        <v>U</v>
      </c>
      <c r="K23" s="72"/>
      <c r="L23" s="56" t="str">
        <f t="shared" ref="L23:L30" si="17">VLOOKUP(K23,$B$41:$C$49,2)</f>
        <v>U</v>
      </c>
      <c r="M23" s="72"/>
      <c r="N23" s="56" t="str">
        <f t="shared" ref="N23:N30" si="18">VLOOKUP(M23,$B$41:$C$49,2)</f>
        <v>U</v>
      </c>
      <c r="O23" s="72"/>
      <c r="P23" s="56" t="str">
        <f t="shared" ref="P23:P30" si="19">VLOOKUP(O23,$B$41:$C$49,2)</f>
        <v>U</v>
      </c>
      <c r="Q23" s="72"/>
      <c r="R23" s="56" t="str">
        <f t="shared" ref="R23:R30" si="20">VLOOKUP(Q23,$B$41:$C$49,2)</f>
        <v>U</v>
      </c>
      <c r="S23" s="236"/>
      <c r="T23" s="56" t="str">
        <f t="shared" ref="T23:T30" si="21">VLOOKUP(S23,$B$41:$C$49,2)</f>
        <v>U</v>
      </c>
      <c r="U23" s="43"/>
      <c r="V23" s="56" t="str">
        <f t="shared" ref="V23:V30" si="22">VLOOKUP(U23,$B$41:$C$49,2)</f>
        <v>U</v>
      </c>
      <c r="W23" s="42"/>
      <c r="X23" s="233" t="str">
        <f t="shared" ref="X23:X30" si="23">AVERAGE(C23,E23,G23,I23,K23,M23,O23,Q23,S23,U23)</f>
        <v>#DIV/0!</v>
      </c>
      <c r="Y23" s="72" t="str">
        <f t="shared" ref="Y23:Y30" si="24">RANK(X23,$X$2:$X$30)</f>
        <v>#DIV/0!</v>
      </c>
      <c r="Z23" s="176"/>
      <c r="AA23" s="176"/>
      <c r="AB23" s="176"/>
      <c r="AC23" s="176"/>
      <c r="AD23" s="176"/>
      <c r="AE23" s="193"/>
    </row>
    <row r="24" ht="16.5" customHeight="1">
      <c r="A24" s="42">
        <v>23.0</v>
      </c>
      <c r="B24" s="95"/>
      <c r="C24" s="88"/>
      <c r="D24" s="56" t="str">
        <f t="shared" si="13"/>
        <v>U</v>
      </c>
      <c r="E24" s="72"/>
      <c r="F24" s="56" t="str">
        <f t="shared" si="14"/>
        <v>U</v>
      </c>
      <c r="G24" s="72"/>
      <c r="H24" s="56" t="str">
        <f t="shared" si="15"/>
        <v>U</v>
      </c>
      <c r="I24" s="72"/>
      <c r="J24" s="56" t="str">
        <f t="shared" si="16"/>
        <v>U</v>
      </c>
      <c r="K24" s="72"/>
      <c r="L24" s="56" t="str">
        <f t="shared" si="17"/>
        <v>U</v>
      </c>
      <c r="M24" s="72"/>
      <c r="N24" s="56" t="str">
        <f t="shared" si="18"/>
        <v>U</v>
      </c>
      <c r="O24" s="72"/>
      <c r="P24" s="56" t="str">
        <f t="shared" si="19"/>
        <v>U</v>
      </c>
      <c r="Q24" s="72"/>
      <c r="R24" s="56" t="str">
        <f t="shared" si="20"/>
        <v>U</v>
      </c>
      <c r="S24" s="236"/>
      <c r="T24" s="56" t="str">
        <f t="shared" si="21"/>
        <v>U</v>
      </c>
      <c r="U24" s="43"/>
      <c r="V24" s="56" t="str">
        <f t="shared" si="22"/>
        <v>U</v>
      </c>
      <c r="W24" s="42"/>
      <c r="X24" s="233" t="str">
        <f t="shared" si="23"/>
        <v>#DIV/0!</v>
      </c>
      <c r="Y24" s="72" t="str">
        <f t="shared" si="24"/>
        <v>#DIV/0!</v>
      </c>
      <c r="Z24" s="176"/>
      <c r="AA24" s="176"/>
      <c r="AB24" s="176"/>
      <c r="AC24" s="176"/>
      <c r="AD24" s="176"/>
      <c r="AE24" s="193"/>
    </row>
    <row r="25" ht="16.5" customHeight="1">
      <c r="A25" s="42">
        <v>24.0</v>
      </c>
      <c r="B25" s="95"/>
      <c r="C25" s="88"/>
      <c r="D25" s="56" t="str">
        <f t="shared" si="13"/>
        <v>U</v>
      </c>
      <c r="E25" s="72"/>
      <c r="F25" s="56" t="str">
        <f t="shared" si="14"/>
        <v>U</v>
      </c>
      <c r="G25" s="72"/>
      <c r="H25" s="56" t="str">
        <f t="shared" si="15"/>
        <v>U</v>
      </c>
      <c r="I25" s="72"/>
      <c r="J25" s="56" t="str">
        <f t="shared" si="16"/>
        <v>U</v>
      </c>
      <c r="K25" s="72"/>
      <c r="L25" s="56" t="str">
        <f t="shared" si="17"/>
        <v>U</v>
      </c>
      <c r="M25" s="72"/>
      <c r="N25" s="56" t="str">
        <f t="shared" si="18"/>
        <v>U</v>
      </c>
      <c r="O25" s="72"/>
      <c r="P25" s="56" t="str">
        <f t="shared" si="19"/>
        <v>U</v>
      </c>
      <c r="Q25" s="72"/>
      <c r="R25" s="56" t="str">
        <f t="shared" si="20"/>
        <v>U</v>
      </c>
      <c r="S25" s="236"/>
      <c r="T25" s="56" t="str">
        <f t="shared" si="21"/>
        <v>U</v>
      </c>
      <c r="U25" s="43"/>
      <c r="V25" s="56" t="str">
        <f t="shared" si="22"/>
        <v>U</v>
      </c>
      <c r="W25" s="42"/>
      <c r="X25" s="233" t="str">
        <f t="shared" si="23"/>
        <v>#DIV/0!</v>
      </c>
      <c r="Y25" s="72" t="str">
        <f t="shared" si="24"/>
        <v>#DIV/0!</v>
      </c>
      <c r="Z25" s="176"/>
      <c r="AA25" s="176"/>
      <c r="AB25" s="176"/>
      <c r="AC25" s="176"/>
      <c r="AD25" s="176"/>
      <c r="AE25" s="193"/>
    </row>
    <row r="26" ht="16.5" customHeight="1">
      <c r="A26" s="42">
        <v>25.0</v>
      </c>
      <c r="B26" s="95"/>
      <c r="C26" s="88"/>
      <c r="D26" s="56" t="str">
        <f t="shared" si="13"/>
        <v>U</v>
      </c>
      <c r="E26" s="72"/>
      <c r="F26" s="56" t="str">
        <f t="shared" si="14"/>
        <v>U</v>
      </c>
      <c r="G26" s="72"/>
      <c r="H26" s="56" t="str">
        <f t="shared" si="15"/>
        <v>U</v>
      </c>
      <c r="I26" s="72"/>
      <c r="J26" s="56" t="str">
        <f t="shared" si="16"/>
        <v>U</v>
      </c>
      <c r="K26" s="72"/>
      <c r="L26" s="56" t="str">
        <f t="shared" si="17"/>
        <v>U</v>
      </c>
      <c r="M26" s="72"/>
      <c r="N26" s="56" t="str">
        <f t="shared" si="18"/>
        <v>U</v>
      </c>
      <c r="O26" s="72"/>
      <c r="P26" s="56" t="str">
        <f t="shared" si="19"/>
        <v>U</v>
      </c>
      <c r="Q26" s="72"/>
      <c r="R26" s="56" t="str">
        <f t="shared" si="20"/>
        <v>U</v>
      </c>
      <c r="S26" s="236"/>
      <c r="T26" s="56" t="str">
        <f t="shared" si="21"/>
        <v>U</v>
      </c>
      <c r="U26" s="43"/>
      <c r="V26" s="56" t="str">
        <f t="shared" si="22"/>
        <v>U</v>
      </c>
      <c r="W26" s="42"/>
      <c r="X26" s="233" t="str">
        <f t="shared" si="23"/>
        <v>#DIV/0!</v>
      </c>
      <c r="Y26" s="72" t="str">
        <f t="shared" si="24"/>
        <v>#DIV/0!</v>
      </c>
      <c r="Z26" s="42"/>
      <c r="AA26" s="42"/>
      <c r="AB26" s="42"/>
      <c r="AC26" s="42"/>
      <c r="AD26" s="42"/>
      <c r="AE26" s="193"/>
    </row>
    <row r="27" ht="16.5" customHeight="1">
      <c r="A27" s="42">
        <v>26.0</v>
      </c>
      <c r="B27" s="95"/>
      <c r="C27" s="88"/>
      <c r="D27" s="56" t="str">
        <f t="shared" si="13"/>
        <v>U</v>
      </c>
      <c r="E27" s="72"/>
      <c r="F27" s="56" t="str">
        <f t="shared" si="14"/>
        <v>U</v>
      </c>
      <c r="G27" s="72"/>
      <c r="H27" s="56" t="str">
        <f t="shared" si="15"/>
        <v>U</v>
      </c>
      <c r="I27" s="72"/>
      <c r="J27" s="56" t="str">
        <f t="shared" si="16"/>
        <v>U</v>
      </c>
      <c r="K27" s="72"/>
      <c r="L27" s="56" t="str">
        <f t="shared" si="17"/>
        <v>U</v>
      </c>
      <c r="M27" s="72"/>
      <c r="N27" s="56" t="str">
        <f t="shared" si="18"/>
        <v>U</v>
      </c>
      <c r="O27" s="72"/>
      <c r="P27" s="56" t="str">
        <f t="shared" si="19"/>
        <v>U</v>
      </c>
      <c r="Q27" s="72"/>
      <c r="R27" s="56" t="str">
        <f t="shared" si="20"/>
        <v>U</v>
      </c>
      <c r="S27" s="236"/>
      <c r="T27" s="56" t="str">
        <f t="shared" si="21"/>
        <v>U</v>
      </c>
      <c r="U27" s="43"/>
      <c r="V27" s="56" t="str">
        <f t="shared" si="22"/>
        <v>U</v>
      </c>
      <c r="W27" s="42"/>
      <c r="X27" s="233" t="str">
        <f t="shared" si="23"/>
        <v>#DIV/0!</v>
      </c>
      <c r="Y27" s="72" t="str">
        <f t="shared" si="24"/>
        <v>#DIV/0!</v>
      </c>
      <c r="Z27" s="42"/>
      <c r="AA27" s="42"/>
      <c r="AB27" s="42"/>
      <c r="AC27" s="42"/>
      <c r="AD27" s="42"/>
      <c r="AE27" s="193"/>
    </row>
    <row r="28" ht="16.5" customHeight="1">
      <c r="A28" s="42">
        <v>27.0</v>
      </c>
      <c r="B28" s="95"/>
      <c r="C28" s="88"/>
      <c r="D28" s="56" t="str">
        <f t="shared" si="13"/>
        <v>U</v>
      </c>
      <c r="E28" s="72"/>
      <c r="F28" s="56" t="str">
        <f t="shared" si="14"/>
        <v>U</v>
      </c>
      <c r="G28" s="72"/>
      <c r="H28" s="56" t="str">
        <f t="shared" si="15"/>
        <v>U</v>
      </c>
      <c r="I28" s="72"/>
      <c r="J28" s="56" t="str">
        <f t="shared" si="16"/>
        <v>U</v>
      </c>
      <c r="K28" s="72"/>
      <c r="L28" s="56" t="str">
        <f t="shared" si="17"/>
        <v>U</v>
      </c>
      <c r="M28" s="72"/>
      <c r="N28" s="56" t="str">
        <f t="shared" si="18"/>
        <v>U</v>
      </c>
      <c r="O28" s="72"/>
      <c r="P28" s="56" t="str">
        <f t="shared" si="19"/>
        <v>U</v>
      </c>
      <c r="Q28" s="72"/>
      <c r="R28" s="56" t="str">
        <f t="shared" si="20"/>
        <v>U</v>
      </c>
      <c r="S28" s="72"/>
      <c r="T28" s="56" t="str">
        <f t="shared" si="21"/>
        <v>U</v>
      </c>
      <c r="U28" s="42"/>
      <c r="V28" s="56" t="str">
        <f t="shared" si="22"/>
        <v>U</v>
      </c>
      <c r="W28" s="42"/>
      <c r="X28" s="233" t="str">
        <f t="shared" si="23"/>
        <v>#DIV/0!</v>
      </c>
      <c r="Y28" s="72" t="str">
        <f t="shared" si="24"/>
        <v>#DIV/0!</v>
      </c>
      <c r="Z28" s="42"/>
      <c r="AA28" s="42"/>
      <c r="AB28" s="42"/>
      <c r="AC28" s="42"/>
      <c r="AD28" s="42"/>
      <c r="AE28" s="193"/>
    </row>
    <row r="29" ht="16.5" customHeight="1">
      <c r="A29" s="42">
        <v>28.0</v>
      </c>
      <c r="B29" s="95"/>
      <c r="C29" s="63"/>
      <c r="D29" s="56" t="str">
        <f t="shared" si="13"/>
        <v>U</v>
      </c>
      <c r="E29" s="72"/>
      <c r="F29" s="56" t="str">
        <f t="shared" si="14"/>
        <v>U</v>
      </c>
      <c r="G29" s="72"/>
      <c r="H29" s="56" t="str">
        <f t="shared" si="15"/>
        <v>U</v>
      </c>
      <c r="I29" s="72"/>
      <c r="J29" s="56" t="str">
        <f t="shared" si="16"/>
        <v>U</v>
      </c>
      <c r="K29" s="72"/>
      <c r="L29" s="56" t="str">
        <f t="shared" si="17"/>
        <v>U</v>
      </c>
      <c r="M29" s="72"/>
      <c r="N29" s="56" t="str">
        <f t="shared" si="18"/>
        <v>U</v>
      </c>
      <c r="O29" s="72"/>
      <c r="P29" s="56" t="str">
        <f t="shared" si="19"/>
        <v>U</v>
      </c>
      <c r="Q29" s="72"/>
      <c r="R29" s="56" t="str">
        <f t="shared" si="20"/>
        <v>U</v>
      </c>
      <c r="S29" s="72"/>
      <c r="T29" s="56" t="str">
        <f t="shared" si="21"/>
        <v>U</v>
      </c>
      <c r="U29" s="42"/>
      <c r="V29" s="56" t="str">
        <f t="shared" si="22"/>
        <v>U</v>
      </c>
      <c r="W29" s="42"/>
      <c r="X29" s="233" t="str">
        <f t="shared" si="23"/>
        <v>#DIV/0!</v>
      </c>
      <c r="Y29" s="72" t="str">
        <f t="shared" si="24"/>
        <v>#DIV/0!</v>
      </c>
      <c r="Z29" s="42"/>
      <c r="AA29" s="42"/>
      <c r="AB29" s="42"/>
      <c r="AC29" s="42"/>
      <c r="AD29" s="42"/>
      <c r="AE29" s="193"/>
    </row>
    <row r="30" ht="16.5" customHeight="1">
      <c r="A30" s="192">
        <v>29.0</v>
      </c>
      <c r="B30" s="192"/>
      <c r="C30" s="88"/>
      <c r="D30" s="56" t="str">
        <f t="shared" si="13"/>
        <v>U</v>
      </c>
      <c r="E30" s="72"/>
      <c r="F30" s="56" t="str">
        <f t="shared" si="14"/>
        <v>U</v>
      </c>
      <c r="G30" s="72"/>
      <c r="H30" s="56" t="str">
        <f t="shared" si="15"/>
        <v>U</v>
      </c>
      <c r="I30" s="72"/>
      <c r="J30" s="56" t="str">
        <f t="shared" si="16"/>
        <v>U</v>
      </c>
      <c r="K30" s="72"/>
      <c r="L30" s="56" t="str">
        <f t="shared" si="17"/>
        <v>U</v>
      </c>
      <c r="M30" s="72"/>
      <c r="N30" s="56" t="str">
        <f t="shared" si="18"/>
        <v>U</v>
      </c>
      <c r="O30" s="72"/>
      <c r="P30" s="56" t="str">
        <f t="shared" si="19"/>
        <v>U</v>
      </c>
      <c r="Q30" s="72"/>
      <c r="R30" s="56" t="str">
        <f t="shared" si="20"/>
        <v>U</v>
      </c>
      <c r="S30" s="72"/>
      <c r="T30" s="56" t="str">
        <f t="shared" si="21"/>
        <v>U</v>
      </c>
      <c r="U30" s="42"/>
      <c r="V30" s="56" t="str">
        <f t="shared" si="22"/>
        <v>U</v>
      </c>
      <c r="W30" s="192"/>
      <c r="X30" s="233" t="str">
        <f t="shared" si="23"/>
        <v>#DIV/0!</v>
      </c>
      <c r="Y30" s="72" t="str">
        <f t="shared" si="24"/>
        <v>#DIV/0!</v>
      </c>
      <c r="Z30" s="192"/>
      <c r="AA30" s="192"/>
      <c r="AB30" s="192"/>
      <c r="AC30" s="192"/>
      <c r="AD30" s="192"/>
      <c r="AE30" s="193"/>
    </row>
    <row r="31" ht="16.5" customHeight="1">
      <c r="A31" s="113">
        <v>30.0</v>
      </c>
      <c r="B31" s="101"/>
      <c r="C31" s="147"/>
      <c r="D31" s="103"/>
      <c r="E31" s="33"/>
      <c r="F31" s="105"/>
      <c r="G31" s="33"/>
      <c r="H31" s="105"/>
      <c r="I31" s="33"/>
      <c r="J31" s="105"/>
      <c r="K31" s="33"/>
      <c r="L31" s="105"/>
      <c r="M31" s="33"/>
      <c r="N31" s="105"/>
      <c r="O31" s="33"/>
      <c r="P31" s="105"/>
      <c r="Q31" s="33"/>
      <c r="R31" s="105"/>
      <c r="S31" s="33"/>
      <c r="T31" s="101"/>
      <c r="U31" s="33"/>
      <c r="V31" s="101"/>
      <c r="W31" s="101"/>
      <c r="X31" s="101"/>
      <c r="Y31" s="101"/>
      <c r="Z31" s="101"/>
      <c r="AA31" s="101"/>
    </row>
    <row r="32" ht="16.5" customHeight="1">
      <c r="B32" s="101"/>
      <c r="C32" s="147"/>
      <c r="D32" s="103"/>
      <c r="E32" s="33"/>
      <c r="F32" s="105"/>
      <c r="G32" s="33"/>
      <c r="H32" s="105"/>
      <c r="I32" s="33"/>
      <c r="J32" s="105"/>
      <c r="K32" s="33"/>
      <c r="L32" s="105"/>
      <c r="M32" s="33"/>
      <c r="N32" s="105"/>
      <c r="O32" s="33"/>
      <c r="P32" s="105"/>
      <c r="Q32" s="33"/>
      <c r="R32" s="105"/>
      <c r="S32" s="33"/>
      <c r="T32" s="101"/>
      <c r="U32" s="33"/>
      <c r="V32" s="101"/>
      <c r="W32" s="101"/>
      <c r="X32" s="101"/>
      <c r="Y32" s="101"/>
      <c r="Z32" s="101"/>
      <c r="AA32" s="101"/>
      <c r="AE32" s="174"/>
    </row>
    <row r="33" ht="16.5" customHeight="1">
      <c r="B33" s="101"/>
      <c r="C33" s="147"/>
      <c r="D33" s="103"/>
      <c r="E33" s="33"/>
      <c r="F33" s="105"/>
      <c r="G33" s="33"/>
      <c r="H33" s="105"/>
      <c r="I33" s="33"/>
      <c r="J33" s="105"/>
      <c r="K33" s="33"/>
      <c r="L33" s="105"/>
      <c r="M33" s="33"/>
      <c r="N33" s="105"/>
      <c r="O33" s="33"/>
      <c r="P33" s="105"/>
      <c r="Q33" s="33"/>
      <c r="R33" s="105"/>
      <c r="S33" s="33"/>
      <c r="T33" s="101"/>
      <c r="U33" s="33"/>
      <c r="V33" s="101"/>
      <c r="W33" s="101"/>
      <c r="X33" s="101"/>
      <c r="Y33" s="101"/>
      <c r="Z33" s="101"/>
      <c r="AA33" s="101"/>
      <c r="AE33" s="174"/>
    </row>
    <row r="34" ht="16.5" customHeight="1">
      <c r="B34" s="101" t="s">
        <v>33</v>
      </c>
      <c r="C34" s="237">
        <f>AVERAGE(C2:C21)</f>
        <v>60.95</v>
      </c>
      <c r="D34" s="238"/>
      <c r="E34" s="237">
        <f>AVERAGE(E2:E21)</f>
        <v>57.8</v>
      </c>
      <c r="F34" s="105"/>
      <c r="G34" s="237">
        <f>AVERAGE(G2:G21)</f>
        <v>67.44444444</v>
      </c>
      <c r="H34" s="105"/>
      <c r="I34" s="237">
        <f>AVERAGE(I2:I21)</f>
        <v>55.4</v>
      </c>
      <c r="J34" s="105"/>
      <c r="K34" s="237">
        <f>AVERAGE(K2:K21)</f>
        <v>89.33333333</v>
      </c>
      <c r="L34" s="105"/>
      <c r="M34" s="237">
        <f>AVERAGE(M2:M21)</f>
        <v>65</v>
      </c>
      <c r="N34" s="105"/>
      <c r="O34" s="237" t="str">
        <f>AVERAGE(O2:O21)</f>
        <v>#DIV/0!</v>
      </c>
      <c r="P34" s="105"/>
      <c r="Q34" s="237">
        <f>AVERAGE(Q2:Q21)</f>
        <v>55</v>
      </c>
      <c r="R34" s="105"/>
      <c r="S34" s="237">
        <f>AVERAGE(S2:S21)</f>
        <v>75.85</v>
      </c>
      <c r="T34" s="101"/>
      <c r="U34" s="237">
        <f>AVERAGE(U2:U21)</f>
        <v>58.75</v>
      </c>
      <c r="V34" s="101"/>
      <c r="W34" s="101"/>
      <c r="X34" s="101"/>
      <c r="Y34" s="101"/>
      <c r="Z34" s="101"/>
      <c r="AA34" s="101"/>
      <c r="AE34" s="174"/>
    </row>
    <row r="35" ht="16.5" customHeight="1">
      <c r="B35" s="101" t="s">
        <v>34</v>
      </c>
      <c r="C35" s="104">
        <f>COUNT(C2:C21)</f>
        <v>20</v>
      </c>
      <c r="D35" s="104"/>
      <c r="E35" s="104">
        <f>COUNT(E2:E21)</f>
        <v>20</v>
      </c>
      <c r="F35" s="105"/>
      <c r="G35" s="104">
        <f>COUNT(G2:G21)</f>
        <v>18</v>
      </c>
      <c r="H35" s="105"/>
      <c r="I35" s="104">
        <f>COUNT(I2:I21)</f>
        <v>20</v>
      </c>
      <c r="J35" s="105"/>
      <c r="K35" s="104">
        <f>COUNT(K2:K21)</f>
        <v>3</v>
      </c>
      <c r="L35" s="105"/>
      <c r="M35" s="104">
        <f>COUNT(M2:M21)</f>
        <v>2</v>
      </c>
      <c r="N35" s="105"/>
      <c r="O35" s="104">
        <f>COUNT(O2:O21)</f>
        <v>0</v>
      </c>
      <c r="P35" s="105"/>
      <c r="Q35" s="104">
        <f>COUNT(Q2:Q21)</f>
        <v>8</v>
      </c>
      <c r="R35" s="105"/>
      <c r="S35" s="104">
        <f>COUNT(S2:S21)</f>
        <v>20</v>
      </c>
      <c r="T35" s="101"/>
      <c r="U35" s="104">
        <f>COUNT(U2:U21)</f>
        <v>12</v>
      </c>
      <c r="V35" s="101"/>
      <c r="W35" s="101"/>
      <c r="X35" s="101"/>
      <c r="Y35" s="101"/>
      <c r="Z35" s="101"/>
      <c r="AA35" s="101"/>
      <c r="AE35" s="174"/>
    </row>
    <row r="36" ht="16.5" customHeight="1">
      <c r="B36" s="101" t="s">
        <v>35</v>
      </c>
      <c r="C36" s="104">
        <f>COUNTIF(C2:C21,"&gt;49")</f>
        <v>17</v>
      </c>
      <c r="D36" s="104"/>
      <c r="E36" s="104">
        <f>COUNTIF(E2:E21,"&gt;49")</f>
        <v>15</v>
      </c>
      <c r="F36" s="105"/>
      <c r="G36" s="104">
        <f>COUNTIF(G2:G21,"&gt;49")</f>
        <v>17</v>
      </c>
      <c r="H36" s="105"/>
      <c r="I36" s="104">
        <f>COUNTIF(I2:I21,"&gt;49")</f>
        <v>11</v>
      </c>
      <c r="J36" s="105"/>
      <c r="K36" s="104">
        <f>COUNTIF(K2:K21,"&gt;49")</f>
        <v>3</v>
      </c>
      <c r="L36" s="105"/>
      <c r="M36" s="104">
        <f>COUNTIF(M2:M21,"&gt;49")</f>
        <v>2</v>
      </c>
      <c r="N36" s="105"/>
      <c r="O36" s="104">
        <f>COUNTIF(O2:O21,"&gt;49")</f>
        <v>0</v>
      </c>
      <c r="P36" s="105"/>
      <c r="Q36" s="104">
        <f>COUNTIF(Q2:Q21,"&gt;49")</f>
        <v>6</v>
      </c>
      <c r="R36" s="105"/>
      <c r="S36" s="104">
        <f>COUNTIF(S2:S21,"&gt;49")</f>
        <v>19</v>
      </c>
      <c r="T36" s="101"/>
      <c r="U36" s="104">
        <f>COUNTIF(U2:U21,"&gt;49")</f>
        <v>10</v>
      </c>
      <c r="V36" s="101"/>
      <c r="W36" s="101"/>
      <c r="X36" s="101"/>
      <c r="Y36" s="101"/>
      <c r="Z36" s="101"/>
      <c r="AA36" s="101"/>
      <c r="AE36" s="174"/>
    </row>
    <row r="37" ht="16.5" customHeight="1">
      <c r="B37" s="101" t="s">
        <v>36</v>
      </c>
      <c r="C37" s="104">
        <f>COUNTIF(C2:C21,"&lt;50")</f>
        <v>3</v>
      </c>
      <c r="D37" s="104"/>
      <c r="E37" s="104">
        <f>COUNTIF(E2:E21,"&lt;50")</f>
        <v>5</v>
      </c>
      <c r="F37" s="105"/>
      <c r="G37" s="104">
        <f>COUNTIF(G2:G21,"&lt;50")</f>
        <v>1</v>
      </c>
      <c r="H37" s="105"/>
      <c r="I37" s="104">
        <f>COUNTIF(I2:I21,"&lt;50")</f>
        <v>9</v>
      </c>
      <c r="J37" s="105"/>
      <c r="K37" s="104">
        <f>COUNTIF(K2:K21,"&lt;50")</f>
        <v>0</v>
      </c>
      <c r="L37" s="105"/>
      <c r="M37" s="104">
        <f>COUNTIF(M2:M21,"&lt;50")</f>
        <v>0</v>
      </c>
      <c r="N37" s="105"/>
      <c r="O37" s="104">
        <f>COUNTIF(O2:O21,"&lt;50")</f>
        <v>0</v>
      </c>
      <c r="P37" s="105"/>
      <c r="Q37" s="104">
        <f>COUNTIF(Q2:Q21,"&lt;50")</f>
        <v>2</v>
      </c>
      <c r="R37" s="105"/>
      <c r="S37" s="104">
        <f>COUNTIF(S2:S21,"&lt;50")</f>
        <v>1</v>
      </c>
      <c r="T37" s="101"/>
      <c r="U37" s="104">
        <f>COUNTIF(U2:U21,"&lt;50")</f>
        <v>2</v>
      </c>
      <c r="V37" s="101"/>
      <c r="W37" s="101"/>
      <c r="X37" s="101"/>
      <c r="Y37" s="101"/>
      <c r="Z37" s="101"/>
      <c r="AA37" s="101"/>
      <c r="AE37" s="174"/>
    </row>
    <row r="38" ht="16.5" customHeight="1">
      <c r="B38" s="31" t="s">
        <v>37</v>
      </c>
      <c r="C38" s="107">
        <f>C36*100/C35</f>
        <v>85</v>
      </c>
      <c r="D38" s="109"/>
      <c r="E38" s="107">
        <f>E36*100/E35</f>
        <v>75</v>
      </c>
      <c r="F38" s="110"/>
      <c r="G38" s="107">
        <f>G36*100/G35</f>
        <v>94.44444444</v>
      </c>
      <c r="H38" s="110"/>
      <c r="I38" s="107">
        <f>I36*100/I35</f>
        <v>55</v>
      </c>
      <c r="J38" s="110"/>
      <c r="K38" s="107">
        <f>K36*100/K35</f>
        <v>100</v>
      </c>
      <c r="L38" s="110"/>
      <c r="M38" s="107">
        <f>M36*100/M35</f>
        <v>100</v>
      </c>
      <c r="N38" s="110"/>
      <c r="O38" s="107" t="str">
        <f>O36*100/O35</f>
        <v>#DIV/0!</v>
      </c>
      <c r="P38" s="110"/>
      <c r="Q38" s="107">
        <f>Q36*100/Q35</f>
        <v>75</v>
      </c>
      <c r="R38" s="110"/>
      <c r="S38" s="107">
        <f>S36*100/S35</f>
        <v>95</v>
      </c>
      <c r="T38" s="31"/>
      <c r="U38" s="107">
        <f>U36*100/U35</f>
        <v>83.33333333</v>
      </c>
      <c r="V38" s="31"/>
      <c r="W38" s="31"/>
      <c r="X38" s="31"/>
      <c r="Y38" s="31"/>
      <c r="Z38" s="31"/>
      <c r="AA38" s="31"/>
      <c r="AE38" s="174"/>
    </row>
    <row r="39" ht="16.5" customHeight="1">
      <c r="C39" s="98"/>
      <c r="D39" s="98"/>
      <c r="E39" s="39"/>
      <c r="F39" s="39"/>
      <c r="G39" s="39"/>
      <c r="H39" s="39"/>
      <c r="I39" s="39"/>
      <c r="J39" s="39"/>
      <c r="K39" s="39"/>
      <c r="L39" s="39"/>
      <c r="M39" s="39"/>
      <c r="N39" s="39"/>
      <c r="O39" s="39"/>
      <c r="P39" s="39"/>
      <c r="Q39" s="39"/>
      <c r="R39" s="39"/>
      <c r="S39" s="239"/>
      <c r="AE39" s="174"/>
    </row>
    <row r="40" ht="16.5" customHeight="1">
      <c r="C40" s="98"/>
      <c r="D40" s="98"/>
      <c r="E40" s="39"/>
      <c r="F40" s="39"/>
      <c r="G40" s="39"/>
      <c r="H40" s="39"/>
      <c r="I40" s="39"/>
      <c r="J40" s="39"/>
      <c r="K40" s="39"/>
      <c r="L40" s="39"/>
      <c r="M40" s="39"/>
      <c r="N40" s="39"/>
      <c r="O40" s="39"/>
      <c r="P40" s="39"/>
      <c r="Q40" s="39"/>
      <c r="R40" s="39"/>
      <c r="S40" s="239"/>
      <c r="AE40" s="174"/>
    </row>
    <row r="41" ht="16.5" customHeight="1">
      <c r="A41" s="26" t="s">
        <v>139</v>
      </c>
      <c r="B41" s="26">
        <v>0.0</v>
      </c>
      <c r="C41" s="113" t="s">
        <v>140</v>
      </c>
      <c r="D41" s="98"/>
      <c r="E41" s="39"/>
      <c r="F41" s="39"/>
      <c r="G41" s="39"/>
      <c r="H41" s="39"/>
      <c r="I41" s="39"/>
      <c r="J41" s="39"/>
      <c r="K41" s="39"/>
      <c r="L41" s="39"/>
      <c r="M41" s="39"/>
      <c r="N41" s="39"/>
      <c r="O41" s="39"/>
      <c r="P41" s="39"/>
      <c r="Q41" s="39"/>
      <c r="R41" s="39"/>
      <c r="S41" s="239"/>
      <c r="AE41" s="174"/>
    </row>
    <row r="42" ht="16.5" customHeight="1">
      <c r="A42" s="26" t="s">
        <v>141</v>
      </c>
      <c r="B42" s="26">
        <v>20.0</v>
      </c>
      <c r="C42" s="113" t="s">
        <v>142</v>
      </c>
      <c r="D42" s="98"/>
      <c r="E42" s="39"/>
      <c r="F42" s="39"/>
      <c r="G42" s="39"/>
      <c r="H42" s="39"/>
      <c r="I42" s="39"/>
      <c r="J42" s="39"/>
      <c r="K42" s="39"/>
      <c r="L42" s="39"/>
      <c r="M42" s="39"/>
      <c r="N42" s="39"/>
      <c r="O42" s="39"/>
      <c r="P42" s="39"/>
      <c r="Q42" s="39"/>
      <c r="R42" s="39"/>
      <c r="S42" s="239"/>
      <c r="AE42" s="174"/>
    </row>
    <row r="43" ht="16.5" customHeight="1">
      <c r="A43" s="114" t="s">
        <v>143</v>
      </c>
      <c r="B43" s="115">
        <v>30.0</v>
      </c>
      <c r="C43" s="114" t="s">
        <v>144</v>
      </c>
      <c r="D43" s="98"/>
      <c r="E43" s="39"/>
      <c r="F43" s="39"/>
      <c r="G43" s="39"/>
      <c r="H43" s="39"/>
      <c r="I43" s="39"/>
      <c r="J43" s="39"/>
      <c r="K43" s="39"/>
      <c r="L43" s="39"/>
      <c r="M43" s="39"/>
      <c r="N43" s="39"/>
      <c r="O43" s="39"/>
      <c r="P43" s="39"/>
      <c r="Q43" s="39"/>
      <c r="R43" s="39"/>
      <c r="S43" s="239"/>
      <c r="AE43" s="174"/>
    </row>
    <row r="44" ht="16.5" customHeight="1">
      <c r="A44" s="114" t="s">
        <v>145</v>
      </c>
      <c r="B44" s="115">
        <v>40.0</v>
      </c>
      <c r="C44" s="114" t="s">
        <v>146</v>
      </c>
      <c r="D44" s="98"/>
      <c r="E44" s="39"/>
      <c r="F44" s="39"/>
      <c r="G44" s="39"/>
      <c r="H44" s="39"/>
      <c r="I44" s="39"/>
      <c r="J44" s="39"/>
      <c r="K44" s="39"/>
      <c r="L44" s="39"/>
      <c r="M44" s="39"/>
      <c r="N44" s="39"/>
      <c r="O44" s="39"/>
      <c r="P44" s="39"/>
      <c r="Q44" s="39"/>
      <c r="R44" s="39"/>
      <c r="S44" s="239"/>
      <c r="AE44" s="174"/>
    </row>
    <row r="45" ht="16.5" customHeight="1">
      <c r="A45" s="114" t="s">
        <v>147</v>
      </c>
      <c r="B45" s="115">
        <v>50.0</v>
      </c>
      <c r="C45" s="114" t="s">
        <v>93</v>
      </c>
      <c r="D45" s="98"/>
      <c r="E45" s="39"/>
      <c r="F45" s="39"/>
      <c r="G45" s="39"/>
      <c r="H45" s="39"/>
      <c r="I45" s="39"/>
      <c r="J45" s="39"/>
      <c r="K45" s="39"/>
      <c r="L45" s="39"/>
      <c r="M45" s="39"/>
      <c r="N45" s="39"/>
      <c r="O45" s="39"/>
      <c r="P45" s="39"/>
      <c r="Q45" s="39"/>
      <c r="R45" s="39"/>
      <c r="S45" s="239"/>
      <c r="AE45" s="174"/>
    </row>
    <row r="46" ht="16.5" customHeight="1">
      <c r="A46" s="114" t="s">
        <v>148</v>
      </c>
      <c r="B46" s="115">
        <v>60.0</v>
      </c>
      <c r="C46" s="114" t="s">
        <v>90</v>
      </c>
      <c r="D46" s="98"/>
      <c r="E46" s="39"/>
      <c r="F46" s="39"/>
      <c r="G46" s="39"/>
      <c r="H46" s="39"/>
      <c r="I46" s="39"/>
      <c r="J46" s="39"/>
      <c r="K46" s="39"/>
      <c r="L46" s="39"/>
      <c r="M46" s="39"/>
      <c r="N46" s="39"/>
      <c r="O46" s="39"/>
      <c r="P46" s="39"/>
      <c r="Q46" s="39"/>
      <c r="R46" s="39"/>
      <c r="S46" s="239"/>
      <c r="AE46" s="174"/>
    </row>
    <row r="47" ht="16.5" customHeight="1">
      <c r="A47" s="114" t="s">
        <v>149</v>
      </c>
      <c r="B47" s="115">
        <v>70.0</v>
      </c>
      <c r="C47" s="114" t="s">
        <v>87</v>
      </c>
      <c r="D47" s="98"/>
      <c r="E47" s="39"/>
      <c r="F47" s="39"/>
      <c r="G47" s="39"/>
      <c r="H47" s="39"/>
      <c r="I47" s="39"/>
      <c r="J47" s="39"/>
      <c r="K47" s="39"/>
      <c r="L47" s="39"/>
      <c r="M47" s="39"/>
      <c r="N47" s="39"/>
      <c r="O47" s="39"/>
      <c r="P47" s="39"/>
      <c r="Q47" s="39"/>
      <c r="R47" s="39"/>
      <c r="S47" s="239"/>
      <c r="AE47" s="174"/>
    </row>
    <row r="48" ht="16.5" customHeight="1">
      <c r="A48" s="116" t="s">
        <v>150</v>
      </c>
      <c r="B48" s="117">
        <v>80.0</v>
      </c>
      <c r="C48" s="116" t="s">
        <v>85</v>
      </c>
      <c r="D48" s="98"/>
      <c r="E48" s="39"/>
      <c r="F48" s="39"/>
      <c r="G48" s="39"/>
      <c r="H48" s="39"/>
      <c r="I48" s="39"/>
      <c r="J48" s="39"/>
      <c r="K48" s="39"/>
      <c r="L48" s="39"/>
      <c r="M48" s="39"/>
      <c r="N48" s="39"/>
      <c r="O48" s="39"/>
      <c r="P48" s="39"/>
      <c r="Q48" s="39"/>
      <c r="R48" s="39"/>
      <c r="S48" s="239"/>
      <c r="AE48" s="174"/>
    </row>
    <row r="49" ht="16.5" customHeight="1">
      <c r="A49" s="116" t="s">
        <v>151</v>
      </c>
      <c r="B49" s="117">
        <v>90.0</v>
      </c>
      <c r="C49" s="116" t="s">
        <v>152</v>
      </c>
      <c r="D49" s="98"/>
      <c r="E49" s="39"/>
      <c r="F49" s="39"/>
      <c r="G49" s="39"/>
      <c r="H49" s="39"/>
      <c r="I49" s="39"/>
      <c r="J49" s="39"/>
      <c r="K49" s="39"/>
      <c r="L49" s="39"/>
      <c r="M49" s="39"/>
      <c r="N49" s="39"/>
      <c r="O49" s="39"/>
      <c r="P49" s="39"/>
      <c r="Q49" s="39"/>
      <c r="R49" s="39"/>
      <c r="S49" s="239"/>
      <c r="AE49" s="174"/>
    </row>
    <row r="50" ht="16.5" customHeight="1">
      <c r="C50" s="98"/>
      <c r="D50" s="98"/>
      <c r="E50" s="39"/>
      <c r="F50" s="39"/>
      <c r="G50" s="39"/>
      <c r="H50" s="39"/>
      <c r="I50" s="39"/>
      <c r="J50" s="39"/>
      <c r="K50" s="39"/>
      <c r="L50" s="39"/>
      <c r="M50" s="39"/>
      <c r="N50" s="39"/>
      <c r="O50" s="39"/>
      <c r="P50" s="39"/>
      <c r="Q50" s="39"/>
      <c r="R50" s="39"/>
      <c r="S50" s="239"/>
      <c r="AE50" s="174"/>
    </row>
    <row r="51" ht="16.5" customHeight="1">
      <c r="C51" s="98"/>
      <c r="D51" s="98"/>
      <c r="E51" s="39"/>
      <c r="F51" s="39"/>
      <c r="G51" s="39"/>
      <c r="H51" s="39"/>
      <c r="I51" s="39"/>
      <c r="J51" s="39"/>
      <c r="K51" s="39"/>
      <c r="L51" s="39"/>
      <c r="M51" s="39"/>
      <c r="N51" s="39"/>
      <c r="O51" s="39"/>
      <c r="P51" s="39"/>
      <c r="Q51" s="39"/>
      <c r="R51" s="39"/>
      <c r="S51" s="239"/>
      <c r="AE51" s="174"/>
    </row>
    <row r="52" ht="16.5" customHeight="1">
      <c r="C52" s="98"/>
      <c r="D52" s="98"/>
      <c r="E52" s="39"/>
      <c r="F52" s="39"/>
      <c r="G52" s="39"/>
      <c r="H52" s="39"/>
      <c r="I52" s="39"/>
      <c r="J52" s="39"/>
      <c r="K52" s="39"/>
      <c r="L52" s="39"/>
      <c r="M52" s="39"/>
      <c r="N52" s="39"/>
      <c r="O52" s="39"/>
      <c r="P52" s="39"/>
      <c r="Q52" s="39"/>
      <c r="R52" s="39"/>
      <c r="S52" s="239"/>
      <c r="AE52" s="174"/>
    </row>
    <row r="53" ht="16.5" customHeight="1">
      <c r="C53" s="98"/>
      <c r="D53" s="98"/>
      <c r="E53" s="39"/>
      <c r="F53" s="39"/>
      <c r="G53" s="39"/>
      <c r="H53" s="39"/>
      <c r="I53" s="39"/>
      <c r="J53" s="39"/>
      <c r="K53" s="39"/>
      <c r="L53" s="39"/>
      <c r="M53" s="39"/>
      <c r="N53" s="39"/>
      <c r="O53" s="39"/>
      <c r="P53" s="39"/>
      <c r="Q53" s="39"/>
      <c r="R53" s="39"/>
      <c r="S53" s="239"/>
      <c r="AE53" s="174"/>
    </row>
    <row r="54" ht="16.5" customHeight="1">
      <c r="C54" s="98"/>
      <c r="D54" s="98"/>
      <c r="E54" s="39"/>
      <c r="F54" s="39"/>
      <c r="G54" s="39"/>
      <c r="H54" s="39"/>
      <c r="I54" s="39"/>
      <c r="J54" s="39"/>
      <c r="K54" s="39"/>
      <c r="L54" s="39"/>
      <c r="M54" s="39"/>
      <c r="N54" s="39"/>
      <c r="O54" s="39"/>
      <c r="P54" s="39"/>
      <c r="Q54" s="39"/>
      <c r="R54" s="39"/>
      <c r="S54" s="239"/>
      <c r="AE54" s="174"/>
    </row>
    <row r="55" ht="16.5" customHeight="1">
      <c r="C55" s="98"/>
      <c r="D55" s="98"/>
      <c r="E55" s="39"/>
      <c r="F55" s="39"/>
      <c r="G55" s="39"/>
      <c r="H55" s="39"/>
      <c r="I55" s="39"/>
      <c r="J55" s="39"/>
      <c r="K55" s="39"/>
      <c r="L55" s="39"/>
      <c r="M55" s="39"/>
      <c r="N55" s="39"/>
      <c r="O55" s="39"/>
      <c r="P55" s="39"/>
      <c r="Q55" s="39"/>
      <c r="R55" s="39"/>
      <c r="S55" s="239"/>
      <c r="AE55" s="174"/>
    </row>
    <row r="56" ht="16.5" customHeight="1">
      <c r="C56" s="98"/>
      <c r="D56" s="98"/>
      <c r="E56" s="39"/>
      <c r="F56" s="39"/>
      <c r="G56" s="39"/>
      <c r="H56" s="39"/>
      <c r="I56" s="39"/>
      <c r="J56" s="39"/>
      <c r="K56" s="39"/>
      <c r="L56" s="39"/>
      <c r="M56" s="39"/>
      <c r="N56" s="39"/>
      <c r="O56" s="39"/>
      <c r="P56" s="39"/>
      <c r="Q56" s="39"/>
      <c r="R56" s="39"/>
      <c r="S56" s="239"/>
      <c r="AE56" s="174"/>
    </row>
    <row r="57" ht="16.5" customHeight="1">
      <c r="C57" s="98"/>
      <c r="D57" s="98"/>
      <c r="E57" s="39"/>
      <c r="F57" s="39"/>
      <c r="G57" s="39"/>
      <c r="H57" s="39"/>
      <c r="I57" s="39"/>
      <c r="J57" s="39"/>
      <c r="K57" s="39"/>
      <c r="L57" s="39"/>
      <c r="M57" s="39"/>
      <c r="N57" s="39"/>
      <c r="O57" s="39"/>
      <c r="P57" s="39"/>
      <c r="Q57" s="39"/>
      <c r="R57" s="39"/>
      <c r="S57" s="239"/>
      <c r="AE57" s="174"/>
    </row>
    <row r="58" ht="16.5" customHeight="1">
      <c r="C58" s="98"/>
      <c r="D58" s="98"/>
      <c r="E58" s="39"/>
      <c r="F58" s="39"/>
      <c r="G58" s="39"/>
      <c r="H58" s="39"/>
      <c r="I58" s="39"/>
      <c r="J58" s="39"/>
      <c r="K58" s="39"/>
      <c r="L58" s="39"/>
      <c r="M58" s="39"/>
      <c r="N58" s="39"/>
      <c r="O58" s="39"/>
      <c r="P58" s="39"/>
      <c r="Q58" s="39"/>
      <c r="R58" s="39"/>
      <c r="S58" s="239"/>
      <c r="AE58" s="174"/>
    </row>
    <row r="59" ht="16.5" customHeight="1">
      <c r="C59" s="98"/>
      <c r="D59" s="98"/>
      <c r="E59" s="39"/>
      <c r="F59" s="39"/>
      <c r="G59" s="39"/>
      <c r="H59" s="39"/>
      <c r="I59" s="39"/>
      <c r="J59" s="39"/>
      <c r="K59" s="39"/>
      <c r="L59" s="39"/>
      <c r="M59" s="39"/>
      <c r="N59" s="39"/>
      <c r="O59" s="39"/>
      <c r="P59" s="39"/>
      <c r="Q59" s="39"/>
      <c r="R59" s="39"/>
      <c r="S59" s="239"/>
      <c r="AE59" s="174"/>
    </row>
    <row r="60" ht="16.5" customHeight="1">
      <c r="C60" s="98"/>
      <c r="D60" s="98"/>
      <c r="E60" s="39"/>
      <c r="F60" s="39"/>
      <c r="G60" s="39"/>
      <c r="H60" s="39"/>
      <c r="I60" s="39"/>
      <c r="J60" s="39"/>
      <c r="K60" s="39"/>
      <c r="L60" s="39"/>
      <c r="M60" s="39"/>
      <c r="N60" s="39"/>
      <c r="O60" s="39"/>
      <c r="P60" s="39"/>
      <c r="Q60" s="39"/>
      <c r="R60" s="39"/>
      <c r="S60" s="239"/>
      <c r="AE60" s="174"/>
    </row>
    <row r="61" ht="16.5" customHeight="1">
      <c r="C61" s="98"/>
      <c r="D61" s="98"/>
      <c r="E61" s="39"/>
      <c r="F61" s="39"/>
      <c r="G61" s="39"/>
      <c r="H61" s="39"/>
      <c r="I61" s="39"/>
      <c r="J61" s="39"/>
      <c r="K61" s="39"/>
      <c r="L61" s="39"/>
      <c r="M61" s="39"/>
      <c r="N61" s="39"/>
      <c r="O61" s="39"/>
      <c r="P61" s="39"/>
      <c r="Q61" s="39"/>
      <c r="R61" s="39"/>
      <c r="S61" s="239"/>
      <c r="AE61" s="174"/>
    </row>
    <row r="62" ht="16.5" customHeight="1">
      <c r="C62" s="98"/>
      <c r="D62" s="98"/>
      <c r="E62" s="39"/>
      <c r="F62" s="39"/>
      <c r="G62" s="39"/>
      <c r="H62" s="39"/>
      <c r="I62" s="39"/>
      <c r="J62" s="39"/>
      <c r="K62" s="39"/>
      <c r="L62" s="39"/>
      <c r="M62" s="39"/>
      <c r="N62" s="39"/>
      <c r="O62" s="39"/>
      <c r="P62" s="39"/>
      <c r="Q62" s="39"/>
      <c r="R62" s="39"/>
      <c r="S62" s="239"/>
      <c r="AE62" s="174"/>
    </row>
    <row r="63" ht="16.5" customHeight="1">
      <c r="C63" s="98"/>
      <c r="D63" s="98"/>
      <c r="E63" s="39"/>
      <c r="F63" s="39"/>
      <c r="G63" s="39"/>
      <c r="H63" s="39"/>
      <c r="I63" s="39"/>
      <c r="J63" s="39"/>
      <c r="K63" s="39"/>
      <c r="L63" s="39"/>
      <c r="M63" s="39"/>
      <c r="N63" s="39"/>
      <c r="O63" s="39"/>
      <c r="P63" s="39"/>
      <c r="Q63" s="39"/>
      <c r="R63" s="39"/>
      <c r="S63" s="239"/>
      <c r="AE63" s="174"/>
    </row>
    <row r="64" ht="16.5" customHeight="1">
      <c r="C64" s="98"/>
      <c r="D64" s="98"/>
      <c r="E64" s="39"/>
      <c r="F64" s="39"/>
      <c r="G64" s="39"/>
      <c r="H64" s="39"/>
      <c r="I64" s="39"/>
      <c r="J64" s="39"/>
      <c r="K64" s="39"/>
      <c r="L64" s="39"/>
      <c r="M64" s="39"/>
      <c r="N64" s="39"/>
      <c r="O64" s="39"/>
      <c r="P64" s="39"/>
      <c r="Q64" s="39"/>
      <c r="R64" s="39"/>
      <c r="S64" s="239"/>
      <c r="AE64" s="174"/>
    </row>
    <row r="65" ht="16.5" customHeight="1">
      <c r="C65" s="98"/>
      <c r="D65" s="98"/>
      <c r="E65" s="39"/>
      <c r="F65" s="39"/>
      <c r="G65" s="39"/>
      <c r="H65" s="39"/>
      <c r="I65" s="39"/>
      <c r="J65" s="39"/>
      <c r="K65" s="39"/>
      <c r="L65" s="39"/>
      <c r="M65" s="39"/>
      <c r="N65" s="39"/>
      <c r="O65" s="39"/>
      <c r="P65" s="39"/>
      <c r="Q65" s="39"/>
      <c r="R65" s="39"/>
      <c r="S65" s="239"/>
      <c r="AE65" s="174"/>
    </row>
    <row r="66" ht="16.5" customHeight="1">
      <c r="C66" s="98"/>
      <c r="D66" s="98"/>
      <c r="E66" s="39"/>
      <c r="F66" s="39"/>
      <c r="G66" s="39"/>
      <c r="H66" s="39"/>
      <c r="I66" s="39"/>
      <c r="J66" s="39"/>
      <c r="K66" s="39"/>
      <c r="L66" s="39"/>
      <c r="M66" s="39"/>
      <c r="N66" s="39"/>
      <c r="O66" s="39"/>
      <c r="P66" s="39"/>
      <c r="Q66" s="39"/>
      <c r="R66" s="39"/>
      <c r="S66" s="239"/>
      <c r="AE66" s="174"/>
    </row>
    <row r="67" ht="16.5" customHeight="1">
      <c r="C67" s="98"/>
      <c r="D67" s="98"/>
      <c r="E67" s="39"/>
      <c r="F67" s="39"/>
      <c r="G67" s="39"/>
      <c r="H67" s="39"/>
      <c r="I67" s="39"/>
      <c r="J67" s="39"/>
      <c r="K67" s="39"/>
      <c r="L67" s="39"/>
      <c r="M67" s="39"/>
      <c r="N67" s="39"/>
      <c r="O67" s="39"/>
      <c r="P67" s="39"/>
      <c r="Q67" s="39"/>
      <c r="R67" s="39"/>
      <c r="S67" s="239"/>
      <c r="AE67" s="174"/>
    </row>
    <row r="68" ht="16.5" customHeight="1">
      <c r="C68" s="98"/>
      <c r="D68" s="98"/>
      <c r="E68" s="39"/>
      <c r="F68" s="39"/>
      <c r="G68" s="39"/>
      <c r="H68" s="39"/>
      <c r="I68" s="39"/>
      <c r="J68" s="39"/>
      <c r="K68" s="39"/>
      <c r="L68" s="39"/>
      <c r="M68" s="39"/>
      <c r="N68" s="39"/>
      <c r="O68" s="39"/>
      <c r="P68" s="39"/>
      <c r="Q68" s="39"/>
      <c r="R68" s="39"/>
      <c r="S68" s="239"/>
      <c r="AE68" s="174"/>
    </row>
    <row r="69" ht="16.5" customHeight="1">
      <c r="C69" s="98"/>
      <c r="D69" s="98"/>
      <c r="E69" s="39"/>
      <c r="F69" s="39"/>
      <c r="G69" s="39"/>
      <c r="H69" s="39"/>
      <c r="I69" s="39"/>
      <c r="J69" s="39"/>
      <c r="K69" s="39"/>
      <c r="L69" s="39"/>
      <c r="M69" s="39"/>
      <c r="N69" s="39"/>
      <c r="O69" s="39"/>
      <c r="P69" s="39"/>
      <c r="Q69" s="39"/>
      <c r="R69" s="39"/>
      <c r="S69" s="239"/>
      <c r="AE69" s="174"/>
    </row>
    <row r="70" ht="16.5" customHeight="1">
      <c r="C70" s="98"/>
      <c r="D70" s="98"/>
      <c r="E70" s="39"/>
      <c r="F70" s="39"/>
      <c r="G70" s="39"/>
      <c r="H70" s="39"/>
      <c r="I70" s="39"/>
      <c r="J70" s="39"/>
      <c r="K70" s="39"/>
      <c r="L70" s="39"/>
      <c r="M70" s="39"/>
      <c r="N70" s="39"/>
      <c r="O70" s="39"/>
      <c r="P70" s="39"/>
      <c r="Q70" s="39"/>
      <c r="R70" s="39"/>
      <c r="S70" s="239"/>
      <c r="AE70" s="174"/>
    </row>
    <row r="71" ht="16.5" customHeight="1">
      <c r="C71" s="98"/>
      <c r="D71" s="98"/>
      <c r="E71" s="39"/>
      <c r="F71" s="39"/>
      <c r="G71" s="39"/>
      <c r="H71" s="39"/>
      <c r="I71" s="39"/>
      <c r="J71" s="39"/>
      <c r="K71" s="39"/>
      <c r="L71" s="39"/>
      <c r="M71" s="39"/>
      <c r="N71" s="39"/>
      <c r="O71" s="39"/>
      <c r="P71" s="39"/>
      <c r="Q71" s="39"/>
      <c r="R71" s="39"/>
      <c r="S71" s="239"/>
      <c r="AE71" s="174"/>
    </row>
    <row r="72" ht="16.5" customHeight="1">
      <c r="C72" s="98"/>
      <c r="D72" s="98"/>
      <c r="E72" s="39"/>
      <c r="F72" s="39"/>
      <c r="G72" s="39"/>
      <c r="H72" s="39"/>
      <c r="I72" s="39"/>
      <c r="J72" s="39"/>
      <c r="K72" s="39"/>
      <c r="L72" s="39"/>
      <c r="M72" s="39"/>
      <c r="N72" s="39"/>
      <c r="O72" s="39"/>
      <c r="P72" s="39"/>
      <c r="Q72" s="39"/>
      <c r="R72" s="39"/>
      <c r="S72" s="239"/>
      <c r="AE72" s="174"/>
    </row>
    <row r="73" ht="16.5" customHeight="1">
      <c r="C73" s="98"/>
      <c r="D73" s="98"/>
      <c r="E73" s="39"/>
      <c r="F73" s="39"/>
      <c r="G73" s="39"/>
      <c r="H73" s="39"/>
      <c r="I73" s="39"/>
      <c r="J73" s="39"/>
      <c r="K73" s="39"/>
      <c r="L73" s="39"/>
      <c r="M73" s="39"/>
      <c r="N73" s="39"/>
      <c r="O73" s="39"/>
      <c r="P73" s="39"/>
      <c r="Q73" s="39"/>
      <c r="R73" s="39"/>
      <c r="S73" s="239"/>
      <c r="AE73" s="174"/>
    </row>
    <row r="74" ht="16.5" customHeight="1">
      <c r="C74" s="98"/>
      <c r="D74" s="98"/>
      <c r="E74" s="39"/>
      <c r="F74" s="39"/>
      <c r="G74" s="39"/>
      <c r="H74" s="39"/>
      <c r="I74" s="39"/>
      <c r="J74" s="39"/>
      <c r="K74" s="39"/>
      <c r="L74" s="39"/>
      <c r="M74" s="39"/>
      <c r="N74" s="39"/>
      <c r="O74" s="39"/>
      <c r="P74" s="39"/>
      <c r="Q74" s="39"/>
      <c r="R74" s="39"/>
      <c r="S74" s="239"/>
      <c r="AE74" s="174"/>
    </row>
    <row r="75" ht="16.5" customHeight="1">
      <c r="C75" s="98"/>
      <c r="D75" s="98"/>
      <c r="E75" s="39"/>
      <c r="F75" s="39"/>
      <c r="G75" s="39"/>
      <c r="H75" s="39"/>
      <c r="I75" s="39"/>
      <c r="J75" s="39"/>
      <c r="K75" s="39"/>
      <c r="L75" s="39"/>
      <c r="M75" s="39"/>
      <c r="N75" s="39"/>
      <c r="O75" s="39"/>
      <c r="P75" s="39"/>
      <c r="Q75" s="39"/>
      <c r="R75" s="39"/>
      <c r="S75" s="239"/>
      <c r="AE75" s="174"/>
    </row>
    <row r="76" ht="16.5" customHeight="1">
      <c r="C76" s="98"/>
      <c r="D76" s="98"/>
      <c r="E76" s="39"/>
      <c r="F76" s="39"/>
      <c r="G76" s="39"/>
      <c r="H76" s="39"/>
      <c r="I76" s="39"/>
      <c r="J76" s="39"/>
      <c r="K76" s="39"/>
      <c r="L76" s="39"/>
      <c r="M76" s="39"/>
      <c r="N76" s="39"/>
      <c r="O76" s="39"/>
      <c r="P76" s="39"/>
      <c r="Q76" s="39"/>
      <c r="R76" s="39"/>
      <c r="S76" s="239"/>
      <c r="AE76" s="174"/>
    </row>
    <row r="77" ht="16.5" customHeight="1">
      <c r="C77" s="98"/>
      <c r="D77" s="98"/>
      <c r="E77" s="39"/>
      <c r="F77" s="39"/>
      <c r="G77" s="39"/>
      <c r="H77" s="39"/>
      <c r="I77" s="39"/>
      <c r="J77" s="39"/>
      <c r="K77" s="39"/>
      <c r="L77" s="39"/>
      <c r="M77" s="39"/>
      <c r="N77" s="39"/>
      <c r="O77" s="39"/>
      <c r="P77" s="39"/>
      <c r="Q77" s="39"/>
      <c r="R77" s="39"/>
      <c r="S77" s="239"/>
      <c r="AE77" s="174"/>
    </row>
    <row r="78" ht="16.5" customHeight="1">
      <c r="C78" s="98"/>
      <c r="D78" s="98"/>
      <c r="E78" s="39"/>
      <c r="F78" s="39"/>
      <c r="G78" s="39"/>
      <c r="H78" s="39"/>
      <c r="I78" s="39"/>
      <c r="J78" s="39"/>
      <c r="K78" s="39"/>
      <c r="L78" s="39"/>
      <c r="M78" s="39"/>
      <c r="N78" s="39"/>
      <c r="O78" s="39"/>
      <c r="P78" s="39"/>
      <c r="Q78" s="39"/>
      <c r="R78" s="39"/>
      <c r="S78" s="239"/>
      <c r="AE78" s="174"/>
    </row>
    <row r="79" ht="16.5" customHeight="1">
      <c r="C79" s="98"/>
      <c r="D79" s="98"/>
      <c r="E79" s="39"/>
      <c r="F79" s="39"/>
      <c r="G79" s="39"/>
      <c r="H79" s="39"/>
      <c r="I79" s="39"/>
      <c r="J79" s="39"/>
      <c r="K79" s="39"/>
      <c r="L79" s="39"/>
      <c r="M79" s="39"/>
      <c r="N79" s="39"/>
      <c r="O79" s="39"/>
      <c r="P79" s="39"/>
      <c r="Q79" s="39"/>
      <c r="R79" s="39"/>
      <c r="S79" s="239"/>
      <c r="AE79" s="174"/>
    </row>
    <row r="80" ht="16.5" customHeight="1">
      <c r="C80" s="98"/>
      <c r="D80" s="98"/>
      <c r="E80" s="39"/>
      <c r="F80" s="39"/>
      <c r="G80" s="39"/>
      <c r="H80" s="39"/>
      <c r="I80" s="39"/>
      <c r="J80" s="39"/>
      <c r="K80" s="39"/>
      <c r="L80" s="39"/>
      <c r="M80" s="39"/>
      <c r="N80" s="39"/>
      <c r="O80" s="39"/>
      <c r="P80" s="39"/>
      <c r="Q80" s="39"/>
      <c r="R80" s="39"/>
      <c r="S80" s="239"/>
      <c r="AE80" s="174"/>
    </row>
    <row r="81" ht="16.5" customHeight="1">
      <c r="C81" s="98"/>
      <c r="D81" s="98"/>
      <c r="E81" s="39"/>
      <c r="F81" s="39"/>
      <c r="G81" s="39"/>
      <c r="H81" s="39"/>
      <c r="I81" s="39"/>
      <c r="J81" s="39"/>
      <c r="K81" s="39"/>
      <c r="L81" s="39"/>
      <c r="M81" s="39"/>
      <c r="N81" s="39"/>
      <c r="O81" s="39"/>
      <c r="P81" s="39"/>
      <c r="Q81" s="39"/>
      <c r="R81" s="39"/>
      <c r="S81" s="239"/>
      <c r="AE81" s="174"/>
    </row>
    <row r="82" ht="16.5" customHeight="1">
      <c r="C82" s="98"/>
      <c r="D82" s="98"/>
      <c r="E82" s="39"/>
      <c r="F82" s="39"/>
      <c r="G82" s="39"/>
      <c r="H82" s="39"/>
      <c r="I82" s="39"/>
      <c r="J82" s="39"/>
      <c r="K82" s="39"/>
      <c r="L82" s="39"/>
      <c r="M82" s="39"/>
      <c r="N82" s="39"/>
      <c r="O82" s="39"/>
      <c r="P82" s="39"/>
      <c r="Q82" s="39"/>
      <c r="R82" s="39"/>
      <c r="S82" s="239"/>
      <c r="AE82" s="174"/>
    </row>
    <row r="83" ht="16.5" customHeight="1">
      <c r="C83" s="98"/>
      <c r="D83" s="98"/>
      <c r="E83" s="39"/>
      <c r="F83" s="39"/>
      <c r="G83" s="39"/>
      <c r="H83" s="39"/>
      <c r="I83" s="39"/>
      <c r="J83" s="39"/>
      <c r="K83" s="39"/>
      <c r="L83" s="39"/>
      <c r="M83" s="39"/>
      <c r="N83" s="39"/>
      <c r="O83" s="39"/>
      <c r="P83" s="39"/>
      <c r="Q83" s="39"/>
      <c r="R83" s="39"/>
      <c r="S83" s="239"/>
      <c r="AE83" s="174"/>
    </row>
    <row r="84" ht="16.5" customHeight="1">
      <c r="C84" s="98"/>
      <c r="D84" s="98"/>
      <c r="E84" s="39"/>
      <c r="F84" s="39"/>
      <c r="G84" s="39"/>
      <c r="H84" s="39"/>
      <c r="I84" s="39"/>
      <c r="J84" s="39"/>
      <c r="K84" s="39"/>
      <c r="L84" s="39"/>
      <c r="M84" s="39"/>
      <c r="N84" s="39"/>
      <c r="O84" s="39"/>
      <c r="P84" s="39"/>
      <c r="Q84" s="39"/>
      <c r="R84" s="39"/>
      <c r="S84" s="239"/>
      <c r="AE84" s="174"/>
    </row>
    <row r="85" ht="16.5" customHeight="1">
      <c r="C85" s="98"/>
      <c r="D85" s="98"/>
      <c r="E85" s="39"/>
      <c r="F85" s="39"/>
      <c r="G85" s="39"/>
      <c r="H85" s="39"/>
      <c r="I85" s="39"/>
      <c r="J85" s="39"/>
      <c r="K85" s="39"/>
      <c r="L85" s="39"/>
      <c r="M85" s="39"/>
      <c r="N85" s="39"/>
      <c r="O85" s="39"/>
      <c r="P85" s="39"/>
      <c r="Q85" s="39"/>
      <c r="R85" s="39"/>
      <c r="S85" s="239"/>
      <c r="AE85" s="174"/>
    </row>
    <row r="86" ht="16.5" customHeight="1">
      <c r="C86" s="98"/>
      <c r="D86" s="98"/>
      <c r="E86" s="39"/>
      <c r="F86" s="39"/>
      <c r="G86" s="39"/>
      <c r="H86" s="39"/>
      <c r="I86" s="39"/>
      <c r="J86" s="39"/>
      <c r="K86" s="39"/>
      <c r="L86" s="39"/>
      <c r="M86" s="39"/>
      <c r="N86" s="39"/>
      <c r="O86" s="39"/>
      <c r="P86" s="39"/>
      <c r="Q86" s="39"/>
      <c r="R86" s="39"/>
      <c r="S86" s="239"/>
      <c r="AE86" s="174"/>
    </row>
    <row r="87" ht="16.5" customHeight="1">
      <c r="C87" s="98"/>
      <c r="D87" s="98"/>
      <c r="E87" s="39"/>
      <c r="F87" s="39"/>
      <c r="G87" s="39"/>
      <c r="H87" s="39"/>
      <c r="I87" s="39"/>
      <c r="J87" s="39"/>
      <c r="K87" s="39"/>
      <c r="L87" s="39"/>
      <c r="M87" s="39"/>
      <c r="N87" s="39"/>
      <c r="O87" s="39"/>
      <c r="P87" s="39"/>
      <c r="Q87" s="39"/>
      <c r="R87" s="39"/>
      <c r="S87" s="239"/>
      <c r="AE87" s="174"/>
    </row>
    <row r="88" ht="16.5" customHeight="1">
      <c r="C88" s="98"/>
      <c r="D88" s="98"/>
      <c r="E88" s="39"/>
      <c r="F88" s="39"/>
      <c r="G88" s="39"/>
      <c r="H88" s="39"/>
      <c r="I88" s="39"/>
      <c r="J88" s="39"/>
      <c r="K88" s="39"/>
      <c r="L88" s="39"/>
      <c r="M88" s="39"/>
      <c r="N88" s="39"/>
      <c r="O88" s="39"/>
      <c r="P88" s="39"/>
      <c r="Q88" s="39"/>
      <c r="R88" s="39"/>
      <c r="S88" s="239"/>
      <c r="AE88" s="174"/>
    </row>
    <row r="89" ht="16.5" customHeight="1">
      <c r="C89" s="98"/>
      <c r="D89" s="98"/>
      <c r="E89" s="39"/>
      <c r="F89" s="39"/>
      <c r="G89" s="39"/>
      <c r="H89" s="39"/>
      <c r="I89" s="39"/>
      <c r="J89" s="39"/>
      <c r="K89" s="39"/>
      <c r="L89" s="39"/>
      <c r="M89" s="39"/>
      <c r="N89" s="39"/>
      <c r="O89" s="39"/>
      <c r="P89" s="39"/>
      <c r="Q89" s="39"/>
      <c r="R89" s="39"/>
      <c r="S89" s="239"/>
      <c r="AE89" s="174"/>
    </row>
    <row r="90" ht="16.5" customHeight="1">
      <c r="C90" s="98"/>
      <c r="D90" s="98"/>
      <c r="E90" s="39"/>
      <c r="F90" s="39"/>
      <c r="G90" s="39"/>
      <c r="H90" s="39"/>
      <c r="I90" s="39"/>
      <c r="J90" s="39"/>
      <c r="K90" s="39"/>
      <c r="L90" s="39"/>
      <c r="M90" s="39"/>
      <c r="N90" s="39"/>
      <c r="O90" s="39"/>
      <c r="P90" s="39"/>
      <c r="Q90" s="39"/>
      <c r="R90" s="39"/>
      <c r="S90" s="239"/>
      <c r="AE90" s="174"/>
    </row>
    <row r="91" ht="16.5" customHeight="1">
      <c r="C91" s="98"/>
      <c r="D91" s="98"/>
      <c r="E91" s="39"/>
      <c r="F91" s="39"/>
      <c r="G91" s="39"/>
      <c r="H91" s="39"/>
      <c r="I91" s="39"/>
      <c r="J91" s="39"/>
      <c r="K91" s="39"/>
      <c r="L91" s="39"/>
      <c r="M91" s="39"/>
      <c r="N91" s="39"/>
      <c r="O91" s="39"/>
      <c r="P91" s="39"/>
      <c r="Q91" s="39"/>
      <c r="R91" s="39"/>
      <c r="S91" s="239"/>
      <c r="AE91" s="174"/>
    </row>
    <row r="92" ht="16.5" customHeight="1">
      <c r="C92" s="98"/>
      <c r="D92" s="98"/>
      <c r="E92" s="39"/>
      <c r="F92" s="39"/>
      <c r="G92" s="39"/>
      <c r="H92" s="39"/>
      <c r="I92" s="39"/>
      <c r="J92" s="39"/>
      <c r="K92" s="39"/>
      <c r="L92" s="39"/>
      <c r="M92" s="39"/>
      <c r="N92" s="39"/>
      <c r="O92" s="39"/>
      <c r="P92" s="39"/>
      <c r="Q92" s="39"/>
      <c r="R92" s="39"/>
      <c r="S92" s="239"/>
      <c r="AE92" s="174"/>
    </row>
    <row r="93" ht="16.5" customHeight="1">
      <c r="C93" s="98"/>
      <c r="D93" s="98"/>
      <c r="E93" s="39"/>
      <c r="F93" s="39"/>
      <c r="G93" s="39"/>
      <c r="H93" s="39"/>
      <c r="I93" s="39"/>
      <c r="J93" s="39"/>
      <c r="K93" s="39"/>
      <c r="L93" s="39"/>
      <c r="M93" s="39"/>
      <c r="N93" s="39"/>
      <c r="O93" s="39"/>
      <c r="P93" s="39"/>
      <c r="Q93" s="39"/>
      <c r="R93" s="39"/>
      <c r="S93" s="239"/>
      <c r="AE93" s="174"/>
    </row>
    <row r="94" ht="16.5" customHeight="1">
      <c r="C94" s="98"/>
      <c r="D94" s="98"/>
      <c r="E94" s="39"/>
      <c r="F94" s="39"/>
      <c r="G94" s="39"/>
      <c r="H94" s="39"/>
      <c r="I94" s="39"/>
      <c r="J94" s="39"/>
      <c r="K94" s="39"/>
      <c r="L94" s="39"/>
      <c r="M94" s="39"/>
      <c r="N94" s="39"/>
      <c r="O94" s="39"/>
      <c r="P94" s="39"/>
      <c r="Q94" s="39"/>
      <c r="R94" s="39"/>
      <c r="S94" s="239"/>
      <c r="AE94" s="174"/>
    </row>
    <row r="95" ht="16.5" customHeight="1">
      <c r="C95" s="98"/>
      <c r="D95" s="98"/>
      <c r="E95" s="39"/>
      <c r="F95" s="39"/>
      <c r="G95" s="39"/>
      <c r="H95" s="39"/>
      <c r="I95" s="39"/>
      <c r="J95" s="39"/>
      <c r="K95" s="39"/>
      <c r="L95" s="39"/>
      <c r="M95" s="39"/>
      <c r="N95" s="39"/>
      <c r="O95" s="39"/>
      <c r="P95" s="39"/>
      <c r="Q95" s="39"/>
      <c r="R95" s="39"/>
      <c r="S95" s="239"/>
      <c r="AE95" s="174"/>
    </row>
    <row r="96" ht="16.5" customHeight="1">
      <c r="C96" s="98"/>
      <c r="D96" s="98"/>
      <c r="E96" s="39"/>
      <c r="F96" s="39"/>
      <c r="G96" s="39"/>
      <c r="H96" s="39"/>
      <c r="I96" s="39"/>
      <c r="J96" s="39"/>
      <c r="K96" s="39"/>
      <c r="L96" s="39"/>
      <c r="M96" s="39"/>
      <c r="N96" s="39"/>
      <c r="O96" s="39"/>
      <c r="P96" s="39"/>
      <c r="Q96" s="39"/>
      <c r="R96" s="39"/>
      <c r="S96" s="239"/>
      <c r="AE96" s="174"/>
    </row>
    <row r="97" ht="16.5" customHeight="1">
      <c r="C97" s="98"/>
      <c r="D97" s="98"/>
      <c r="E97" s="39"/>
      <c r="F97" s="39"/>
      <c r="G97" s="39"/>
      <c r="H97" s="39"/>
      <c r="I97" s="39"/>
      <c r="J97" s="39"/>
      <c r="K97" s="39"/>
      <c r="L97" s="39"/>
      <c r="M97" s="39"/>
      <c r="N97" s="39"/>
      <c r="O97" s="39"/>
      <c r="P97" s="39"/>
      <c r="Q97" s="39"/>
      <c r="R97" s="39"/>
      <c r="S97" s="239"/>
      <c r="AE97" s="174"/>
    </row>
    <row r="98" ht="16.5" customHeight="1">
      <c r="C98" s="98"/>
      <c r="D98" s="98"/>
      <c r="E98" s="39"/>
      <c r="F98" s="39"/>
      <c r="G98" s="39"/>
      <c r="H98" s="39"/>
      <c r="I98" s="39"/>
      <c r="J98" s="39"/>
      <c r="K98" s="39"/>
      <c r="L98" s="39"/>
      <c r="M98" s="39"/>
      <c r="N98" s="39"/>
      <c r="O98" s="39"/>
      <c r="P98" s="39"/>
      <c r="Q98" s="39"/>
      <c r="R98" s="39"/>
      <c r="S98" s="239"/>
      <c r="AE98" s="174"/>
    </row>
    <row r="99" ht="16.5" customHeight="1">
      <c r="C99" s="98"/>
      <c r="D99" s="98"/>
      <c r="E99" s="39"/>
      <c r="F99" s="39"/>
      <c r="G99" s="39"/>
      <c r="H99" s="39"/>
      <c r="I99" s="39"/>
      <c r="J99" s="39"/>
      <c r="K99" s="39"/>
      <c r="L99" s="39"/>
      <c r="M99" s="39"/>
      <c r="N99" s="39"/>
      <c r="O99" s="39"/>
      <c r="P99" s="39"/>
      <c r="Q99" s="39"/>
      <c r="R99" s="39"/>
      <c r="S99" s="239"/>
      <c r="AE99" s="174"/>
    </row>
    <row r="100" ht="16.5" customHeight="1">
      <c r="C100" s="98"/>
      <c r="D100" s="98"/>
      <c r="E100" s="39"/>
      <c r="F100" s="39"/>
      <c r="G100" s="39"/>
      <c r="H100" s="39"/>
      <c r="I100" s="39"/>
      <c r="J100" s="39"/>
      <c r="K100" s="39"/>
      <c r="L100" s="39"/>
      <c r="M100" s="39"/>
      <c r="N100" s="39"/>
      <c r="O100" s="39"/>
      <c r="P100" s="39"/>
      <c r="Q100" s="39"/>
      <c r="R100" s="39"/>
      <c r="S100" s="239"/>
      <c r="AE100" s="174"/>
    </row>
    <row r="101" ht="16.5" customHeight="1">
      <c r="C101" s="98"/>
      <c r="D101" s="98"/>
      <c r="E101" s="39"/>
      <c r="F101" s="39"/>
      <c r="G101" s="39"/>
      <c r="H101" s="39"/>
      <c r="I101" s="39"/>
      <c r="J101" s="39"/>
      <c r="K101" s="39"/>
      <c r="L101" s="39"/>
      <c r="M101" s="39"/>
      <c r="N101" s="39"/>
      <c r="O101" s="39"/>
      <c r="P101" s="39"/>
      <c r="Q101" s="39"/>
      <c r="R101" s="39"/>
      <c r="S101" s="239"/>
      <c r="AE101" s="174"/>
    </row>
    <row r="102" ht="16.5" customHeight="1">
      <c r="C102" s="98"/>
      <c r="D102" s="98"/>
      <c r="E102" s="39"/>
      <c r="F102" s="39"/>
      <c r="G102" s="39"/>
      <c r="H102" s="39"/>
      <c r="I102" s="39"/>
      <c r="J102" s="39"/>
      <c r="K102" s="39"/>
      <c r="L102" s="39"/>
      <c r="M102" s="39"/>
      <c r="N102" s="39"/>
      <c r="O102" s="39"/>
      <c r="P102" s="39"/>
      <c r="Q102" s="39"/>
      <c r="R102" s="39"/>
      <c r="S102" s="239"/>
      <c r="AE102" s="174"/>
    </row>
    <row r="103" ht="16.5" customHeight="1">
      <c r="C103" s="98"/>
      <c r="D103" s="98"/>
      <c r="E103" s="39"/>
      <c r="F103" s="39"/>
      <c r="G103" s="39"/>
      <c r="H103" s="39"/>
      <c r="I103" s="39"/>
      <c r="J103" s="39"/>
      <c r="K103" s="39"/>
      <c r="L103" s="39"/>
      <c r="M103" s="39"/>
      <c r="N103" s="39"/>
      <c r="O103" s="39"/>
      <c r="P103" s="39"/>
      <c r="Q103" s="39"/>
      <c r="R103" s="39"/>
      <c r="S103" s="239"/>
      <c r="AE103" s="174"/>
    </row>
    <row r="104" ht="16.5" customHeight="1">
      <c r="C104" s="98"/>
      <c r="D104" s="98"/>
      <c r="E104" s="39"/>
      <c r="F104" s="39"/>
      <c r="G104" s="39"/>
      <c r="H104" s="39"/>
      <c r="I104" s="39"/>
      <c r="J104" s="39"/>
      <c r="K104" s="39"/>
      <c r="L104" s="39"/>
      <c r="M104" s="39"/>
      <c r="N104" s="39"/>
      <c r="O104" s="39"/>
      <c r="P104" s="39"/>
      <c r="Q104" s="39"/>
      <c r="R104" s="39"/>
      <c r="S104" s="239"/>
      <c r="AE104" s="174"/>
    </row>
    <row r="105" ht="16.5" customHeight="1">
      <c r="C105" s="98"/>
      <c r="D105" s="98"/>
      <c r="E105" s="39"/>
      <c r="F105" s="39"/>
      <c r="G105" s="39"/>
      <c r="H105" s="39"/>
      <c r="I105" s="39"/>
      <c r="J105" s="39"/>
      <c r="K105" s="39"/>
      <c r="L105" s="39"/>
      <c r="M105" s="39"/>
      <c r="N105" s="39"/>
      <c r="O105" s="39"/>
      <c r="P105" s="39"/>
      <c r="Q105" s="39"/>
      <c r="R105" s="39"/>
      <c r="S105" s="239"/>
      <c r="AE105" s="174"/>
    </row>
    <row r="106" ht="16.5" customHeight="1">
      <c r="C106" s="98"/>
      <c r="D106" s="98"/>
      <c r="E106" s="39"/>
      <c r="F106" s="39"/>
      <c r="G106" s="39"/>
      <c r="H106" s="39"/>
      <c r="I106" s="39"/>
      <c r="J106" s="39"/>
      <c r="K106" s="39"/>
      <c r="L106" s="39"/>
      <c r="M106" s="39"/>
      <c r="N106" s="39"/>
      <c r="O106" s="39"/>
      <c r="P106" s="39"/>
      <c r="Q106" s="39"/>
      <c r="R106" s="39"/>
      <c r="S106" s="239"/>
      <c r="AE106" s="174"/>
    </row>
    <row r="107" ht="16.5" customHeight="1">
      <c r="C107" s="98"/>
      <c r="D107" s="98"/>
      <c r="E107" s="39"/>
      <c r="F107" s="39"/>
      <c r="G107" s="39"/>
      <c r="H107" s="39"/>
      <c r="I107" s="39"/>
      <c r="J107" s="39"/>
      <c r="K107" s="39"/>
      <c r="L107" s="39"/>
      <c r="M107" s="39"/>
      <c r="N107" s="39"/>
      <c r="O107" s="39"/>
      <c r="P107" s="39"/>
      <c r="Q107" s="39"/>
      <c r="R107" s="39"/>
      <c r="S107" s="239"/>
      <c r="AE107" s="174"/>
    </row>
    <row r="108" ht="16.5" customHeight="1">
      <c r="C108" s="98"/>
      <c r="D108" s="98"/>
      <c r="E108" s="39"/>
      <c r="F108" s="39"/>
      <c r="G108" s="39"/>
      <c r="H108" s="39"/>
      <c r="I108" s="39"/>
      <c r="J108" s="39"/>
      <c r="K108" s="39"/>
      <c r="L108" s="39"/>
      <c r="M108" s="39"/>
      <c r="N108" s="39"/>
      <c r="O108" s="39"/>
      <c r="P108" s="39"/>
      <c r="Q108" s="39"/>
      <c r="R108" s="39"/>
      <c r="S108" s="239"/>
      <c r="AE108" s="174"/>
    </row>
    <row r="109" ht="16.5" customHeight="1">
      <c r="C109" s="98"/>
      <c r="D109" s="98"/>
      <c r="E109" s="39"/>
      <c r="F109" s="39"/>
      <c r="G109" s="39"/>
      <c r="H109" s="39"/>
      <c r="I109" s="39"/>
      <c r="J109" s="39"/>
      <c r="K109" s="39"/>
      <c r="L109" s="39"/>
      <c r="M109" s="39"/>
      <c r="N109" s="39"/>
      <c r="O109" s="39"/>
      <c r="P109" s="39"/>
      <c r="Q109" s="39"/>
      <c r="R109" s="39"/>
      <c r="S109" s="239"/>
      <c r="AE109" s="174"/>
    </row>
    <row r="110" ht="16.5" customHeight="1">
      <c r="C110" s="98"/>
      <c r="D110" s="98"/>
      <c r="E110" s="39"/>
      <c r="F110" s="39"/>
      <c r="G110" s="39"/>
      <c r="H110" s="39"/>
      <c r="I110" s="39"/>
      <c r="J110" s="39"/>
      <c r="K110" s="39"/>
      <c r="L110" s="39"/>
      <c r="M110" s="39"/>
      <c r="N110" s="39"/>
      <c r="O110" s="39"/>
      <c r="P110" s="39"/>
      <c r="Q110" s="39"/>
      <c r="R110" s="39"/>
      <c r="S110" s="239"/>
      <c r="AE110" s="174"/>
    </row>
    <row r="111" ht="16.5" customHeight="1">
      <c r="C111" s="98"/>
      <c r="D111" s="98"/>
      <c r="E111" s="39"/>
      <c r="F111" s="39"/>
      <c r="G111" s="39"/>
      <c r="H111" s="39"/>
      <c r="I111" s="39"/>
      <c r="J111" s="39"/>
      <c r="K111" s="39"/>
      <c r="L111" s="39"/>
      <c r="M111" s="39"/>
      <c r="N111" s="39"/>
      <c r="O111" s="39"/>
      <c r="P111" s="39"/>
      <c r="Q111" s="39"/>
      <c r="R111" s="39"/>
      <c r="S111" s="239"/>
      <c r="AE111" s="174"/>
    </row>
    <row r="112" ht="16.5" customHeight="1">
      <c r="C112" s="98"/>
      <c r="D112" s="98"/>
      <c r="E112" s="39"/>
      <c r="F112" s="39"/>
      <c r="G112" s="39"/>
      <c r="H112" s="39"/>
      <c r="I112" s="39"/>
      <c r="J112" s="39"/>
      <c r="K112" s="39"/>
      <c r="L112" s="39"/>
      <c r="M112" s="39"/>
      <c r="N112" s="39"/>
      <c r="O112" s="39"/>
      <c r="P112" s="39"/>
      <c r="Q112" s="39"/>
      <c r="R112" s="39"/>
      <c r="S112" s="239"/>
      <c r="AE112" s="174"/>
    </row>
    <row r="113" ht="16.5" customHeight="1">
      <c r="C113" s="98"/>
      <c r="D113" s="98"/>
      <c r="E113" s="39"/>
      <c r="F113" s="39"/>
      <c r="G113" s="39"/>
      <c r="H113" s="39"/>
      <c r="I113" s="39"/>
      <c r="J113" s="39"/>
      <c r="K113" s="39"/>
      <c r="L113" s="39"/>
      <c r="M113" s="39"/>
      <c r="N113" s="39"/>
      <c r="O113" s="39"/>
      <c r="P113" s="39"/>
      <c r="Q113" s="39"/>
      <c r="R113" s="39"/>
      <c r="S113" s="239"/>
      <c r="AE113" s="174"/>
    </row>
    <row r="114" ht="16.5" customHeight="1">
      <c r="C114" s="98"/>
      <c r="D114" s="98"/>
      <c r="E114" s="39"/>
      <c r="F114" s="39"/>
      <c r="G114" s="39"/>
      <c r="H114" s="39"/>
      <c r="I114" s="39"/>
      <c r="J114" s="39"/>
      <c r="K114" s="39"/>
      <c r="L114" s="39"/>
      <c r="M114" s="39"/>
      <c r="N114" s="39"/>
      <c r="O114" s="39"/>
      <c r="P114" s="39"/>
      <c r="Q114" s="39"/>
      <c r="R114" s="39"/>
      <c r="S114" s="239"/>
      <c r="AE114" s="174"/>
    </row>
    <row r="115" ht="16.5" customHeight="1">
      <c r="C115" s="98"/>
      <c r="D115" s="98"/>
      <c r="E115" s="39"/>
      <c r="F115" s="39"/>
      <c r="G115" s="39"/>
      <c r="H115" s="39"/>
      <c r="I115" s="39"/>
      <c r="J115" s="39"/>
      <c r="K115" s="39"/>
      <c r="L115" s="39"/>
      <c r="M115" s="39"/>
      <c r="N115" s="39"/>
      <c r="O115" s="39"/>
      <c r="P115" s="39"/>
      <c r="Q115" s="39"/>
      <c r="R115" s="39"/>
      <c r="S115" s="239"/>
      <c r="AE115" s="174"/>
    </row>
    <row r="116" ht="16.5" customHeight="1">
      <c r="C116" s="98"/>
      <c r="D116" s="98"/>
      <c r="E116" s="39"/>
      <c r="F116" s="39"/>
      <c r="G116" s="39"/>
      <c r="H116" s="39"/>
      <c r="I116" s="39"/>
      <c r="J116" s="39"/>
      <c r="K116" s="39"/>
      <c r="L116" s="39"/>
      <c r="M116" s="39"/>
      <c r="N116" s="39"/>
      <c r="O116" s="39"/>
      <c r="P116" s="39"/>
      <c r="Q116" s="39"/>
      <c r="R116" s="39"/>
      <c r="S116" s="239"/>
      <c r="AE116" s="174"/>
    </row>
    <row r="117" ht="16.5" customHeight="1">
      <c r="C117" s="98"/>
      <c r="D117" s="98"/>
      <c r="E117" s="39"/>
      <c r="F117" s="39"/>
      <c r="G117" s="39"/>
      <c r="H117" s="39"/>
      <c r="I117" s="39"/>
      <c r="J117" s="39"/>
      <c r="K117" s="39"/>
      <c r="L117" s="39"/>
      <c r="M117" s="39"/>
      <c r="N117" s="39"/>
      <c r="O117" s="39"/>
      <c r="P117" s="39"/>
      <c r="Q117" s="39"/>
      <c r="R117" s="39"/>
      <c r="S117" s="239"/>
      <c r="AE117" s="174"/>
    </row>
    <row r="118" ht="16.5" customHeight="1">
      <c r="C118" s="98"/>
      <c r="D118" s="98"/>
      <c r="E118" s="39"/>
      <c r="F118" s="39"/>
      <c r="G118" s="39"/>
      <c r="H118" s="39"/>
      <c r="I118" s="39"/>
      <c r="J118" s="39"/>
      <c r="K118" s="39"/>
      <c r="L118" s="39"/>
      <c r="M118" s="39"/>
      <c r="N118" s="39"/>
      <c r="O118" s="39"/>
      <c r="P118" s="39"/>
      <c r="Q118" s="39"/>
      <c r="R118" s="39"/>
      <c r="S118" s="239"/>
      <c r="AE118" s="174"/>
    </row>
    <row r="119" ht="16.5" customHeight="1">
      <c r="C119" s="98"/>
      <c r="D119" s="98"/>
      <c r="E119" s="39"/>
      <c r="F119" s="39"/>
      <c r="G119" s="39"/>
      <c r="H119" s="39"/>
      <c r="I119" s="39"/>
      <c r="J119" s="39"/>
      <c r="K119" s="39"/>
      <c r="L119" s="39"/>
      <c r="M119" s="39"/>
      <c r="N119" s="39"/>
      <c r="O119" s="39"/>
      <c r="P119" s="39"/>
      <c r="Q119" s="39"/>
      <c r="R119" s="39"/>
      <c r="S119" s="239"/>
      <c r="AE119" s="174"/>
    </row>
    <row r="120" ht="16.5" customHeight="1">
      <c r="C120" s="98"/>
      <c r="D120" s="98"/>
      <c r="E120" s="39"/>
      <c r="F120" s="39"/>
      <c r="G120" s="39"/>
      <c r="H120" s="39"/>
      <c r="I120" s="39"/>
      <c r="J120" s="39"/>
      <c r="K120" s="39"/>
      <c r="L120" s="39"/>
      <c r="M120" s="39"/>
      <c r="N120" s="39"/>
      <c r="O120" s="39"/>
      <c r="P120" s="39"/>
      <c r="Q120" s="39"/>
      <c r="R120" s="39"/>
      <c r="S120" s="239"/>
      <c r="AE120" s="174"/>
    </row>
    <row r="121" ht="16.5" customHeight="1">
      <c r="C121" s="98"/>
      <c r="D121" s="98"/>
      <c r="E121" s="39"/>
      <c r="F121" s="39"/>
      <c r="G121" s="39"/>
      <c r="H121" s="39"/>
      <c r="I121" s="39"/>
      <c r="J121" s="39"/>
      <c r="K121" s="39"/>
      <c r="L121" s="39"/>
      <c r="M121" s="39"/>
      <c r="N121" s="39"/>
      <c r="O121" s="39"/>
      <c r="P121" s="39"/>
      <c r="Q121" s="39"/>
      <c r="R121" s="39"/>
      <c r="S121" s="239"/>
      <c r="AE121" s="174"/>
    </row>
    <row r="122" ht="16.5" customHeight="1">
      <c r="C122" s="98"/>
      <c r="D122" s="98"/>
      <c r="E122" s="39"/>
      <c r="F122" s="39"/>
      <c r="G122" s="39"/>
      <c r="H122" s="39"/>
      <c r="I122" s="39"/>
      <c r="J122" s="39"/>
      <c r="K122" s="39"/>
      <c r="L122" s="39"/>
      <c r="M122" s="39"/>
      <c r="N122" s="39"/>
      <c r="O122" s="39"/>
      <c r="P122" s="39"/>
      <c r="Q122" s="39"/>
      <c r="R122" s="39"/>
      <c r="S122" s="239"/>
      <c r="AE122" s="174"/>
    </row>
    <row r="123" ht="16.5" customHeight="1">
      <c r="C123" s="98"/>
      <c r="D123" s="98"/>
      <c r="E123" s="39"/>
      <c r="F123" s="39"/>
      <c r="G123" s="39"/>
      <c r="H123" s="39"/>
      <c r="I123" s="39"/>
      <c r="J123" s="39"/>
      <c r="K123" s="39"/>
      <c r="L123" s="39"/>
      <c r="M123" s="39"/>
      <c r="N123" s="39"/>
      <c r="O123" s="39"/>
      <c r="P123" s="39"/>
      <c r="Q123" s="39"/>
      <c r="R123" s="39"/>
      <c r="S123" s="239"/>
      <c r="AE123" s="174"/>
    </row>
    <row r="124" ht="16.5" customHeight="1">
      <c r="C124" s="98"/>
      <c r="D124" s="98"/>
      <c r="E124" s="39"/>
      <c r="F124" s="39"/>
      <c r="G124" s="39"/>
      <c r="H124" s="39"/>
      <c r="I124" s="39"/>
      <c r="J124" s="39"/>
      <c r="K124" s="39"/>
      <c r="L124" s="39"/>
      <c r="M124" s="39"/>
      <c r="N124" s="39"/>
      <c r="O124" s="39"/>
      <c r="P124" s="39"/>
      <c r="Q124" s="39"/>
      <c r="R124" s="39"/>
      <c r="S124" s="239"/>
      <c r="AE124" s="174"/>
    </row>
    <row r="125" ht="16.5" customHeight="1">
      <c r="C125" s="98"/>
      <c r="D125" s="98"/>
      <c r="E125" s="39"/>
      <c r="F125" s="39"/>
      <c r="G125" s="39"/>
      <c r="H125" s="39"/>
      <c r="I125" s="39"/>
      <c r="J125" s="39"/>
      <c r="K125" s="39"/>
      <c r="L125" s="39"/>
      <c r="M125" s="39"/>
      <c r="N125" s="39"/>
      <c r="O125" s="39"/>
      <c r="P125" s="39"/>
      <c r="Q125" s="39"/>
      <c r="R125" s="39"/>
      <c r="S125" s="239"/>
      <c r="AE125" s="174"/>
    </row>
    <row r="126" ht="16.5" customHeight="1">
      <c r="C126" s="98"/>
      <c r="D126" s="98"/>
      <c r="E126" s="39"/>
      <c r="F126" s="39"/>
      <c r="G126" s="39"/>
      <c r="H126" s="39"/>
      <c r="I126" s="39"/>
      <c r="J126" s="39"/>
      <c r="K126" s="39"/>
      <c r="L126" s="39"/>
      <c r="M126" s="39"/>
      <c r="N126" s="39"/>
      <c r="O126" s="39"/>
      <c r="P126" s="39"/>
      <c r="Q126" s="39"/>
      <c r="R126" s="39"/>
      <c r="S126" s="239"/>
      <c r="AE126" s="174"/>
    </row>
    <row r="127" ht="16.5" customHeight="1">
      <c r="C127" s="98"/>
      <c r="D127" s="98"/>
      <c r="E127" s="39"/>
      <c r="F127" s="39"/>
      <c r="G127" s="39"/>
      <c r="H127" s="39"/>
      <c r="I127" s="39"/>
      <c r="J127" s="39"/>
      <c r="K127" s="39"/>
      <c r="L127" s="39"/>
      <c r="M127" s="39"/>
      <c r="N127" s="39"/>
      <c r="O127" s="39"/>
      <c r="P127" s="39"/>
      <c r="Q127" s="39"/>
      <c r="R127" s="39"/>
      <c r="S127" s="239"/>
      <c r="AE127" s="174"/>
    </row>
    <row r="128" ht="16.5" customHeight="1">
      <c r="C128" s="98"/>
      <c r="D128" s="98"/>
      <c r="E128" s="39"/>
      <c r="F128" s="39"/>
      <c r="G128" s="39"/>
      <c r="H128" s="39"/>
      <c r="I128" s="39"/>
      <c r="J128" s="39"/>
      <c r="K128" s="39"/>
      <c r="L128" s="39"/>
      <c r="M128" s="39"/>
      <c r="N128" s="39"/>
      <c r="O128" s="39"/>
      <c r="P128" s="39"/>
      <c r="Q128" s="39"/>
      <c r="R128" s="39"/>
      <c r="S128" s="239"/>
      <c r="AE128" s="174"/>
    </row>
    <row r="129" ht="16.5" customHeight="1">
      <c r="C129" s="98"/>
      <c r="D129" s="98"/>
      <c r="E129" s="39"/>
      <c r="F129" s="39"/>
      <c r="G129" s="39"/>
      <c r="H129" s="39"/>
      <c r="I129" s="39"/>
      <c r="J129" s="39"/>
      <c r="K129" s="39"/>
      <c r="L129" s="39"/>
      <c r="M129" s="39"/>
      <c r="N129" s="39"/>
      <c r="O129" s="39"/>
      <c r="P129" s="39"/>
      <c r="Q129" s="39"/>
      <c r="R129" s="39"/>
      <c r="S129" s="239"/>
      <c r="AE129" s="174"/>
    </row>
    <row r="130" ht="16.5" customHeight="1">
      <c r="C130" s="98"/>
      <c r="D130" s="98"/>
      <c r="E130" s="39"/>
      <c r="F130" s="39"/>
      <c r="G130" s="39"/>
      <c r="H130" s="39"/>
      <c r="I130" s="39"/>
      <c r="J130" s="39"/>
      <c r="K130" s="39"/>
      <c r="L130" s="39"/>
      <c r="M130" s="39"/>
      <c r="N130" s="39"/>
      <c r="O130" s="39"/>
      <c r="P130" s="39"/>
      <c r="Q130" s="39"/>
      <c r="R130" s="39"/>
      <c r="S130" s="239"/>
      <c r="AE130" s="174"/>
    </row>
    <row r="131" ht="16.5" customHeight="1">
      <c r="C131" s="98"/>
      <c r="D131" s="98"/>
      <c r="E131" s="39"/>
      <c r="F131" s="39"/>
      <c r="G131" s="39"/>
      <c r="H131" s="39"/>
      <c r="I131" s="39"/>
      <c r="J131" s="39"/>
      <c r="K131" s="39"/>
      <c r="L131" s="39"/>
      <c r="M131" s="39"/>
      <c r="N131" s="39"/>
      <c r="O131" s="39"/>
      <c r="P131" s="39"/>
      <c r="Q131" s="39"/>
      <c r="R131" s="39"/>
      <c r="S131" s="239"/>
      <c r="AE131" s="174"/>
    </row>
    <row r="132" ht="16.5" customHeight="1">
      <c r="C132" s="98"/>
      <c r="D132" s="98"/>
      <c r="E132" s="39"/>
      <c r="F132" s="39"/>
      <c r="G132" s="39"/>
      <c r="H132" s="39"/>
      <c r="I132" s="39"/>
      <c r="J132" s="39"/>
      <c r="K132" s="39"/>
      <c r="L132" s="39"/>
      <c r="M132" s="39"/>
      <c r="N132" s="39"/>
      <c r="O132" s="39"/>
      <c r="P132" s="39"/>
      <c r="Q132" s="39"/>
      <c r="R132" s="39"/>
      <c r="S132" s="239"/>
      <c r="AE132" s="174"/>
    </row>
    <row r="133" ht="16.5" customHeight="1">
      <c r="C133" s="98"/>
      <c r="D133" s="98"/>
      <c r="E133" s="39"/>
      <c r="F133" s="39"/>
      <c r="G133" s="39"/>
      <c r="H133" s="39"/>
      <c r="I133" s="39"/>
      <c r="J133" s="39"/>
      <c r="K133" s="39"/>
      <c r="L133" s="39"/>
      <c r="M133" s="39"/>
      <c r="N133" s="39"/>
      <c r="O133" s="39"/>
      <c r="P133" s="39"/>
      <c r="Q133" s="39"/>
      <c r="R133" s="39"/>
      <c r="S133" s="239"/>
      <c r="AE133" s="174"/>
    </row>
    <row r="134" ht="16.5" customHeight="1">
      <c r="C134" s="98"/>
      <c r="D134" s="98"/>
      <c r="E134" s="39"/>
      <c r="F134" s="39"/>
      <c r="G134" s="39"/>
      <c r="H134" s="39"/>
      <c r="I134" s="39"/>
      <c r="J134" s="39"/>
      <c r="K134" s="39"/>
      <c r="L134" s="39"/>
      <c r="M134" s="39"/>
      <c r="N134" s="39"/>
      <c r="O134" s="39"/>
      <c r="P134" s="39"/>
      <c r="Q134" s="39"/>
      <c r="R134" s="39"/>
      <c r="S134" s="239"/>
      <c r="AE134" s="174"/>
    </row>
    <row r="135" ht="16.5" customHeight="1">
      <c r="C135" s="98"/>
      <c r="D135" s="98"/>
      <c r="E135" s="39"/>
      <c r="F135" s="39"/>
      <c r="G135" s="39"/>
      <c r="H135" s="39"/>
      <c r="I135" s="39"/>
      <c r="J135" s="39"/>
      <c r="K135" s="39"/>
      <c r="L135" s="39"/>
      <c r="M135" s="39"/>
      <c r="N135" s="39"/>
      <c r="O135" s="39"/>
      <c r="P135" s="39"/>
      <c r="Q135" s="39"/>
      <c r="R135" s="39"/>
      <c r="S135" s="239"/>
      <c r="AE135" s="174"/>
    </row>
    <row r="136" ht="16.5" customHeight="1">
      <c r="C136" s="98"/>
      <c r="D136" s="98"/>
      <c r="E136" s="39"/>
      <c r="F136" s="39"/>
      <c r="G136" s="39"/>
      <c r="H136" s="39"/>
      <c r="I136" s="39"/>
      <c r="J136" s="39"/>
      <c r="K136" s="39"/>
      <c r="L136" s="39"/>
      <c r="M136" s="39"/>
      <c r="N136" s="39"/>
      <c r="O136" s="39"/>
      <c r="P136" s="39"/>
      <c r="Q136" s="39"/>
      <c r="R136" s="39"/>
      <c r="S136" s="239"/>
      <c r="AE136" s="174"/>
    </row>
    <row r="137" ht="16.5" customHeight="1">
      <c r="C137" s="98"/>
      <c r="D137" s="98"/>
      <c r="E137" s="39"/>
      <c r="F137" s="39"/>
      <c r="G137" s="39"/>
      <c r="H137" s="39"/>
      <c r="I137" s="39"/>
      <c r="J137" s="39"/>
      <c r="K137" s="39"/>
      <c r="L137" s="39"/>
      <c r="M137" s="39"/>
      <c r="N137" s="39"/>
      <c r="O137" s="39"/>
      <c r="P137" s="39"/>
      <c r="Q137" s="39"/>
      <c r="R137" s="39"/>
      <c r="S137" s="239"/>
      <c r="AE137" s="174"/>
    </row>
    <row r="138" ht="16.5" customHeight="1">
      <c r="C138" s="98"/>
      <c r="D138" s="98"/>
      <c r="E138" s="39"/>
      <c r="F138" s="39"/>
      <c r="G138" s="39"/>
      <c r="H138" s="39"/>
      <c r="I138" s="39"/>
      <c r="J138" s="39"/>
      <c r="K138" s="39"/>
      <c r="L138" s="39"/>
      <c r="M138" s="39"/>
      <c r="N138" s="39"/>
      <c r="O138" s="39"/>
      <c r="P138" s="39"/>
      <c r="Q138" s="39"/>
      <c r="R138" s="39"/>
      <c r="S138" s="239"/>
      <c r="AE138" s="174"/>
    </row>
    <row r="139" ht="16.5" customHeight="1">
      <c r="C139" s="98"/>
      <c r="D139" s="98"/>
      <c r="E139" s="39"/>
      <c r="F139" s="39"/>
      <c r="G139" s="39"/>
      <c r="H139" s="39"/>
      <c r="I139" s="39"/>
      <c r="J139" s="39"/>
      <c r="K139" s="39"/>
      <c r="L139" s="39"/>
      <c r="M139" s="39"/>
      <c r="N139" s="39"/>
      <c r="O139" s="39"/>
      <c r="P139" s="39"/>
      <c r="Q139" s="39"/>
      <c r="R139" s="39"/>
      <c r="S139" s="239"/>
      <c r="AE139" s="174"/>
    </row>
    <row r="140" ht="16.5" customHeight="1">
      <c r="C140" s="98"/>
      <c r="D140" s="98"/>
      <c r="E140" s="39"/>
      <c r="F140" s="39"/>
      <c r="G140" s="39"/>
      <c r="H140" s="39"/>
      <c r="I140" s="39"/>
      <c r="J140" s="39"/>
      <c r="K140" s="39"/>
      <c r="L140" s="39"/>
      <c r="M140" s="39"/>
      <c r="N140" s="39"/>
      <c r="O140" s="39"/>
      <c r="P140" s="39"/>
      <c r="Q140" s="39"/>
      <c r="R140" s="39"/>
      <c r="S140" s="239"/>
      <c r="AE140" s="174"/>
    </row>
    <row r="141" ht="16.5" customHeight="1">
      <c r="C141" s="98"/>
      <c r="D141" s="98"/>
      <c r="E141" s="39"/>
      <c r="F141" s="39"/>
      <c r="G141" s="39"/>
      <c r="H141" s="39"/>
      <c r="I141" s="39"/>
      <c r="J141" s="39"/>
      <c r="K141" s="39"/>
      <c r="L141" s="39"/>
      <c r="M141" s="39"/>
      <c r="N141" s="39"/>
      <c r="O141" s="39"/>
      <c r="P141" s="39"/>
      <c r="Q141" s="39"/>
      <c r="R141" s="39"/>
      <c r="S141" s="239"/>
      <c r="AE141" s="174"/>
    </row>
    <row r="142" ht="16.5" customHeight="1">
      <c r="C142" s="98"/>
      <c r="D142" s="98"/>
      <c r="E142" s="39"/>
      <c r="F142" s="39"/>
      <c r="G142" s="39"/>
      <c r="H142" s="39"/>
      <c r="I142" s="39"/>
      <c r="J142" s="39"/>
      <c r="K142" s="39"/>
      <c r="L142" s="39"/>
      <c r="M142" s="39"/>
      <c r="N142" s="39"/>
      <c r="O142" s="39"/>
      <c r="P142" s="39"/>
      <c r="Q142" s="39"/>
      <c r="R142" s="39"/>
      <c r="S142" s="239"/>
      <c r="AE142" s="174"/>
    </row>
    <row r="143" ht="16.5" customHeight="1">
      <c r="C143" s="98"/>
      <c r="D143" s="98"/>
      <c r="E143" s="39"/>
      <c r="F143" s="39"/>
      <c r="G143" s="39"/>
      <c r="H143" s="39"/>
      <c r="I143" s="39"/>
      <c r="J143" s="39"/>
      <c r="K143" s="39"/>
      <c r="L143" s="39"/>
      <c r="M143" s="39"/>
      <c r="N143" s="39"/>
      <c r="O143" s="39"/>
      <c r="P143" s="39"/>
      <c r="Q143" s="39"/>
      <c r="R143" s="39"/>
      <c r="S143" s="239"/>
      <c r="AE143" s="174"/>
    </row>
    <row r="144" ht="16.5" customHeight="1">
      <c r="C144" s="98"/>
      <c r="D144" s="98"/>
      <c r="E144" s="39"/>
      <c r="F144" s="39"/>
      <c r="G144" s="39"/>
      <c r="H144" s="39"/>
      <c r="I144" s="39"/>
      <c r="J144" s="39"/>
      <c r="K144" s="39"/>
      <c r="L144" s="39"/>
      <c r="M144" s="39"/>
      <c r="N144" s="39"/>
      <c r="O144" s="39"/>
      <c r="P144" s="39"/>
      <c r="Q144" s="39"/>
      <c r="R144" s="39"/>
      <c r="S144" s="239"/>
      <c r="AE144" s="174"/>
    </row>
    <row r="145" ht="16.5" customHeight="1">
      <c r="C145" s="98"/>
      <c r="D145" s="98"/>
      <c r="E145" s="39"/>
      <c r="F145" s="39"/>
      <c r="G145" s="39"/>
      <c r="H145" s="39"/>
      <c r="I145" s="39"/>
      <c r="J145" s="39"/>
      <c r="K145" s="39"/>
      <c r="L145" s="39"/>
      <c r="M145" s="39"/>
      <c r="N145" s="39"/>
      <c r="O145" s="39"/>
      <c r="P145" s="39"/>
      <c r="Q145" s="39"/>
      <c r="R145" s="39"/>
      <c r="S145" s="239"/>
      <c r="AE145" s="174"/>
    </row>
    <row r="146" ht="16.5" customHeight="1">
      <c r="C146" s="98"/>
      <c r="D146" s="98"/>
      <c r="E146" s="39"/>
      <c r="F146" s="39"/>
      <c r="G146" s="39"/>
      <c r="H146" s="39"/>
      <c r="I146" s="39"/>
      <c r="J146" s="39"/>
      <c r="K146" s="39"/>
      <c r="L146" s="39"/>
      <c r="M146" s="39"/>
      <c r="N146" s="39"/>
      <c r="O146" s="39"/>
      <c r="P146" s="39"/>
      <c r="Q146" s="39"/>
      <c r="R146" s="39"/>
      <c r="S146" s="239"/>
      <c r="AE146" s="174"/>
    </row>
    <row r="147" ht="16.5" customHeight="1">
      <c r="C147" s="98"/>
      <c r="D147" s="98"/>
      <c r="E147" s="39"/>
      <c r="F147" s="39"/>
      <c r="G147" s="39"/>
      <c r="H147" s="39"/>
      <c r="I147" s="39"/>
      <c r="J147" s="39"/>
      <c r="K147" s="39"/>
      <c r="L147" s="39"/>
      <c r="M147" s="39"/>
      <c r="N147" s="39"/>
      <c r="O147" s="39"/>
      <c r="P147" s="39"/>
      <c r="Q147" s="39"/>
      <c r="R147" s="39"/>
      <c r="S147" s="239"/>
      <c r="AE147" s="174"/>
    </row>
    <row r="148" ht="16.5" customHeight="1">
      <c r="C148" s="98"/>
      <c r="D148" s="98"/>
      <c r="E148" s="39"/>
      <c r="F148" s="39"/>
      <c r="G148" s="39"/>
      <c r="H148" s="39"/>
      <c r="I148" s="39"/>
      <c r="J148" s="39"/>
      <c r="K148" s="39"/>
      <c r="L148" s="39"/>
      <c r="M148" s="39"/>
      <c r="N148" s="39"/>
      <c r="O148" s="39"/>
      <c r="P148" s="39"/>
      <c r="Q148" s="39"/>
      <c r="R148" s="39"/>
      <c r="S148" s="239"/>
      <c r="AE148" s="174"/>
    </row>
    <row r="149" ht="16.5" customHeight="1">
      <c r="C149" s="98"/>
      <c r="D149" s="98"/>
      <c r="E149" s="39"/>
      <c r="F149" s="39"/>
      <c r="G149" s="39"/>
      <c r="H149" s="39"/>
      <c r="I149" s="39"/>
      <c r="J149" s="39"/>
      <c r="K149" s="39"/>
      <c r="L149" s="39"/>
      <c r="M149" s="39"/>
      <c r="N149" s="39"/>
      <c r="O149" s="39"/>
      <c r="P149" s="39"/>
      <c r="Q149" s="39"/>
      <c r="R149" s="39"/>
      <c r="S149" s="239"/>
      <c r="AE149" s="174"/>
    </row>
    <row r="150" ht="16.5" customHeight="1">
      <c r="C150" s="98"/>
      <c r="D150" s="98"/>
      <c r="E150" s="39"/>
      <c r="F150" s="39"/>
      <c r="G150" s="39"/>
      <c r="H150" s="39"/>
      <c r="I150" s="39"/>
      <c r="J150" s="39"/>
      <c r="K150" s="39"/>
      <c r="L150" s="39"/>
      <c r="M150" s="39"/>
      <c r="N150" s="39"/>
      <c r="O150" s="39"/>
      <c r="P150" s="39"/>
      <c r="Q150" s="39"/>
      <c r="R150" s="39"/>
      <c r="S150" s="239"/>
      <c r="AE150" s="174"/>
    </row>
    <row r="151" ht="16.5" customHeight="1">
      <c r="C151" s="98"/>
      <c r="D151" s="98"/>
      <c r="E151" s="39"/>
      <c r="F151" s="39"/>
      <c r="G151" s="39"/>
      <c r="H151" s="39"/>
      <c r="I151" s="39"/>
      <c r="J151" s="39"/>
      <c r="K151" s="39"/>
      <c r="L151" s="39"/>
      <c r="M151" s="39"/>
      <c r="N151" s="39"/>
      <c r="O151" s="39"/>
      <c r="P151" s="39"/>
      <c r="Q151" s="39"/>
      <c r="R151" s="39"/>
      <c r="S151" s="239"/>
      <c r="AE151" s="174"/>
    </row>
    <row r="152" ht="16.5" customHeight="1">
      <c r="C152" s="98"/>
      <c r="D152" s="98"/>
      <c r="E152" s="39"/>
      <c r="F152" s="39"/>
      <c r="G152" s="39"/>
      <c r="H152" s="39"/>
      <c r="I152" s="39"/>
      <c r="J152" s="39"/>
      <c r="K152" s="39"/>
      <c r="L152" s="39"/>
      <c r="M152" s="39"/>
      <c r="N152" s="39"/>
      <c r="O152" s="39"/>
      <c r="P152" s="39"/>
      <c r="Q152" s="39"/>
      <c r="R152" s="39"/>
      <c r="S152" s="239"/>
      <c r="AE152" s="174"/>
    </row>
    <row r="153" ht="16.5" customHeight="1">
      <c r="C153" s="98"/>
      <c r="D153" s="98"/>
      <c r="E153" s="39"/>
      <c r="F153" s="39"/>
      <c r="G153" s="39"/>
      <c r="H153" s="39"/>
      <c r="I153" s="39"/>
      <c r="J153" s="39"/>
      <c r="K153" s="39"/>
      <c r="L153" s="39"/>
      <c r="M153" s="39"/>
      <c r="N153" s="39"/>
      <c r="O153" s="39"/>
      <c r="P153" s="39"/>
      <c r="Q153" s="39"/>
      <c r="R153" s="39"/>
      <c r="S153" s="239"/>
      <c r="AE153" s="174"/>
    </row>
    <row r="154" ht="16.5" customHeight="1">
      <c r="C154" s="98"/>
      <c r="D154" s="98"/>
      <c r="E154" s="39"/>
      <c r="F154" s="39"/>
      <c r="G154" s="39"/>
      <c r="H154" s="39"/>
      <c r="I154" s="39"/>
      <c r="J154" s="39"/>
      <c r="K154" s="39"/>
      <c r="L154" s="39"/>
      <c r="M154" s="39"/>
      <c r="N154" s="39"/>
      <c r="O154" s="39"/>
      <c r="P154" s="39"/>
      <c r="Q154" s="39"/>
      <c r="R154" s="39"/>
      <c r="S154" s="239"/>
      <c r="AE154" s="174"/>
    </row>
    <row r="155" ht="16.5" customHeight="1">
      <c r="C155" s="98"/>
      <c r="D155" s="98"/>
      <c r="E155" s="39"/>
      <c r="F155" s="39"/>
      <c r="G155" s="39"/>
      <c r="H155" s="39"/>
      <c r="I155" s="39"/>
      <c r="J155" s="39"/>
      <c r="K155" s="39"/>
      <c r="L155" s="39"/>
      <c r="M155" s="39"/>
      <c r="N155" s="39"/>
      <c r="O155" s="39"/>
      <c r="P155" s="39"/>
      <c r="Q155" s="39"/>
      <c r="R155" s="39"/>
      <c r="S155" s="239"/>
      <c r="AE155" s="174"/>
    </row>
    <row r="156" ht="16.5" customHeight="1">
      <c r="C156" s="98"/>
      <c r="D156" s="98"/>
      <c r="E156" s="39"/>
      <c r="F156" s="39"/>
      <c r="G156" s="39"/>
      <c r="H156" s="39"/>
      <c r="I156" s="39"/>
      <c r="J156" s="39"/>
      <c r="K156" s="39"/>
      <c r="L156" s="39"/>
      <c r="M156" s="39"/>
      <c r="N156" s="39"/>
      <c r="O156" s="39"/>
      <c r="P156" s="39"/>
      <c r="Q156" s="39"/>
      <c r="R156" s="39"/>
      <c r="S156" s="239"/>
      <c r="AE156" s="174"/>
    </row>
    <row r="157" ht="16.5" customHeight="1">
      <c r="C157" s="98"/>
      <c r="D157" s="98"/>
      <c r="E157" s="39"/>
      <c r="F157" s="39"/>
      <c r="G157" s="39"/>
      <c r="H157" s="39"/>
      <c r="I157" s="39"/>
      <c r="J157" s="39"/>
      <c r="K157" s="39"/>
      <c r="L157" s="39"/>
      <c r="M157" s="39"/>
      <c r="N157" s="39"/>
      <c r="O157" s="39"/>
      <c r="P157" s="39"/>
      <c r="Q157" s="39"/>
      <c r="R157" s="39"/>
      <c r="S157" s="239"/>
      <c r="AE157" s="174"/>
    </row>
    <row r="158" ht="16.5" customHeight="1">
      <c r="C158" s="98"/>
      <c r="D158" s="98"/>
      <c r="E158" s="39"/>
      <c r="F158" s="39"/>
      <c r="G158" s="39"/>
      <c r="H158" s="39"/>
      <c r="I158" s="39"/>
      <c r="J158" s="39"/>
      <c r="K158" s="39"/>
      <c r="L158" s="39"/>
      <c r="M158" s="39"/>
      <c r="N158" s="39"/>
      <c r="O158" s="39"/>
      <c r="P158" s="39"/>
      <c r="Q158" s="39"/>
      <c r="R158" s="39"/>
      <c r="S158" s="239"/>
      <c r="AE158" s="174"/>
    </row>
    <row r="159" ht="16.5" customHeight="1">
      <c r="C159" s="98"/>
      <c r="D159" s="98"/>
      <c r="E159" s="39"/>
      <c r="F159" s="39"/>
      <c r="G159" s="39"/>
      <c r="H159" s="39"/>
      <c r="I159" s="39"/>
      <c r="J159" s="39"/>
      <c r="K159" s="39"/>
      <c r="L159" s="39"/>
      <c r="M159" s="39"/>
      <c r="N159" s="39"/>
      <c r="O159" s="39"/>
      <c r="P159" s="39"/>
      <c r="Q159" s="39"/>
      <c r="R159" s="39"/>
      <c r="S159" s="239"/>
      <c r="AE159" s="174"/>
    </row>
    <row r="160" ht="16.5" customHeight="1">
      <c r="C160" s="98"/>
      <c r="D160" s="98"/>
      <c r="E160" s="39"/>
      <c r="F160" s="39"/>
      <c r="G160" s="39"/>
      <c r="H160" s="39"/>
      <c r="I160" s="39"/>
      <c r="J160" s="39"/>
      <c r="K160" s="39"/>
      <c r="L160" s="39"/>
      <c r="M160" s="39"/>
      <c r="N160" s="39"/>
      <c r="O160" s="39"/>
      <c r="P160" s="39"/>
      <c r="Q160" s="39"/>
      <c r="R160" s="39"/>
      <c r="S160" s="239"/>
      <c r="AE160" s="174"/>
    </row>
    <row r="161" ht="16.5" customHeight="1">
      <c r="C161" s="98"/>
      <c r="D161" s="98"/>
      <c r="E161" s="39"/>
      <c r="F161" s="39"/>
      <c r="G161" s="39"/>
      <c r="H161" s="39"/>
      <c r="I161" s="39"/>
      <c r="J161" s="39"/>
      <c r="K161" s="39"/>
      <c r="L161" s="39"/>
      <c r="M161" s="39"/>
      <c r="N161" s="39"/>
      <c r="O161" s="39"/>
      <c r="P161" s="39"/>
      <c r="Q161" s="39"/>
      <c r="R161" s="39"/>
      <c r="S161" s="239"/>
      <c r="AE161" s="174"/>
    </row>
    <row r="162" ht="16.5" customHeight="1">
      <c r="C162" s="98"/>
      <c r="D162" s="98"/>
      <c r="E162" s="39"/>
      <c r="F162" s="39"/>
      <c r="G162" s="39"/>
      <c r="H162" s="39"/>
      <c r="I162" s="39"/>
      <c r="J162" s="39"/>
      <c r="K162" s="39"/>
      <c r="L162" s="39"/>
      <c r="M162" s="39"/>
      <c r="N162" s="39"/>
      <c r="O162" s="39"/>
      <c r="P162" s="39"/>
      <c r="Q162" s="39"/>
      <c r="R162" s="39"/>
      <c r="S162" s="239"/>
      <c r="AE162" s="174"/>
    </row>
    <row r="163" ht="16.5" customHeight="1">
      <c r="C163" s="98"/>
      <c r="D163" s="98"/>
      <c r="E163" s="39"/>
      <c r="F163" s="39"/>
      <c r="G163" s="39"/>
      <c r="H163" s="39"/>
      <c r="I163" s="39"/>
      <c r="J163" s="39"/>
      <c r="K163" s="39"/>
      <c r="L163" s="39"/>
      <c r="M163" s="39"/>
      <c r="N163" s="39"/>
      <c r="O163" s="39"/>
      <c r="P163" s="39"/>
      <c r="Q163" s="39"/>
      <c r="R163" s="39"/>
      <c r="S163" s="239"/>
      <c r="AE163" s="174"/>
    </row>
    <row r="164" ht="16.5" customHeight="1">
      <c r="C164" s="98"/>
      <c r="D164" s="98"/>
      <c r="E164" s="39"/>
      <c r="F164" s="39"/>
      <c r="G164" s="39"/>
      <c r="H164" s="39"/>
      <c r="I164" s="39"/>
      <c r="J164" s="39"/>
      <c r="K164" s="39"/>
      <c r="L164" s="39"/>
      <c r="M164" s="39"/>
      <c r="N164" s="39"/>
      <c r="O164" s="39"/>
      <c r="P164" s="39"/>
      <c r="Q164" s="39"/>
      <c r="R164" s="39"/>
      <c r="S164" s="239"/>
      <c r="AE164" s="174"/>
    </row>
    <row r="165" ht="16.5" customHeight="1">
      <c r="C165" s="98"/>
      <c r="D165" s="98"/>
      <c r="E165" s="39"/>
      <c r="F165" s="39"/>
      <c r="G165" s="39"/>
      <c r="H165" s="39"/>
      <c r="I165" s="39"/>
      <c r="J165" s="39"/>
      <c r="K165" s="39"/>
      <c r="L165" s="39"/>
      <c r="M165" s="39"/>
      <c r="N165" s="39"/>
      <c r="O165" s="39"/>
      <c r="P165" s="39"/>
      <c r="Q165" s="39"/>
      <c r="R165" s="39"/>
      <c r="S165" s="239"/>
      <c r="AE165" s="174"/>
    </row>
    <row r="166" ht="16.5" customHeight="1">
      <c r="C166" s="98"/>
      <c r="D166" s="98"/>
      <c r="E166" s="39"/>
      <c r="F166" s="39"/>
      <c r="G166" s="39"/>
      <c r="H166" s="39"/>
      <c r="I166" s="39"/>
      <c r="J166" s="39"/>
      <c r="K166" s="39"/>
      <c r="L166" s="39"/>
      <c r="M166" s="39"/>
      <c r="N166" s="39"/>
      <c r="O166" s="39"/>
      <c r="P166" s="39"/>
      <c r="Q166" s="39"/>
      <c r="R166" s="39"/>
      <c r="S166" s="239"/>
      <c r="AE166" s="174"/>
    </row>
    <row r="167" ht="16.5" customHeight="1">
      <c r="C167" s="98"/>
      <c r="D167" s="98"/>
      <c r="E167" s="39"/>
      <c r="F167" s="39"/>
      <c r="G167" s="39"/>
      <c r="H167" s="39"/>
      <c r="I167" s="39"/>
      <c r="J167" s="39"/>
      <c r="K167" s="39"/>
      <c r="L167" s="39"/>
      <c r="M167" s="39"/>
      <c r="N167" s="39"/>
      <c r="O167" s="39"/>
      <c r="P167" s="39"/>
      <c r="Q167" s="39"/>
      <c r="R167" s="39"/>
      <c r="S167" s="239"/>
      <c r="AE167" s="174"/>
    </row>
    <row r="168" ht="16.5" customHeight="1">
      <c r="C168" s="98"/>
      <c r="D168" s="98"/>
      <c r="E168" s="39"/>
      <c r="F168" s="39"/>
      <c r="G168" s="39"/>
      <c r="H168" s="39"/>
      <c r="I168" s="39"/>
      <c r="J168" s="39"/>
      <c r="K168" s="39"/>
      <c r="L168" s="39"/>
      <c r="M168" s="39"/>
      <c r="N168" s="39"/>
      <c r="O168" s="39"/>
      <c r="P168" s="39"/>
      <c r="Q168" s="39"/>
      <c r="R168" s="39"/>
      <c r="S168" s="239"/>
      <c r="AE168" s="174"/>
    </row>
    <row r="169" ht="16.5" customHeight="1">
      <c r="C169" s="98"/>
      <c r="D169" s="98"/>
      <c r="E169" s="39"/>
      <c r="F169" s="39"/>
      <c r="G169" s="39"/>
      <c r="H169" s="39"/>
      <c r="I169" s="39"/>
      <c r="J169" s="39"/>
      <c r="K169" s="39"/>
      <c r="L169" s="39"/>
      <c r="M169" s="39"/>
      <c r="N169" s="39"/>
      <c r="O169" s="39"/>
      <c r="P169" s="39"/>
      <c r="Q169" s="39"/>
      <c r="R169" s="39"/>
      <c r="S169" s="239"/>
      <c r="AE169" s="174"/>
    </row>
    <row r="170" ht="16.5" customHeight="1">
      <c r="C170" s="98"/>
      <c r="D170" s="98"/>
      <c r="E170" s="39"/>
      <c r="F170" s="39"/>
      <c r="G170" s="39"/>
      <c r="H170" s="39"/>
      <c r="I170" s="39"/>
      <c r="J170" s="39"/>
      <c r="K170" s="39"/>
      <c r="L170" s="39"/>
      <c r="M170" s="39"/>
      <c r="N170" s="39"/>
      <c r="O170" s="39"/>
      <c r="P170" s="39"/>
      <c r="Q170" s="39"/>
      <c r="R170" s="39"/>
      <c r="S170" s="239"/>
      <c r="AE170" s="174"/>
    </row>
    <row r="171" ht="16.5" customHeight="1">
      <c r="C171" s="98"/>
      <c r="D171" s="98"/>
      <c r="E171" s="39"/>
      <c r="F171" s="39"/>
      <c r="G171" s="39"/>
      <c r="H171" s="39"/>
      <c r="I171" s="39"/>
      <c r="J171" s="39"/>
      <c r="K171" s="39"/>
      <c r="L171" s="39"/>
      <c r="M171" s="39"/>
      <c r="N171" s="39"/>
      <c r="O171" s="39"/>
      <c r="P171" s="39"/>
      <c r="Q171" s="39"/>
      <c r="R171" s="39"/>
      <c r="S171" s="239"/>
      <c r="AE171" s="174"/>
    </row>
    <row r="172" ht="16.5" customHeight="1">
      <c r="C172" s="98"/>
      <c r="D172" s="98"/>
      <c r="E172" s="39"/>
      <c r="F172" s="39"/>
      <c r="G172" s="39"/>
      <c r="H172" s="39"/>
      <c r="I172" s="39"/>
      <c r="J172" s="39"/>
      <c r="K172" s="39"/>
      <c r="L172" s="39"/>
      <c r="M172" s="39"/>
      <c r="N172" s="39"/>
      <c r="O172" s="39"/>
      <c r="P172" s="39"/>
      <c r="Q172" s="39"/>
      <c r="R172" s="39"/>
      <c r="S172" s="239"/>
      <c r="AE172" s="174"/>
    </row>
    <row r="173" ht="16.5" customHeight="1">
      <c r="C173" s="98"/>
      <c r="D173" s="98"/>
      <c r="E173" s="39"/>
      <c r="F173" s="39"/>
      <c r="G173" s="39"/>
      <c r="H173" s="39"/>
      <c r="I173" s="39"/>
      <c r="J173" s="39"/>
      <c r="K173" s="39"/>
      <c r="L173" s="39"/>
      <c r="M173" s="39"/>
      <c r="N173" s="39"/>
      <c r="O173" s="39"/>
      <c r="P173" s="39"/>
      <c r="Q173" s="39"/>
      <c r="R173" s="39"/>
      <c r="S173" s="239"/>
      <c r="AE173" s="174"/>
    </row>
    <row r="174" ht="16.5" customHeight="1">
      <c r="C174" s="98"/>
      <c r="D174" s="98"/>
      <c r="E174" s="39"/>
      <c r="F174" s="39"/>
      <c r="G174" s="39"/>
      <c r="H174" s="39"/>
      <c r="I174" s="39"/>
      <c r="J174" s="39"/>
      <c r="K174" s="39"/>
      <c r="L174" s="39"/>
      <c r="M174" s="39"/>
      <c r="N174" s="39"/>
      <c r="O174" s="39"/>
      <c r="P174" s="39"/>
      <c r="Q174" s="39"/>
      <c r="R174" s="39"/>
      <c r="S174" s="239"/>
      <c r="AE174" s="174"/>
    </row>
    <row r="175" ht="16.5" customHeight="1">
      <c r="C175" s="98"/>
      <c r="D175" s="98"/>
      <c r="E175" s="39"/>
      <c r="F175" s="39"/>
      <c r="G175" s="39"/>
      <c r="H175" s="39"/>
      <c r="I175" s="39"/>
      <c r="J175" s="39"/>
      <c r="K175" s="39"/>
      <c r="L175" s="39"/>
      <c r="M175" s="39"/>
      <c r="N175" s="39"/>
      <c r="O175" s="39"/>
      <c r="P175" s="39"/>
      <c r="Q175" s="39"/>
      <c r="R175" s="39"/>
      <c r="S175" s="239"/>
      <c r="AE175" s="174"/>
    </row>
    <row r="176" ht="16.5" customHeight="1">
      <c r="C176" s="98"/>
      <c r="D176" s="98"/>
      <c r="E176" s="39"/>
      <c r="F176" s="39"/>
      <c r="G176" s="39"/>
      <c r="H176" s="39"/>
      <c r="I176" s="39"/>
      <c r="J176" s="39"/>
      <c r="K176" s="39"/>
      <c r="L176" s="39"/>
      <c r="M176" s="39"/>
      <c r="N176" s="39"/>
      <c r="O176" s="39"/>
      <c r="P176" s="39"/>
      <c r="Q176" s="39"/>
      <c r="R176" s="39"/>
      <c r="S176" s="239"/>
      <c r="AE176" s="174"/>
    </row>
    <row r="177" ht="16.5" customHeight="1">
      <c r="C177" s="98"/>
      <c r="D177" s="98"/>
      <c r="E177" s="39"/>
      <c r="F177" s="39"/>
      <c r="G177" s="39"/>
      <c r="H177" s="39"/>
      <c r="I177" s="39"/>
      <c r="J177" s="39"/>
      <c r="K177" s="39"/>
      <c r="L177" s="39"/>
      <c r="M177" s="39"/>
      <c r="N177" s="39"/>
      <c r="O177" s="39"/>
      <c r="P177" s="39"/>
      <c r="Q177" s="39"/>
      <c r="R177" s="39"/>
      <c r="S177" s="239"/>
      <c r="AE177" s="174"/>
    </row>
    <row r="178" ht="16.5" customHeight="1">
      <c r="C178" s="98"/>
      <c r="D178" s="98"/>
      <c r="E178" s="39"/>
      <c r="F178" s="39"/>
      <c r="G178" s="39"/>
      <c r="H178" s="39"/>
      <c r="I178" s="39"/>
      <c r="J178" s="39"/>
      <c r="K178" s="39"/>
      <c r="L178" s="39"/>
      <c r="M178" s="39"/>
      <c r="N178" s="39"/>
      <c r="O178" s="39"/>
      <c r="P178" s="39"/>
      <c r="Q178" s="39"/>
      <c r="R178" s="39"/>
      <c r="S178" s="239"/>
      <c r="AE178" s="174"/>
    </row>
    <row r="179" ht="16.5" customHeight="1">
      <c r="C179" s="98"/>
      <c r="D179" s="98"/>
      <c r="E179" s="39"/>
      <c r="F179" s="39"/>
      <c r="G179" s="39"/>
      <c r="H179" s="39"/>
      <c r="I179" s="39"/>
      <c r="J179" s="39"/>
      <c r="K179" s="39"/>
      <c r="L179" s="39"/>
      <c r="M179" s="39"/>
      <c r="N179" s="39"/>
      <c r="O179" s="39"/>
      <c r="P179" s="39"/>
      <c r="Q179" s="39"/>
      <c r="R179" s="39"/>
      <c r="S179" s="239"/>
      <c r="AE179" s="174"/>
    </row>
    <row r="180" ht="16.5" customHeight="1">
      <c r="C180" s="98"/>
      <c r="D180" s="98"/>
      <c r="E180" s="39"/>
      <c r="F180" s="39"/>
      <c r="G180" s="39"/>
      <c r="H180" s="39"/>
      <c r="I180" s="39"/>
      <c r="J180" s="39"/>
      <c r="K180" s="39"/>
      <c r="L180" s="39"/>
      <c r="M180" s="39"/>
      <c r="N180" s="39"/>
      <c r="O180" s="39"/>
      <c r="P180" s="39"/>
      <c r="Q180" s="39"/>
      <c r="R180" s="39"/>
      <c r="S180" s="239"/>
      <c r="AE180" s="174"/>
    </row>
    <row r="181" ht="16.5" customHeight="1">
      <c r="C181" s="98"/>
      <c r="D181" s="98"/>
      <c r="E181" s="39"/>
      <c r="F181" s="39"/>
      <c r="G181" s="39"/>
      <c r="H181" s="39"/>
      <c r="I181" s="39"/>
      <c r="J181" s="39"/>
      <c r="K181" s="39"/>
      <c r="L181" s="39"/>
      <c r="M181" s="39"/>
      <c r="N181" s="39"/>
      <c r="O181" s="39"/>
      <c r="P181" s="39"/>
      <c r="Q181" s="39"/>
      <c r="R181" s="39"/>
      <c r="S181" s="239"/>
      <c r="AE181" s="174"/>
    </row>
    <row r="182" ht="16.5" customHeight="1">
      <c r="C182" s="98"/>
      <c r="D182" s="98"/>
      <c r="E182" s="39"/>
      <c r="F182" s="39"/>
      <c r="G182" s="39"/>
      <c r="H182" s="39"/>
      <c r="I182" s="39"/>
      <c r="J182" s="39"/>
      <c r="K182" s="39"/>
      <c r="L182" s="39"/>
      <c r="M182" s="39"/>
      <c r="N182" s="39"/>
      <c r="O182" s="39"/>
      <c r="P182" s="39"/>
      <c r="Q182" s="39"/>
      <c r="R182" s="39"/>
      <c r="S182" s="239"/>
      <c r="AE182" s="174"/>
    </row>
    <row r="183" ht="16.5" customHeight="1">
      <c r="C183" s="98"/>
      <c r="D183" s="98"/>
      <c r="E183" s="39"/>
      <c r="F183" s="39"/>
      <c r="G183" s="39"/>
      <c r="H183" s="39"/>
      <c r="I183" s="39"/>
      <c r="J183" s="39"/>
      <c r="K183" s="39"/>
      <c r="L183" s="39"/>
      <c r="M183" s="39"/>
      <c r="N183" s="39"/>
      <c r="O183" s="39"/>
      <c r="P183" s="39"/>
      <c r="Q183" s="39"/>
      <c r="R183" s="39"/>
      <c r="S183" s="239"/>
      <c r="AE183" s="174"/>
    </row>
    <row r="184" ht="16.5" customHeight="1">
      <c r="C184" s="98"/>
      <c r="D184" s="98"/>
      <c r="E184" s="39"/>
      <c r="F184" s="39"/>
      <c r="G184" s="39"/>
      <c r="H184" s="39"/>
      <c r="I184" s="39"/>
      <c r="J184" s="39"/>
      <c r="K184" s="39"/>
      <c r="L184" s="39"/>
      <c r="M184" s="39"/>
      <c r="N184" s="39"/>
      <c r="O184" s="39"/>
      <c r="P184" s="39"/>
      <c r="Q184" s="39"/>
      <c r="R184" s="39"/>
      <c r="S184" s="239"/>
      <c r="AE184" s="174"/>
    </row>
    <row r="185" ht="16.5" customHeight="1">
      <c r="C185" s="98"/>
      <c r="D185" s="98"/>
      <c r="E185" s="39"/>
      <c r="F185" s="39"/>
      <c r="G185" s="39"/>
      <c r="H185" s="39"/>
      <c r="I185" s="39"/>
      <c r="J185" s="39"/>
      <c r="K185" s="39"/>
      <c r="L185" s="39"/>
      <c r="M185" s="39"/>
      <c r="N185" s="39"/>
      <c r="O185" s="39"/>
      <c r="P185" s="39"/>
      <c r="Q185" s="39"/>
      <c r="R185" s="39"/>
      <c r="S185" s="239"/>
      <c r="AE185" s="174"/>
    </row>
    <row r="186" ht="16.5" customHeight="1">
      <c r="C186" s="98"/>
      <c r="D186" s="98"/>
      <c r="E186" s="39"/>
      <c r="F186" s="39"/>
      <c r="G186" s="39"/>
      <c r="H186" s="39"/>
      <c r="I186" s="39"/>
      <c r="J186" s="39"/>
      <c r="K186" s="39"/>
      <c r="L186" s="39"/>
      <c r="M186" s="39"/>
      <c r="N186" s="39"/>
      <c r="O186" s="39"/>
      <c r="P186" s="39"/>
      <c r="Q186" s="39"/>
      <c r="R186" s="39"/>
      <c r="S186" s="239"/>
      <c r="AE186" s="174"/>
    </row>
    <row r="187" ht="16.5" customHeight="1">
      <c r="C187" s="98"/>
      <c r="D187" s="98"/>
      <c r="E187" s="39"/>
      <c r="F187" s="39"/>
      <c r="G187" s="39"/>
      <c r="H187" s="39"/>
      <c r="I187" s="39"/>
      <c r="J187" s="39"/>
      <c r="K187" s="39"/>
      <c r="L187" s="39"/>
      <c r="M187" s="39"/>
      <c r="N187" s="39"/>
      <c r="O187" s="39"/>
      <c r="P187" s="39"/>
      <c r="Q187" s="39"/>
      <c r="R187" s="39"/>
      <c r="S187" s="239"/>
      <c r="AE187" s="174"/>
    </row>
    <row r="188" ht="16.5" customHeight="1">
      <c r="C188" s="98"/>
      <c r="D188" s="98"/>
      <c r="E188" s="39"/>
      <c r="F188" s="39"/>
      <c r="G188" s="39"/>
      <c r="H188" s="39"/>
      <c r="I188" s="39"/>
      <c r="J188" s="39"/>
      <c r="K188" s="39"/>
      <c r="L188" s="39"/>
      <c r="M188" s="39"/>
      <c r="N188" s="39"/>
      <c r="O188" s="39"/>
      <c r="P188" s="39"/>
      <c r="Q188" s="39"/>
      <c r="R188" s="39"/>
      <c r="S188" s="239"/>
      <c r="AE188" s="174"/>
    </row>
    <row r="189" ht="16.5" customHeight="1">
      <c r="C189" s="98"/>
      <c r="D189" s="98"/>
      <c r="E189" s="39"/>
      <c r="F189" s="39"/>
      <c r="G189" s="39"/>
      <c r="H189" s="39"/>
      <c r="I189" s="39"/>
      <c r="J189" s="39"/>
      <c r="K189" s="39"/>
      <c r="L189" s="39"/>
      <c r="M189" s="39"/>
      <c r="N189" s="39"/>
      <c r="O189" s="39"/>
      <c r="P189" s="39"/>
      <c r="Q189" s="39"/>
      <c r="R189" s="39"/>
      <c r="S189" s="239"/>
      <c r="AE189" s="174"/>
    </row>
    <row r="190" ht="16.5" customHeight="1">
      <c r="C190" s="98"/>
      <c r="D190" s="98"/>
      <c r="E190" s="39"/>
      <c r="F190" s="39"/>
      <c r="G190" s="39"/>
      <c r="H190" s="39"/>
      <c r="I190" s="39"/>
      <c r="J190" s="39"/>
      <c r="K190" s="39"/>
      <c r="L190" s="39"/>
      <c r="M190" s="39"/>
      <c r="N190" s="39"/>
      <c r="O190" s="39"/>
      <c r="P190" s="39"/>
      <c r="Q190" s="39"/>
      <c r="R190" s="39"/>
      <c r="S190" s="239"/>
      <c r="AE190" s="174"/>
    </row>
    <row r="191" ht="16.5" customHeight="1">
      <c r="C191" s="98"/>
      <c r="D191" s="98"/>
      <c r="E191" s="39"/>
      <c r="F191" s="39"/>
      <c r="G191" s="39"/>
      <c r="H191" s="39"/>
      <c r="I191" s="39"/>
      <c r="J191" s="39"/>
      <c r="K191" s="39"/>
      <c r="L191" s="39"/>
      <c r="M191" s="39"/>
      <c r="N191" s="39"/>
      <c r="O191" s="39"/>
      <c r="P191" s="39"/>
      <c r="Q191" s="39"/>
      <c r="R191" s="39"/>
      <c r="S191" s="239"/>
      <c r="AE191" s="174"/>
    </row>
    <row r="192" ht="16.5" customHeight="1">
      <c r="C192" s="98"/>
      <c r="D192" s="98"/>
      <c r="E192" s="39"/>
      <c r="F192" s="39"/>
      <c r="G192" s="39"/>
      <c r="H192" s="39"/>
      <c r="I192" s="39"/>
      <c r="J192" s="39"/>
      <c r="K192" s="39"/>
      <c r="L192" s="39"/>
      <c r="M192" s="39"/>
      <c r="N192" s="39"/>
      <c r="O192" s="39"/>
      <c r="P192" s="39"/>
      <c r="Q192" s="39"/>
      <c r="R192" s="39"/>
      <c r="S192" s="239"/>
      <c r="AE192" s="174"/>
    </row>
    <row r="193" ht="16.5" customHeight="1">
      <c r="C193" s="98"/>
      <c r="D193" s="98"/>
      <c r="E193" s="39"/>
      <c r="F193" s="39"/>
      <c r="G193" s="39"/>
      <c r="H193" s="39"/>
      <c r="I193" s="39"/>
      <c r="J193" s="39"/>
      <c r="K193" s="39"/>
      <c r="L193" s="39"/>
      <c r="M193" s="39"/>
      <c r="N193" s="39"/>
      <c r="O193" s="39"/>
      <c r="P193" s="39"/>
      <c r="Q193" s="39"/>
      <c r="R193" s="39"/>
      <c r="S193" s="239"/>
      <c r="AE193" s="174"/>
    </row>
    <row r="194" ht="16.5" customHeight="1">
      <c r="C194" s="98"/>
      <c r="D194" s="98"/>
      <c r="E194" s="39"/>
      <c r="F194" s="39"/>
      <c r="G194" s="39"/>
      <c r="H194" s="39"/>
      <c r="I194" s="39"/>
      <c r="J194" s="39"/>
      <c r="K194" s="39"/>
      <c r="L194" s="39"/>
      <c r="M194" s="39"/>
      <c r="N194" s="39"/>
      <c r="O194" s="39"/>
      <c r="P194" s="39"/>
      <c r="Q194" s="39"/>
      <c r="R194" s="39"/>
      <c r="S194" s="239"/>
      <c r="AE194" s="174"/>
    </row>
    <row r="195" ht="16.5" customHeight="1">
      <c r="C195" s="98"/>
      <c r="D195" s="98"/>
      <c r="E195" s="39"/>
      <c r="F195" s="39"/>
      <c r="G195" s="39"/>
      <c r="H195" s="39"/>
      <c r="I195" s="39"/>
      <c r="J195" s="39"/>
      <c r="K195" s="39"/>
      <c r="L195" s="39"/>
      <c r="M195" s="39"/>
      <c r="N195" s="39"/>
      <c r="O195" s="39"/>
      <c r="P195" s="39"/>
      <c r="Q195" s="39"/>
      <c r="R195" s="39"/>
      <c r="S195" s="239"/>
      <c r="AE195" s="174"/>
    </row>
    <row r="196" ht="16.5" customHeight="1">
      <c r="C196" s="98"/>
      <c r="D196" s="98"/>
      <c r="E196" s="39"/>
      <c r="F196" s="39"/>
      <c r="G196" s="39"/>
      <c r="H196" s="39"/>
      <c r="I196" s="39"/>
      <c r="J196" s="39"/>
      <c r="K196" s="39"/>
      <c r="L196" s="39"/>
      <c r="M196" s="39"/>
      <c r="N196" s="39"/>
      <c r="O196" s="39"/>
      <c r="P196" s="39"/>
      <c r="Q196" s="39"/>
      <c r="R196" s="39"/>
      <c r="S196" s="239"/>
      <c r="AE196" s="174"/>
    </row>
    <row r="197" ht="16.5" customHeight="1">
      <c r="C197" s="98"/>
      <c r="D197" s="98"/>
      <c r="E197" s="39"/>
      <c r="F197" s="39"/>
      <c r="G197" s="39"/>
      <c r="H197" s="39"/>
      <c r="I197" s="39"/>
      <c r="J197" s="39"/>
      <c r="K197" s="39"/>
      <c r="L197" s="39"/>
      <c r="M197" s="39"/>
      <c r="N197" s="39"/>
      <c r="O197" s="39"/>
      <c r="P197" s="39"/>
      <c r="Q197" s="39"/>
      <c r="R197" s="39"/>
      <c r="S197" s="239"/>
      <c r="AE197" s="174"/>
    </row>
    <row r="198" ht="16.5" customHeight="1">
      <c r="C198" s="98"/>
      <c r="D198" s="98"/>
      <c r="E198" s="39"/>
      <c r="F198" s="39"/>
      <c r="G198" s="39"/>
      <c r="H198" s="39"/>
      <c r="I198" s="39"/>
      <c r="J198" s="39"/>
      <c r="K198" s="39"/>
      <c r="L198" s="39"/>
      <c r="M198" s="39"/>
      <c r="N198" s="39"/>
      <c r="O198" s="39"/>
      <c r="P198" s="39"/>
      <c r="Q198" s="39"/>
      <c r="R198" s="39"/>
      <c r="S198" s="239"/>
      <c r="AE198" s="174"/>
    </row>
    <row r="199" ht="16.5" customHeight="1">
      <c r="C199" s="98"/>
      <c r="D199" s="98"/>
      <c r="E199" s="39"/>
      <c r="F199" s="39"/>
      <c r="G199" s="39"/>
      <c r="H199" s="39"/>
      <c r="I199" s="39"/>
      <c r="J199" s="39"/>
      <c r="K199" s="39"/>
      <c r="L199" s="39"/>
      <c r="M199" s="39"/>
      <c r="N199" s="39"/>
      <c r="O199" s="39"/>
      <c r="P199" s="39"/>
      <c r="Q199" s="39"/>
      <c r="R199" s="39"/>
      <c r="S199" s="239"/>
      <c r="AE199" s="174"/>
    </row>
    <row r="200" ht="16.5" customHeight="1">
      <c r="C200" s="98"/>
      <c r="D200" s="98"/>
      <c r="E200" s="39"/>
      <c r="F200" s="39"/>
      <c r="G200" s="39"/>
      <c r="H200" s="39"/>
      <c r="I200" s="39"/>
      <c r="J200" s="39"/>
      <c r="K200" s="39"/>
      <c r="L200" s="39"/>
      <c r="M200" s="39"/>
      <c r="N200" s="39"/>
      <c r="O200" s="39"/>
      <c r="P200" s="39"/>
      <c r="Q200" s="39"/>
      <c r="R200" s="39"/>
      <c r="S200" s="239"/>
      <c r="AE200" s="174"/>
    </row>
    <row r="201" ht="16.5" customHeight="1">
      <c r="C201" s="98"/>
      <c r="D201" s="98"/>
      <c r="E201" s="39"/>
      <c r="F201" s="39"/>
      <c r="G201" s="39"/>
      <c r="H201" s="39"/>
      <c r="I201" s="39"/>
      <c r="J201" s="39"/>
      <c r="K201" s="39"/>
      <c r="L201" s="39"/>
      <c r="M201" s="39"/>
      <c r="N201" s="39"/>
      <c r="O201" s="39"/>
      <c r="P201" s="39"/>
      <c r="Q201" s="39"/>
      <c r="R201" s="39"/>
      <c r="S201" s="239"/>
      <c r="AE201" s="174"/>
    </row>
    <row r="202" ht="16.5" customHeight="1">
      <c r="C202" s="98"/>
      <c r="D202" s="98"/>
      <c r="E202" s="39"/>
      <c r="F202" s="39"/>
      <c r="G202" s="39"/>
      <c r="H202" s="39"/>
      <c r="I202" s="39"/>
      <c r="J202" s="39"/>
      <c r="K202" s="39"/>
      <c r="L202" s="39"/>
      <c r="M202" s="39"/>
      <c r="N202" s="39"/>
      <c r="O202" s="39"/>
      <c r="P202" s="39"/>
      <c r="Q202" s="39"/>
      <c r="R202" s="39"/>
      <c r="S202" s="239"/>
      <c r="AE202" s="174"/>
    </row>
    <row r="203" ht="16.5" customHeight="1">
      <c r="C203" s="98"/>
      <c r="D203" s="98"/>
      <c r="E203" s="39"/>
      <c r="F203" s="39"/>
      <c r="G203" s="39"/>
      <c r="H203" s="39"/>
      <c r="I203" s="39"/>
      <c r="J203" s="39"/>
      <c r="K203" s="39"/>
      <c r="L203" s="39"/>
      <c r="M203" s="39"/>
      <c r="N203" s="39"/>
      <c r="O203" s="39"/>
      <c r="P203" s="39"/>
      <c r="Q203" s="39"/>
      <c r="R203" s="39"/>
      <c r="S203" s="239"/>
      <c r="AE203" s="174"/>
    </row>
    <row r="204" ht="16.5" customHeight="1">
      <c r="C204" s="98"/>
      <c r="D204" s="98"/>
      <c r="E204" s="39"/>
      <c r="F204" s="39"/>
      <c r="G204" s="39"/>
      <c r="H204" s="39"/>
      <c r="I204" s="39"/>
      <c r="J204" s="39"/>
      <c r="K204" s="39"/>
      <c r="L204" s="39"/>
      <c r="M204" s="39"/>
      <c r="N204" s="39"/>
      <c r="O204" s="39"/>
      <c r="P204" s="39"/>
      <c r="Q204" s="39"/>
      <c r="R204" s="39"/>
      <c r="S204" s="239"/>
      <c r="AE204" s="174"/>
    </row>
    <row r="205" ht="16.5" customHeight="1">
      <c r="C205" s="98"/>
      <c r="D205" s="98"/>
      <c r="E205" s="39"/>
      <c r="F205" s="39"/>
      <c r="G205" s="39"/>
      <c r="H205" s="39"/>
      <c r="I205" s="39"/>
      <c r="J205" s="39"/>
      <c r="K205" s="39"/>
      <c r="L205" s="39"/>
      <c r="M205" s="39"/>
      <c r="N205" s="39"/>
      <c r="O205" s="39"/>
      <c r="P205" s="39"/>
      <c r="Q205" s="39"/>
      <c r="R205" s="39"/>
      <c r="S205" s="239"/>
      <c r="AE205" s="174"/>
    </row>
    <row r="206" ht="16.5" customHeight="1">
      <c r="C206" s="98"/>
      <c r="D206" s="98"/>
      <c r="E206" s="39"/>
      <c r="F206" s="39"/>
      <c r="G206" s="39"/>
      <c r="H206" s="39"/>
      <c r="I206" s="39"/>
      <c r="J206" s="39"/>
      <c r="K206" s="39"/>
      <c r="L206" s="39"/>
      <c r="M206" s="39"/>
      <c r="N206" s="39"/>
      <c r="O206" s="39"/>
      <c r="P206" s="39"/>
      <c r="Q206" s="39"/>
      <c r="R206" s="39"/>
      <c r="S206" s="239"/>
      <c r="AE206" s="174"/>
    </row>
    <row r="207" ht="16.5" customHeight="1">
      <c r="C207" s="98"/>
      <c r="D207" s="98"/>
      <c r="E207" s="39"/>
      <c r="F207" s="39"/>
      <c r="G207" s="39"/>
      <c r="H207" s="39"/>
      <c r="I207" s="39"/>
      <c r="J207" s="39"/>
      <c r="K207" s="39"/>
      <c r="L207" s="39"/>
      <c r="M207" s="39"/>
      <c r="N207" s="39"/>
      <c r="O207" s="39"/>
      <c r="P207" s="39"/>
      <c r="Q207" s="39"/>
      <c r="R207" s="39"/>
      <c r="S207" s="239"/>
      <c r="AE207" s="174"/>
    </row>
    <row r="208" ht="16.5" customHeight="1">
      <c r="C208" s="98"/>
      <c r="D208" s="98"/>
      <c r="E208" s="39"/>
      <c r="F208" s="39"/>
      <c r="G208" s="39"/>
      <c r="H208" s="39"/>
      <c r="I208" s="39"/>
      <c r="J208" s="39"/>
      <c r="K208" s="39"/>
      <c r="L208" s="39"/>
      <c r="M208" s="39"/>
      <c r="N208" s="39"/>
      <c r="O208" s="39"/>
      <c r="P208" s="39"/>
      <c r="Q208" s="39"/>
      <c r="R208" s="39"/>
      <c r="S208" s="239"/>
      <c r="AE208" s="174"/>
    </row>
    <row r="209" ht="16.5" customHeight="1">
      <c r="C209" s="98"/>
      <c r="D209" s="98"/>
      <c r="E209" s="39"/>
      <c r="F209" s="39"/>
      <c r="G209" s="39"/>
      <c r="H209" s="39"/>
      <c r="I209" s="39"/>
      <c r="J209" s="39"/>
      <c r="K209" s="39"/>
      <c r="L209" s="39"/>
      <c r="M209" s="39"/>
      <c r="N209" s="39"/>
      <c r="O209" s="39"/>
      <c r="P209" s="39"/>
      <c r="Q209" s="39"/>
      <c r="R209" s="39"/>
      <c r="S209" s="239"/>
      <c r="AE209" s="174"/>
    </row>
    <row r="210" ht="16.5" customHeight="1">
      <c r="C210" s="98"/>
      <c r="D210" s="98"/>
      <c r="E210" s="39"/>
      <c r="F210" s="39"/>
      <c r="G210" s="39"/>
      <c r="H210" s="39"/>
      <c r="I210" s="39"/>
      <c r="J210" s="39"/>
      <c r="K210" s="39"/>
      <c r="L210" s="39"/>
      <c r="M210" s="39"/>
      <c r="N210" s="39"/>
      <c r="O210" s="39"/>
      <c r="P210" s="39"/>
      <c r="Q210" s="39"/>
      <c r="R210" s="39"/>
      <c r="S210" s="239"/>
      <c r="AE210" s="174"/>
    </row>
    <row r="211" ht="16.5" customHeight="1">
      <c r="C211" s="98"/>
      <c r="D211" s="98"/>
      <c r="E211" s="39"/>
      <c r="F211" s="39"/>
      <c r="G211" s="39"/>
      <c r="H211" s="39"/>
      <c r="I211" s="39"/>
      <c r="J211" s="39"/>
      <c r="K211" s="39"/>
      <c r="L211" s="39"/>
      <c r="M211" s="39"/>
      <c r="N211" s="39"/>
      <c r="O211" s="39"/>
      <c r="P211" s="39"/>
      <c r="Q211" s="39"/>
      <c r="R211" s="39"/>
      <c r="S211" s="239"/>
      <c r="AE211" s="174"/>
    </row>
    <row r="212" ht="16.5" customHeight="1">
      <c r="C212" s="98"/>
      <c r="D212" s="98"/>
      <c r="E212" s="39"/>
      <c r="F212" s="39"/>
      <c r="G212" s="39"/>
      <c r="H212" s="39"/>
      <c r="I212" s="39"/>
      <c r="J212" s="39"/>
      <c r="K212" s="39"/>
      <c r="L212" s="39"/>
      <c r="M212" s="39"/>
      <c r="N212" s="39"/>
      <c r="O212" s="39"/>
      <c r="P212" s="39"/>
      <c r="Q212" s="39"/>
      <c r="R212" s="39"/>
      <c r="S212" s="239"/>
      <c r="AE212" s="174"/>
    </row>
    <row r="213" ht="16.5" customHeight="1">
      <c r="C213" s="98"/>
      <c r="D213" s="98"/>
      <c r="E213" s="39"/>
      <c r="F213" s="39"/>
      <c r="G213" s="39"/>
      <c r="H213" s="39"/>
      <c r="I213" s="39"/>
      <c r="J213" s="39"/>
      <c r="K213" s="39"/>
      <c r="L213" s="39"/>
      <c r="M213" s="39"/>
      <c r="N213" s="39"/>
      <c r="O213" s="39"/>
      <c r="P213" s="39"/>
      <c r="Q213" s="39"/>
      <c r="R213" s="39"/>
      <c r="S213" s="239"/>
      <c r="AE213" s="174"/>
    </row>
    <row r="214" ht="16.5" customHeight="1">
      <c r="C214" s="98"/>
      <c r="D214" s="98"/>
      <c r="E214" s="39"/>
      <c r="F214" s="39"/>
      <c r="G214" s="39"/>
      <c r="H214" s="39"/>
      <c r="I214" s="39"/>
      <c r="J214" s="39"/>
      <c r="K214" s="39"/>
      <c r="L214" s="39"/>
      <c r="M214" s="39"/>
      <c r="N214" s="39"/>
      <c r="O214" s="39"/>
      <c r="P214" s="39"/>
      <c r="Q214" s="39"/>
      <c r="R214" s="39"/>
      <c r="S214" s="239"/>
      <c r="AE214" s="174"/>
    </row>
    <row r="215" ht="16.5" customHeight="1">
      <c r="C215" s="98"/>
      <c r="D215" s="98"/>
      <c r="E215" s="39"/>
      <c r="F215" s="39"/>
      <c r="G215" s="39"/>
      <c r="H215" s="39"/>
      <c r="I215" s="39"/>
      <c r="J215" s="39"/>
      <c r="K215" s="39"/>
      <c r="L215" s="39"/>
      <c r="M215" s="39"/>
      <c r="N215" s="39"/>
      <c r="O215" s="39"/>
      <c r="P215" s="39"/>
      <c r="Q215" s="39"/>
      <c r="R215" s="39"/>
      <c r="S215" s="239"/>
      <c r="AE215" s="174"/>
    </row>
    <row r="216" ht="16.5" customHeight="1">
      <c r="C216" s="98"/>
      <c r="D216" s="98"/>
      <c r="E216" s="39"/>
      <c r="F216" s="39"/>
      <c r="G216" s="39"/>
      <c r="H216" s="39"/>
      <c r="I216" s="39"/>
      <c r="J216" s="39"/>
      <c r="K216" s="39"/>
      <c r="L216" s="39"/>
      <c r="M216" s="39"/>
      <c r="N216" s="39"/>
      <c r="O216" s="39"/>
      <c r="P216" s="39"/>
      <c r="Q216" s="39"/>
      <c r="R216" s="39"/>
      <c r="S216" s="239"/>
      <c r="AE216" s="174"/>
    </row>
    <row r="217" ht="16.5" customHeight="1">
      <c r="C217" s="98"/>
      <c r="D217" s="98"/>
      <c r="E217" s="39"/>
      <c r="F217" s="39"/>
      <c r="G217" s="39"/>
      <c r="H217" s="39"/>
      <c r="I217" s="39"/>
      <c r="J217" s="39"/>
      <c r="K217" s="39"/>
      <c r="L217" s="39"/>
      <c r="M217" s="39"/>
      <c r="N217" s="39"/>
      <c r="O217" s="39"/>
      <c r="P217" s="39"/>
      <c r="Q217" s="39"/>
      <c r="R217" s="39"/>
      <c r="S217" s="239"/>
      <c r="AE217" s="174"/>
    </row>
    <row r="218" ht="16.5" customHeight="1">
      <c r="C218" s="98"/>
      <c r="D218" s="98"/>
      <c r="E218" s="39"/>
      <c r="F218" s="39"/>
      <c r="G218" s="39"/>
      <c r="H218" s="39"/>
      <c r="I218" s="39"/>
      <c r="J218" s="39"/>
      <c r="K218" s="39"/>
      <c r="L218" s="39"/>
      <c r="M218" s="39"/>
      <c r="N218" s="39"/>
      <c r="O218" s="39"/>
      <c r="P218" s="39"/>
      <c r="Q218" s="39"/>
      <c r="R218" s="39"/>
      <c r="S218" s="239"/>
      <c r="AE218" s="174"/>
    </row>
    <row r="219" ht="16.5" customHeight="1">
      <c r="C219" s="98"/>
      <c r="D219" s="98"/>
      <c r="E219" s="39"/>
      <c r="F219" s="39"/>
      <c r="G219" s="39"/>
      <c r="H219" s="39"/>
      <c r="I219" s="39"/>
      <c r="J219" s="39"/>
      <c r="K219" s="39"/>
      <c r="L219" s="39"/>
      <c r="M219" s="39"/>
      <c r="N219" s="39"/>
      <c r="O219" s="39"/>
      <c r="P219" s="39"/>
      <c r="Q219" s="39"/>
      <c r="R219" s="39"/>
      <c r="S219" s="239"/>
      <c r="AE219" s="174"/>
    </row>
    <row r="220" ht="16.5" customHeight="1">
      <c r="C220" s="98"/>
      <c r="D220" s="98"/>
      <c r="E220" s="39"/>
      <c r="F220" s="39"/>
      <c r="G220" s="39"/>
      <c r="H220" s="39"/>
      <c r="I220" s="39"/>
      <c r="J220" s="39"/>
      <c r="K220" s="39"/>
      <c r="L220" s="39"/>
      <c r="M220" s="39"/>
      <c r="N220" s="39"/>
      <c r="O220" s="39"/>
      <c r="P220" s="39"/>
      <c r="Q220" s="39"/>
      <c r="R220" s="39"/>
      <c r="S220" s="239"/>
      <c r="AE220" s="174"/>
    </row>
    <row r="221" ht="16.5" customHeight="1">
      <c r="C221" s="98"/>
      <c r="D221" s="98"/>
      <c r="E221" s="39"/>
      <c r="F221" s="39"/>
      <c r="G221" s="39"/>
      <c r="H221" s="39"/>
      <c r="I221" s="39"/>
      <c r="J221" s="39"/>
      <c r="K221" s="39"/>
      <c r="L221" s="39"/>
      <c r="M221" s="39"/>
      <c r="N221" s="39"/>
      <c r="O221" s="39"/>
      <c r="P221" s="39"/>
      <c r="Q221" s="39"/>
      <c r="R221" s="39"/>
      <c r="S221" s="239"/>
      <c r="AE221" s="174"/>
    </row>
    <row r="222" ht="16.5" customHeight="1">
      <c r="C222" s="98"/>
      <c r="D222" s="98"/>
      <c r="E222" s="39"/>
      <c r="F222" s="39"/>
      <c r="G222" s="39"/>
      <c r="H222" s="39"/>
      <c r="I222" s="39"/>
      <c r="J222" s="39"/>
      <c r="K222" s="39"/>
      <c r="L222" s="39"/>
      <c r="M222" s="39"/>
      <c r="N222" s="39"/>
      <c r="O222" s="39"/>
      <c r="P222" s="39"/>
      <c r="Q222" s="39"/>
      <c r="R222" s="39"/>
      <c r="S222" s="239"/>
      <c r="AE222" s="174"/>
    </row>
    <row r="223" ht="16.5" customHeight="1">
      <c r="C223" s="98"/>
      <c r="D223" s="98"/>
      <c r="E223" s="39"/>
      <c r="F223" s="39"/>
      <c r="G223" s="39"/>
      <c r="H223" s="39"/>
      <c r="I223" s="39"/>
      <c r="J223" s="39"/>
      <c r="K223" s="39"/>
      <c r="L223" s="39"/>
      <c r="M223" s="39"/>
      <c r="N223" s="39"/>
      <c r="O223" s="39"/>
      <c r="P223" s="39"/>
      <c r="Q223" s="39"/>
      <c r="R223" s="39"/>
      <c r="S223" s="239"/>
      <c r="AE223" s="174"/>
    </row>
    <row r="224" ht="16.5" customHeight="1">
      <c r="C224" s="98"/>
      <c r="D224" s="98"/>
      <c r="E224" s="39"/>
      <c r="F224" s="39"/>
      <c r="G224" s="39"/>
      <c r="H224" s="39"/>
      <c r="I224" s="39"/>
      <c r="J224" s="39"/>
      <c r="K224" s="39"/>
      <c r="L224" s="39"/>
      <c r="M224" s="39"/>
      <c r="N224" s="39"/>
      <c r="O224" s="39"/>
      <c r="P224" s="39"/>
      <c r="Q224" s="39"/>
      <c r="R224" s="39"/>
      <c r="S224" s="239"/>
      <c r="AE224" s="174"/>
    </row>
    <row r="225" ht="16.5" customHeight="1">
      <c r="C225" s="98"/>
      <c r="D225" s="98"/>
      <c r="E225" s="39"/>
      <c r="F225" s="39"/>
      <c r="G225" s="39"/>
      <c r="H225" s="39"/>
      <c r="I225" s="39"/>
      <c r="J225" s="39"/>
      <c r="K225" s="39"/>
      <c r="L225" s="39"/>
      <c r="M225" s="39"/>
      <c r="N225" s="39"/>
      <c r="O225" s="39"/>
      <c r="P225" s="39"/>
      <c r="Q225" s="39"/>
      <c r="R225" s="39"/>
      <c r="S225" s="239"/>
      <c r="AE225" s="174"/>
    </row>
    <row r="226" ht="16.5" customHeight="1">
      <c r="C226" s="98"/>
      <c r="D226" s="98"/>
      <c r="E226" s="39"/>
      <c r="F226" s="39"/>
      <c r="G226" s="39"/>
      <c r="H226" s="39"/>
      <c r="I226" s="39"/>
      <c r="J226" s="39"/>
      <c r="K226" s="39"/>
      <c r="L226" s="39"/>
      <c r="M226" s="39"/>
      <c r="N226" s="39"/>
      <c r="O226" s="39"/>
      <c r="P226" s="39"/>
      <c r="Q226" s="39"/>
      <c r="R226" s="39"/>
      <c r="S226" s="239"/>
      <c r="AE226" s="174"/>
    </row>
    <row r="227" ht="16.5" customHeight="1">
      <c r="C227" s="98"/>
      <c r="D227" s="98"/>
      <c r="E227" s="39"/>
      <c r="F227" s="39"/>
      <c r="G227" s="39"/>
      <c r="H227" s="39"/>
      <c r="I227" s="39"/>
      <c r="J227" s="39"/>
      <c r="K227" s="39"/>
      <c r="L227" s="39"/>
      <c r="M227" s="39"/>
      <c r="N227" s="39"/>
      <c r="O227" s="39"/>
      <c r="P227" s="39"/>
      <c r="Q227" s="39"/>
      <c r="R227" s="39"/>
      <c r="S227" s="239"/>
      <c r="AE227" s="174"/>
    </row>
    <row r="228" ht="16.5" customHeight="1">
      <c r="C228" s="98"/>
      <c r="D228" s="98"/>
      <c r="E228" s="39"/>
      <c r="F228" s="39"/>
      <c r="G228" s="39"/>
      <c r="H228" s="39"/>
      <c r="I228" s="39"/>
      <c r="J228" s="39"/>
      <c r="K228" s="39"/>
      <c r="L228" s="39"/>
      <c r="M228" s="39"/>
      <c r="N228" s="39"/>
      <c r="O228" s="39"/>
      <c r="P228" s="39"/>
      <c r="Q228" s="39"/>
      <c r="R228" s="39"/>
      <c r="S228" s="239"/>
      <c r="AE228" s="174"/>
    </row>
    <row r="229" ht="16.5" customHeight="1">
      <c r="C229" s="98"/>
      <c r="D229" s="98"/>
      <c r="E229" s="39"/>
      <c r="F229" s="39"/>
      <c r="G229" s="39"/>
      <c r="H229" s="39"/>
      <c r="I229" s="39"/>
      <c r="J229" s="39"/>
      <c r="K229" s="39"/>
      <c r="L229" s="39"/>
      <c r="M229" s="39"/>
      <c r="N229" s="39"/>
      <c r="O229" s="39"/>
      <c r="P229" s="39"/>
      <c r="Q229" s="39"/>
      <c r="R229" s="39"/>
      <c r="S229" s="239"/>
      <c r="AE229" s="174"/>
    </row>
    <row r="230" ht="16.5" customHeight="1">
      <c r="C230" s="98"/>
      <c r="D230" s="98"/>
      <c r="E230" s="39"/>
      <c r="F230" s="39"/>
      <c r="G230" s="39"/>
      <c r="H230" s="39"/>
      <c r="I230" s="39"/>
      <c r="J230" s="39"/>
      <c r="K230" s="39"/>
      <c r="L230" s="39"/>
      <c r="M230" s="39"/>
      <c r="N230" s="39"/>
      <c r="O230" s="39"/>
      <c r="P230" s="39"/>
      <c r="Q230" s="39"/>
      <c r="R230" s="39"/>
      <c r="S230" s="239"/>
      <c r="AE230" s="174"/>
    </row>
    <row r="231" ht="16.5" customHeight="1">
      <c r="C231" s="98"/>
      <c r="D231" s="98"/>
      <c r="E231" s="39"/>
      <c r="F231" s="39"/>
      <c r="G231" s="39"/>
      <c r="H231" s="39"/>
      <c r="I231" s="39"/>
      <c r="J231" s="39"/>
      <c r="K231" s="39"/>
      <c r="L231" s="39"/>
      <c r="M231" s="39"/>
      <c r="N231" s="39"/>
      <c r="O231" s="39"/>
      <c r="P231" s="39"/>
      <c r="Q231" s="39"/>
      <c r="R231" s="39"/>
      <c r="S231" s="239"/>
      <c r="AE231" s="174"/>
    </row>
    <row r="232" ht="16.5" customHeight="1">
      <c r="C232" s="98"/>
      <c r="D232" s="98"/>
      <c r="E232" s="39"/>
      <c r="F232" s="39"/>
      <c r="G232" s="39"/>
      <c r="H232" s="39"/>
      <c r="I232" s="39"/>
      <c r="J232" s="39"/>
      <c r="K232" s="39"/>
      <c r="L232" s="39"/>
      <c r="M232" s="39"/>
      <c r="N232" s="39"/>
      <c r="O232" s="39"/>
      <c r="P232" s="39"/>
      <c r="Q232" s="39"/>
      <c r="R232" s="39"/>
      <c r="S232" s="239"/>
      <c r="AE232" s="174"/>
    </row>
    <row r="233" ht="16.5" customHeight="1">
      <c r="C233" s="98"/>
      <c r="D233" s="98"/>
      <c r="E233" s="39"/>
      <c r="F233" s="39"/>
      <c r="G233" s="39"/>
      <c r="H233" s="39"/>
      <c r="I233" s="39"/>
      <c r="J233" s="39"/>
      <c r="K233" s="39"/>
      <c r="L233" s="39"/>
      <c r="M233" s="39"/>
      <c r="N233" s="39"/>
      <c r="O233" s="39"/>
      <c r="P233" s="39"/>
      <c r="Q233" s="39"/>
      <c r="R233" s="39"/>
      <c r="S233" s="239"/>
      <c r="AE233" s="174"/>
    </row>
    <row r="234" ht="16.5" customHeight="1">
      <c r="C234" s="98"/>
      <c r="D234" s="98"/>
      <c r="E234" s="39"/>
      <c r="F234" s="39"/>
      <c r="G234" s="39"/>
      <c r="H234" s="39"/>
      <c r="I234" s="39"/>
      <c r="J234" s="39"/>
      <c r="K234" s="39"/>
      <c r="L234" s="39"/>
      <c r="M234" s="39"/>
      <c r="N234" s="39"/>
      <c r="O234" s="39"/>
      <c r="P234" s="39"/>
      <c r="Q234" s="39"/>
      <c r="R234" s="39"/>
      <c r="S234" s="239"/>
      <c r="AE234" s="174"/>
    </row>
    <row r="235" ht="16.5" customHeight="1">
      <c r="C235" s="98"/>
      <c r="D235" s="98"/>
      <c r="E235" s="39"/>
      <c r="F235" s="39"/>
      <c r="G235" s="39"/>
      <c r="H235" s="39"/>
      <c r="I235" s="39"/>
      <c r="J235" s="39"/>
      <c r="K235" s="39"/>
      <c r="L235" s="39"/>
      <c r="M235" s="39"/>
      <c r="N235" s="39"/>
      <c r="O235" s="39"/>
      <c r="P235" s="39"/>
      <c r="Q235" s="39"/>
      <c r="R235" s="39"/>
      <c r="S235" s="239"/>
      <c r="AE235" s="174"/>
    </row>
    <row r="236" ht="16.5" customHeight="1">
      <c r="C236" s="98"/>
      <c r="D236" s="98"/>
      <c r="E236" s="39"/>
      <c r="F236" s="39"/>
      <c r="G236" s="39"/>
      <c r="H236" s="39"/>
      <c r="I236" s="39"/>
      <c r="J236" s="39"/>
      <c r="K236" s="39"/>
      <c r="L236" s="39"/>
      <c r="M236" s="39"/>
      <c r="N236" s="39"/>
      <c r="O236" s="39"/>
      <c r="P236" s="39"/>
      <c r="Q236" s="39"/>
      <c r="R236" s="39"/>
      <c r="S236" s="239"/>
      <c r="AE236" s="174"/>
    </row>
    <row r="237" ht="16.5" customHeight="1">
      <c r="C237" s="98"/>
      <c r="D237" s="98"/>
      <c r="E237" s="39"/>
      <c r="F237" s="39"/>
      <c r="G237" s="39"/>
      <c r="H237" s="39"/>
      <c r="I237" s="39"/>
      <c r="J237" s="39"/>
      <c r="K237" s="39"/>
      <c r="L237" s="39"/>
      <c r="M237" s="39"/>
      <c r="N237" s="39"/>
      <c r="O237" s="39"/>
      <c r="P237" s="39"/>
      <c r="Q237" s="39"/>
      <c r="R237" s="39"/>
      <c r="S237" s="239"/>
      <c r="AE237" s="174"/>
    </row>
    <row r="238" ht="16.5" customHeight="1">
      <c r="C238" s="98"/>
      <c r="D238" s="98"/>
      <c r="E238" s="39"/>
      <c r="F238" s="39"/>
      <c r="G238" s="39"/>
      <c r="H238" s="39"/>
      <c r="I238" s="39"/>
      <c r="J238" s="39"/>
      <c r="K238" s="39"/>
      <c r="L238" s="39"/>
      <c r="M238" s="39"/>
      <c r="N238" s="39"/>
      <c r="O238" s="39"/>
      <c r="P238" s="39"/>
      <c r="Q238" s="39"/>
      <c r="R238" s="39"/>
      <c r="S238" s="239"/>
      <c r="AE238" s="174"/>
    </row>
    <row r="239" ht="16.5" customHeight="1">
      <c r="S239" s="239"/>
      <c r="AE239" s="174"/>
    </row>
    <row r="240" ht="16.5" customHeight="1">
      <c r="S240" s="239"/>
      <c r="AE240" s="174"/>
    </row>
    <row r="241" ht="16.5" customHeight="1">
      <c r="S241" s="239"/>
      <c r="AE241" s="174"/>
    </row>
    <row r="242" ht="16.5" customHeight="1">
      <c r="S242" s="239"/>
      <c r="AE242" s="174"/>
    </row>
    <row r="243" ht="16.5" customHeight="1">
      <c r="S243" s="239"/>
      <c r="AE243" s="174"/>
    </row>
    <row r="244" ht="16.5" customHeight="1">
      <c r="S244" s="239"/>
      <c r="AE244" s="174"/>
    </row>
    <row r="245" ht="16.5" customHeight="1">
      <c r="S245" s="239"/>
      <c r="AE245" s="174"/>
    </row>
    <row r="246" ht="16.5" customHeight="1">
      <c r="S246" s="239"/>
      <c r="AE246" s="174"/>
    </row>
    <row r="247" ht="16.5" customHeight="1">
      <c r="S247" s="239"/>
      <c r="AE247" s="174"/>
    </row>
    <row r="248" ht="16.5" customHeight="1">
      <c r="S248" s="239"/>
      <c r="AE248" s="174"/>
    </row>
    <row r="249" ht="16.5" customHeight="1">
      <c r="S249" s="239"/>
      <c r="AE249" s="174"/>
    </row>
    <row r="250" ht="16.5" customHeight="1">
      <c r="S250" s="239"/>
      <c r="AE250" s="174"/>
    </row>
    <row r="251" ht="16.5" customHeight="1">
      <c r="S251" s="239"/>
      <c r="AE251" s="174"/>
    </row>
    <row r="252" ht="16.5" customHeight="1">
      <c r="S252" s="239"/>
      <c r="AE252" s="174"/>
    </row>
    <row r="253" ht="16.5" customHeight="1">
      <c r="S253" s="239"/>
      <c r="AE253" s="174"/>
    </row>
    <row r="254" ht="16.5" customHeight="1">
      <c r="S254" s="239"/>
      <c r="AE254" s="174"/>
    </row>
    <row r="255" ht="16.5" customHeight="1">
      <c r="S255" s="239"/>
      <c r="AE255" s="174"/>
    </row>
    <row r="256" ht="16.5" customHeight="1">
      <c r="S256" s="239"/>
      <c r="AE256" s="174"/>
    </row>
    <row r="257" ht="16.5" customHeight="1">
      <c r="S257" s="239"/>
      <c r="AE257" s="174"/>
    </row>
    <row r="258" ht="16.5" customHeight="1">
      <c r="S258" s="239"/>
      <c r="AE258" s="174"/>
    </row>
    <row r="259" ht="16.5" customHeight="1">
      <c r="S259" s="239"/>
      <c r="AE259" s="174"/>
    </row>
    <row r="260" ht="16.5" customHeight="1">
      <c r="S260" s="239"/>
      <c r="AE260" s="174"/>
    </row>
    <row r="261" ht="16.5" customHeight="1">
      <c r="S261" s="239"/>
      <c r="AE261" s="174"/>
    </row>
    <row r="262" ht="16.5" customHeight="1">
      <c r="S262" s="239"/>
      <c r="AE262" s="174"/>
    </row>
    <row r="263" ht="16.5" customHeight="1">
      <c r="S263" s="239"/>
      <c r="AE263" s="174"/>
    </row>
    <row r="264" ht="16.5" customHeight="1">
      <c r="S264" s="239"/>
      <c r="AE264" s="174"/>
    </row>
    <row r="265" ht="16.5" customHeight="1">
      <c r="S265" s="239"/>
      <c r="AE265" s="174"/>
    </row>
    <row r="266" ht="16.5" customHeight="1">
      <c r="S266" s="239"/>
      <c r="AE266" s="174"/>
    </row>
    <row r="267" ht="16.5" customHeight="1">
      <c r="S267" s="239"/>
      <c r="AE267" s="174"/>
    </row>
    <row r="268" ht="16.5" customHeight="1">
      <c r="S268" s="239"/>
      <c r="AE268" s="174"/>
    </row>
    <row r="269" ht="16.5" customHeight="1">
      <c r="S269" s="239"/>
      <c r="AE269" s="174"/>
    </row>
    <row r="270" ht="16.5" customHeight="1">
      <c r="S270" s="239"/>
      <c r="AE270" s="174"/>
    </row>
    <row r="271" ht="16.5" customHeight="1">
      <c r="S271" s="239"/>
      <c r="AE271" s="174"/>
    </row>
    <row r="272" ht="16.5" customHeight="1">
      <c r="S272" s="239"/>
      <c r="AE272" s="174"/>
    </row>
    <row r="273" ht="16.5" customHeight="1">
      <c r="S273" s="239"/>
      <c r="AE273" s="174"/>
    </row>
    <row r="274" ht="16.5" customHeight="1">
      <c r="S274" s="239"/>
      <c r="AE274" s="174"/>
    </row>
    <row r="275" ht="16.5" customHeight="1">
      <c r="S275" s="239"/>
      <c r="AE275" s="174"/>
    </row>
    <row r="276" ht="16.5" customHeight="1">
      <c r="S276" s="239"/>
      <c r="AE276" s="174"/>
    </row>
    <row r="277" ht="16.5" customHeight="1">
      <c r="S277" s="239"/>
      <c r="AE277" s="174"/>
    </row>
    <row r="278" ht="16.5" customHeight="1">
      <c r="S278" s="239"/>
      <c r="AE278" s="174"/>
    </row>
    <row r="279" ht="16.5" customHeight="1">
      <c r="S279" s="239"/>
      <c r="AE279" s="174"/>
    </row>
    <row r="280" ht="16.5" customHeight="1">
      <c r="S280" s="239"/>
      <c r="AE280" s="174"/>
    </row>
    <row r="281" ht="16.5" customHeight="1">
      <c r="S281" s="239"/>
      <c r="AE281" s="174"/>
    </row>
    <row r="282" ht="16.5" customHeight="1">
      <c r="S282" s="239"/>
      <c r="AE282" s="174"/>
    </row>
    <row r="283" ht="16.5" customHeight="1">
      <c r="S283" s="239"/>
      <c r="AE283" s="174"/>
    </row>
    <row r="284" ht="16.5" customHeight="1">
      <c r="S284" s="239"/>
      <c r="AE284" s="174"/>
    </row>
    <row r="285" ht="16.5" customHeight="1">
      <c r="S285" s="239"/>
      <c r="AE285" s="174"/>
    </row>
    <row r="286" ht="16.5" customHeight="1">
      <c r="S286" s="239"/>
      <c r="AE286" s="174"/>
    </row>
    <row r="287" ht="16.5" customHeight="1">
      <c r="S287" s="239"/>
      <c r="AE287" s="174"/>
    </row>
    <row r="288" ht="16.5" customHeight="1">
      <c r="S288" s="239"/>
      <c r="AE288" s="174"/>
    </row>
    <row r="289" ht="16.5" customHeight="1">
      <c r="S289" s="239"/>
      <c r="AE289" s="174"/>
    </row>
    <row r="290" ht="16.5" customHeight="1">
      <c r="S290" s="239"/>
      <c r="AE290" s="174"/>
    </row>
    <row r="291" ht="16.5" customHeight="1">
      <c r="S291" s="239"/>
      <c r="AE291" s="174"/>
    </row>
    <row r="292" ht="16.5" customHeight="1">
      <c r="S292" s="239"/>
      <c r="AE292" s="174"/>
    </row>
    <row r="293" ht="16.5" customHeight="1">
      <c r="S293" s="239"/>
      <c r="AE293" s="174"/>
    </row>
    <row r="294" ht="16.5" customHeight="1">
      <c r="S294" s="239"/>
      <c r="AE294" s="174"/>
    </row>
    <row r="295" ht="16.5" customHeight="1">
      <c r="S295" s="239"/>
      <c r="AE295" s="174"/>
    </row>
    <row r="296" ht="16.5" customHeight="1">
      <c r="S296" s="239"/>
      <c r="AE296" s="174"/>
    </row>
    <row r="297" ht="16.5" customHeight="1">
      <c r="S297" s="239"/>
      <c r="AE297" s="174"/>
    </row>
    <row r="298" ht="16.5" customHeight="1">
      <c r="S298" s="239"/>
      <c r="AE298" s="174"/>
    </row>
    <row r="299" ht="16.5" customHeight="1">
      <c r="S299" s="239"/>
      <c r="AE299" s="174"/>
    </row>
    <row r="300" ht="16.5" customHeight="1">
      <c r="S300" s="239"/>
      <c r="AE300" s="174"/>
    </row>
    <row r="301" ht="16.5" customHeight="1">
      <c r="S301" s="239"/>
      <c r="AE301" s="174"/>
    </row>
    <row r="302" ht="16.5" customHeight="1">
      <c r="S302" s="239"/>
      <c r="AE302" s="174"/>
    </row>
    <row r="303" ht="16.5" customHeight="1">
      <c r="S303" s="239"/>
      <c r="AE303" s="174"/>
    </row>
    <row r="304" ht="16.5" customHeight="1">
      <c r="S304" s="239"/>
      <c r="AE304" s="174"/>
    </row>
    <row r="305" ht="16.5" customHeight="1">
      <c r="S305" s="239"/>
      <c r="AE305" s="174"/>
    </row>
    <row r="306" ht="16.5" customHeight="1">
      <c r="S306" s="239"/>
      <c r="AE306" s="174"/>
    </row>
    <row r="307" ht="16.5" customHeight="1">
      <c r="S307" s="239"/>
      <c r="AE307" s="174"/>
    </row>
    <row r="308" ht="16.5" customHeight="1">
      <c r="S308" s="239"/>
      <c r="AE308" s="174"/>
    </row>
    <row r="309" ht="16.5" customHeight="1">
      <c r="S309" s="239"/>
      <c r="AE309" s="174"/>
    </row>
    <row r="310" ht="16.5" customHeight="1">
      <c r="S310" s="239"/>
      <c r="AE310" s="174"/>
    </row>
    <row r="311" ht="16.5" customHeight="1">
      <c r="S311" s="239"/>
      <c r="AE311" s="174"/>
    </row>
    <row r="312" ht="16.5" customHeight="1">
      <c r="S312" s="239"/>
      <c r="AE312" s="174"/>
    </row>
    <row r="313" ht="16.5" customHeight="1">
      <c r="S313" s="239"/>
      <c r="AE313" s="174"/>
    </row>
    <row r="314" ht="16.5" customHeight="1">
      <c r="S314" s="239"/>
      <c r="AE314" s="174"/>
    </row>
    <row r="315" ht="16.5" customHeight="1">
      <c r="S315" s="239"/>
      <c r="AE315" s="174"/>
    </row>
    <row r="316" ht="16.5" customHeight="1">
      <c r="S316" s="239"/>
      <c r="AE316" s="174"/>
    </row>
    <row r="317" ht="16.5" customHeight="1">
      <c r="S317" s="239"/>
      <c r="AE317" s="174"/>
    </row>
    <row r="318" ht="16.5" customHeight="1">
      <c r="S318" s="239"/>
      <c r="AE318" s="174"/>
    </row>
    <row r="319" ht="16.5" customHeight="1">
      <c r="S319" s="239"/>
      <c r="AE319" s="174"/>
    </row>
    <row r="320" ht="16.5" customHeight="1">
      <c r="S320" s="239"/>
      <c r="AE320" s="174"/>
    </row>
    <row r="321" ht="16.5" customHeight="1">
      <c r="S321" s="239"/>
      <c r="AE321" s="174"/>
    </row>
    <row r="322" ht="16.5" customHeight="1">
      <c r="S322" s="239"/>
      <c r="AE322" s="174"/>
    </row>
    <row r="323" ht="16.5" customHeight="1">
      <c r="S323" s="239"/>
      <c r="AE323" s="174"/>
    </row>
    <row r="324" ht="16.5" customHeight="1">
      <c r="S324" s="239"/>
      <c r="AE324" s="174"/>
    </row>
    <row r="325" ht="16.5" customHeight="1">
      <c r="S325" s="239"/>
      <c r="AE325" s="174"/>
    </row>
    <row r="326" ht="16.5" customHeight="1">
      <c r="S326" s="239"/>
      <c r="AE326" s="174"/>
    </row>
    <row r="327" ht="16.5" customHeight="1">
      <c r="S327" s="239"/>
      <c r="AE327" s="174"/>
    </row>
    <row r="328" ht="16.5" customHeight="1">
      <c r="S328" s="239"/>
      <c r="AE328" s="174"/>
    </row>
    <row r="329" ht="16.5" customHeight="1">
      <c r="S329" s="239"/>
      <c r="AE329" s="174"/>
    </row>
    <row r="330" ht="16.5" customHeight="1">
      <c r="S330" s="239"/>
      <c r="AE330" s="174"/>
    </row>
    <row r="331" ht="16.5" customHeight="1">
      <c r="S331" s="239"/>
      <c r="AE331" s="174"/>
    </row>
    <row r="332" ht="16.5" customHeight="1">
      <c r="S332" s="239"/>
      <c r="AE332" s="174"/>
    </row>
    <row r="333" ht="16.5" customHeight="1">
      <c r="S333" s="239"/>
      <c r="AE333" s="174"/>
    </row>
    <row r="334" ht="16.5" customHeight="1">
      <c r="S334" s="239"/>
      <c r="AE334" s="174"/>
    </row>
    <row r="335" ht="16.5" customHeight="1">
      <c r="S335" s="239"/>
      <c r="AE335" s="174"/>
    </row>
    <row r="336" ht="16.5" customHeight="1">
      <c r="S336" s="239"/>
      <c r="AE336" s="174"/>
    </row>
    <row r="337" ht="16.5" customHeight="1">
      <c r="S337" s="239"/>
      <c r="AE337" s="174"/>
    </row>
    <row r="338" ht="16.5" customHeight="1">
      <c r="S338" s="239"/>
      <c r="AE338" s="174"/>
    </row>
    <row r="339" ht="16.5" customHeight="1">
      <c r="S339" s="239"/>
      <c r="AE339" s="174"/>
    </row>
    <row r="340" ht="16.5" customHeight="1">
      <c r="S340" s="239"/>
      <c r="AE340" s="174"/>
    </row>
    <row r="341" ht="16.5" customHeight="1">
      <c r="S341" s="239"/>
      <c r="AE341" s="174"/>
    </row>
    <row r="342" ht="16.5" customHeight="1">
      <c r="S342" s="239"/>
      <c r="AE342" s="174"/>
    </row>
    <row r="343" ht="16.5" customHeight="1">
      <c r="S343" s="239"/>
      <c r="AE343" s="174"/>
    </row>
    <row r="344" ht="16.5" customHeight="1">
      <c r="S344" s="239"/>
      <c r="AE344" s="174"/>
    </row>
    <row r="345" ht="16.5" customHeight="1">
      <c r="S345" s="239"/>
      <c r="AE345" s="174"/>
    </row>
    <row r="346" ht="16.5" customHeight="1">
      <c r="S346" s="239"/>
      <c r="AE346" s="174"/>
    </row>
    <row r="347" ht="16.5" customHeight="1">
      <c r="S347" s="239"/>
      <c r="AE347" s="174"/>
    </row>
    <row r="348" ht="16.5" customHeight="1">
      <c r="S348" s="239"/>
      <c r="AE348" s="174"/>
    </row>
    <row r="349" ht="16.5" customHeight="1">
      <c r="S349" s="239"/>
      <c r="AE349" s="174"/>
    </row>
    <row r="350" ht="16.5" customHeight="1">
      <c r="S350" s="239"/>
      <c r="AE350" s="174"/>
    </row>
    <row r="351" ht="16.5" customHeight="1">
      <c r="S351" s="239"/>
      <c r="AE351" s="174"/>
    </row>
    <row r="352" ht="16.5" customHeight="1">
      <c r="S352" s="239"/>
      <c r="AE352" s="174"/>
    </row>
    <row r="353" ht="16.5" customHeight="1">
      <c r="S353" s="239"/>
      <c r="AE353" s="174"/>
    </row>
    <row r="354" ht="16.5" customHeight="1">
      <c r="S354" s="239"/>
      <c r="AE354" s="174"/>
    </row>
    <row r="355" ht="16.5" customHeight="1">
      <c r="S355" s="239"/>
      <c r="AE355" s="174"/>
    </row>
    <row r="356" ht="16.5" customHeight="1">
      <c r="S356" s="239"/>
      <c r="AE356" s="174"/>
    </row>
    <row r="357" ht="16.5" customHeight="1">
      <c r="S357" s="239"/>
      <c r="AE357" s="174"/>
    </row>
    <row r="358" ht="16.5" customHeight="1">
      <c r="S358" s="239"/>
      <c r="AE358" s="174"/>
    </row>
    <row r="359" ht="16.5" customHeight="1">
      <c r="S359" s="239"/>
      <c r="AE359" s="174"/>
    </row>
    <row r="360" ht="16.5" customHeight="1">
      <c r="S360" s="239"/>
      <c r="AE360" s="174"/>
    </row>
    <row r="361" ht="16.5" customHeight="1">
      <c r="S361" s="239"/>
      <c r="AE361" s="174"/>
    </row>
    <row r="362" ht="16.5" customHeight="1">
      <c r="S362" s="239"/>
      <c r="AE362" s="174"/>
    </row>
    <row r="363" ht="16.5" customHeight="1">
      <c r="S363" s="239"/>
      <c r="AE363" s="174"/>
    </row>
    <row r="364" ht="16.5" customHeight="1">
      <c r="S364" s="239"/>
      <c r="AE364" s="174"/>
    </row>
    <row r="365" ht="16.5" customHeight="1">
      <c r="S365" s="239"/>
      <c r="AE365" s="174"/>
    </row>
    <row r="366" ht="16.5" customHeight="1">
      <c r="S366" s="239"/>
      <c r="AE366" s="174"/>
    </row>
    <row r="367" ht="16.5" customHeight="1">
      <c r="S367" s="239"/>
      <c r="AE367" s="174"/>
    </row>
    <row r="368" ht="16.5" customHeight="1">
      <c r="S368" s="239"/>
      <c r="AE368" s="174"/>
    </row>
    <row r="369" ht="16.5" customHeight="1">
      <c r="S369" s="239"/>
      <c r="AE369" s="174"/>
    </row>
    <row r="370" ht="16.5" customHeight="1">
      <c r="S370" s="239"/>
      <c r="AE370" s="174"/>
    </row>
    <row r="371" ht="16.5" customHeight="1">
      <c r="S371" s="239"/>
      <c r="AE371" s="174"/>
    </row>
    <row r="372" ht="16.5" customHeight="1">
      <c r="S372" s="239"/>
      <c r="AE372" s="174"/>
    </row>
    <row r="373" ht="16.5" customHeight="1">
      <c r="S373" s="239"/>
      <c r="AE373" s="174"/>
    </row>
    <row r="374" ht="16.5" customHeight="1">
      <c r="S374" s="239"/>
      <c r="AE374" s="174"/>
    </row>
    <row r="375" ht="16.5" customHeight="1">
      <c r="S375" s="239"/>
      <c r="AE375" s="174"/>
    </row>
    <row r="376" ht="16.5" customHeight="1">
      <c r="S376" s="239"/>
      <c r="AE376" s="174"/>
    </row>
    <row r="377" ht="16.5" customHeight="1">
      <c r="S377" s="239"/>
      <c r="AE377" s="174"/>
    </row>
    <row r="378" ht="16.5" customHeight="1">
      <c r="S378" s="239"/>
      <c r="AE378" s="174"/>
    </row>
    <row r="379" ht="16.5" customHeight="1">
      <c r="S379" s="239"/>
      <c r="AE379" s="174"/>
    </row>
    <row r="380" ht="16.5" customHeight="1">
      <c r="S380" s="239"/>
      <c r="AE380" s="174"/>
    </row>
    <row r="381" ht="16.5" customHeight="1">
      <c r="S381" s="239"/>
      <c r="AE381" s="174"/>
    </row>
    <row r="382" ht="16.5" customHeight="1">
      <c r="S382" s="239"/>
      <c r="AE382" s="174"/>
    </row>
    <row r="383" ht="16.5" customHeight="1">
      <c r="S383" s="239"/>
      <c r="AE383" s="174"/>
    </row>
    <row r="384" ht="16.5" customHeight="1">
      <c r="S384" s="239"/>
      <c r="AE384" s="174"/>
    </row>
    <row r="385" ht="16.5" customHeight="1">
      <c r="S385" s="239"/>
      <c r="AE385" s="174"/>
    </row>
    <row r="386" ht="16.5" customHeight="1">
      <c r="S386" s="239"/>
      <c r="AE386" s="174"/>
    </row>
    <row r="387" ht="16.5" customHeight="1">
      <c r="S387" s="239"/>
      <c r="AE387" s="174"/>
    </row>
    <row r="388" ht="16.5" customHeight="1">
      <c r="S388" s="239"/>
      <c r="AE388" s="174"/>
    </row>
    <row r="389" ht="16.5" customHeight="1">
      <c r="S389" s="239"/>
      <c r="AE389" s="174"/>
    </row>
    <row r="390" ht="16.5" customHeight="1">
      <c r="S390" s="239"/>
      <c r="AE390" s="174"/>
    </row>
    <row r="391" ht="16.5" customHeight="1">
      <c r="S391" s="239"/>
      <c r="AE391" s="174"/>
    </row>
    <row r="392" ht="16.5" customHeight="1">
      <c r="S392" s="239"/>
      <c r="AE392" s="174"/>
    </row>
    <row r="393" ht="16.5" customHeight="1">
      <c r="S393" s="239"/>
      <c r="AE393" s="174"/>
    </row>
    <row r="394" ht="16.5" customHeight="1">
      <c r="S394" s="239"/>
      <c r="AE394" s="174"/>
    </row>
    <row r="395" ht="16.5" customHeight="1">
      <c r="S395" s="239"/>
      <c r="AE395" s="174"/>
    </row>
    <row r="396" ht="16.5" customHeight="1">
      <c r="S396" s="239"/>
      <c r="AE396" s="174"/>
    </row>
    <row r="397" ht="16.5" customHeight="1">
      <c r="S397" s="239"/>
      <c r="AE397" s="174"/>
    </row>
    <row r="398" ht="16.5" customHeight="1">
      <c r="S398" s="239"/>
      <c r="AE398" s="174"/>
    </row>
    <row r="399" ht="16.5" customHeight="1">
      <c r="S399" s="239"/>
      <c r="AE399" s="174"/>
    </row>
    <row r="400" ht="16.5" customHeight="1">
      <c r="S400" s="239"/>
      <c r="AE400" s="174"/>
    </row>
    <row r="401" ht="16.5" customHeight="1">
      <c r="S401" s="239"/>
      <c r="AE401" s="174"/>
    </row>
    <row r="402" ht="16.5" customHeight="1">
      <c r="S402" s="239"/>
      <c r="AE402" s="174"/>
    </row>
    <row r="403" ht="16.5" customHeight="1">
      <c r="S403" s="239"/>
      <c r="AE403" s="174"/>
    </row>
    <row r="404" ht="16.5" customHeight="1">
      <c r="S404" s="239"/>
      <c r="AE404" s="174"/>
    </row>
    <row r="405" ht="16.5" customHeight="1">
      <c r="S405" s="239"/>
      <c r="AE405" s="174"/>
    </row>
    <row r="406" ht="16.5" customHeight="1">
      <c r="S406" s="239"/>
      <c r="AE406" s="174"/>
    </row>
    <row r="407" ht="16.5" customHeight="1">
      <c r="S407" s="239"/>
      <c r="AE407" s="174"/>
    </row>
    <row r="408" ht="16.5" customHeight="1">
      <c r="S408" s="239"/>
      <c r="AE408" s="174"/>
    </row>
    <row r="409" ht="16.5" customHeight="1">
      <c r="S409" s="239"/>
      <c r="AE409" s="174"/>
    </row>
    <row r="410" ht="16.5" customHeight="1">
      <c r="S410" s="239"/>
      <c r="AE410" s="174"/>
    </row>
    <row r="411" ht="16.5" customHeight="1">
      <c r="S411" s="239"/>
      <c r="AE411" s="174"/>
    </row>
    <row r="412" ht="16.5" customHeight="1">
      <c r="S412" s="239"/>
      <c r="AE412" s="174"/>
    </row>
    <row r="413" ht="16.5" customHeight="1">
      <c r="S413" s="239"/>
      <c r="AE413" s="174"/>
    </row>
    <row r="414" ht="16.5" customHeight="1">
      <c r="S414" s="239"/>
      <c r="AE414" s="174"/>
    </row>
    <row r="415" ht="16.5" customHeight="1">
      <c r="S415" s="239"/>
      <c r="AE415" s="174"/>
    </row>
    <row r="416" ht="16.5" customHeight="1">
      <c r="S416" s="239"/>
      <c r="AE416" s="174"/>
    </row>
    <row r="417" ht="16.5" customHeight="1">
      <c r="S417" s="239"/>
      <c r="AE417" s="174"/>
    </row>
    <row r="418" ht="16.5" customHeight="1">
      <c r="S418" s="239"/>
      <c r="AE418" s="174"/>
    </row>
    <row r="419" ht="16.5" customHeight="1">
      <c r="S419" s="239"/>
      <c r="AE419" s="174"/>
    </row>
    <row r="420" ht="16.5" customHeight="1">
      <c r="S420" s="239"/>
      <c r="AE420" s="174"/>
    </row>
    <row r="421" ht="16.5" customHeight="1">
      <c r="S421" s="239"/>
      <c r="AE421" s="174"/>
    </row>
    <row r="422" ht="16.5" customHeight="1">
      <c r="S422" s="239"/>
      <c r="AE422" s="174"/>
    </row>
    <row r="423" ht="16.5" customHeight="1">
      <c r="S423" s="239"/>
      <c r="AE423" s="174"/>
    </row>
    <row r="424" ht="16.5" customHeight="1">
      <c r="S424" s="239"/>
      <c r="AE424" s="174"/>
    </row>
    <row r="425" ht="16.5" customHeight="1">
      <c r="S425" s="239"/>
      <c r="AE425" s="174"/>
    </row>
    <row r="426" ht="16.5" customHeight="1">
      <c r="S426" s="239"/>
      <c r="AE426" s="174"/>
    </row>
    <row r="427" ht="16.5" customHeight="1">
      <c r="S427" s="239"/>
      <c r="AE427" s="174"/>
    </row>
    <row r="428" ht="16.5" customHeight="1">
      <c r="S428" s="239"/>
      <c r="AE428" s="174"/>
    </row>
    <row r="429" ht="16.5" customHeight="1">
      <c r="S429" s="239"/>
      <c r="AE429" s="174"/>
    </row>
    <row r="430" ht="16.5" customHeight="1">
      <c r="S430" s="239"/>
      <c r="AE430" s="174"/>
    </row>
    <row r="431" ht="16.5" customHeight="1">
      <c r="S431" s="239"/>
      <c r="AE431" s="174"/>
    </row>
    <row r="432" ht="16.5" customHeight="1">
      <c r="S432" s="239"/>
      <c r="AE432" s="174"/>
    </row>
    <row r="433" ht="16.5" customHeight="1">
      <c r="S433" s="239"/>
      <c r="AE433" s="174"/>
    </row>
    <row r="434" ht="16.5" customHeight="1">
      <c r="S434" s="239"/>
      <c r="AE434" s="174"/>
    </row>
    <row r="435" ht="16.5" customHeight="1">
      <c r="S435" s="239"/>
      <c r="AE435" s="174"/>
    </row>
    <row r="436" ht="16.5" customHeight="1">
      <c r="S436" s="239"/>
      <c r="AE436" s="174"/>
    </row>
    <row r="437" ht="16.5" customHeight="1">
      <c r="S437" s="239"/>
      <c r="AE437" s="174"/>
    </row>
    <row r="438" ht="16.5" customHeight="1">
      <c r="S438" s="239"/>
      <c r="AE438" s="174"/>
    </row>
    <row r="439" ht="16.5" customHeight="1">
      <c r="S439" s="239"/>
      <c r="AE439" s="174"/>
    </row>
    <row r="440" ht="16.5" customHeight="1">
      <c r="S440" s="239"/>
      <c r="AE440" s="174"/>
    </row>
    <row r="441" ht="16.5" customHeight="1">
      <c r="S441" s="239"/>
      <c r="AE441" s="174"/>
    </row>
    <row r="442" ht="16.5" customHeight="1">
      <c r="S442" s="239"/>
      <c r="AE442" s="174"/>
    </row>
    <row r="443" ht="16.5" customHeight="1">
      <c r="S443" s="239"/>
      <c r="AE443" s="174"/>
    </row>
    <row r="444" ht="16.5" customHeight="1">
      <c r="S444" s="239"/>
      <c r="AE444" s="174"/>
    </row>
    <row r="445" ht="16.5" customHeight="1">
      <c r="S445" s="239"/>
      <c r="AE445" s="174"/>
    </row>
    <row r="446" ht="16.5" customHeight="1">
      <c r="S446" s="239"/>
      <c r="AE446" s="174"/>
    </row>
    <row r="447" ht="16.5" customHeight="1">
      <c r="S447" s="239"/>
      <c r="AE447" s="174"/>
    </row>
    <row r="448" ht="16.5" customHeight="1">
      <c r="S448" s="239"/>
      <c r="AE448" s="174"/>
    </row>
    <row r="449" ht="16.5" customHeight="1">
      <c r="S449" s="239"/>
      <c r="AE449" s="174"/>
    </row>
    <row r="450" ht="16.5" customHeight="1">
      <c r="S450" s="239"/>
      <c r="AE450" s="174"/>
    </row>
    <row r="451" ht="16.5" customHeight="1">
      <c r="S451" s="239"/>
      <c r="AE451" s="174"/>
    </row>
    <row r="452" ht="16.5" customHeight="1">
      <c r="S452" s="239"/>
      <c r="AE452" s="174"/>
    </row>
    <row r="453" ht="16.5" customHeight="1">
      <c r="S453" s="239"/>
      <c r="AE453" s="174"/>
    </row>
    <row r="454" ht="16.5" customHeight="1">
      <c r="S454" s="239"/>
      <c r="AE454" s="174"/>
    </row>
    <row r="455" ht="16.5" customHeight="1">
      <c r="S455" s="239"/>
      <c r="AE455" s="174"/>
    </row>
    <row r="456" ht="16.5" customHeight="1">
      <c r="S456" s="239"/>
      <c r="AE456" s="174"/>
    </row>
    <row r="457" ht="16.5" customHeight="1">
      <c r="S457" s="239"/>
      <c r="AE457" s="174"/>
    </row>
    <row r="458" ht="16.5" customHeight="1">
      <c r="S458" s="239"/>
      <c r="AE458" s="174"/>
    </row>
    <row r="459" ht="16.5" customHeight="1">
      <c r="S459" s="239"/>
      <c r="AE459" s="174"/>
    </row>
    <row r="460" ht="16.5" customHeight="1">
      <c r="S460" s="239"/>
      <c r="AE460" s="174"/>
    </row>
    <row r="461" ht="16.5" customHeight="1">
      <c r="S461" s="239"/>
      <c r="AE461" s="174"/>
    </row>
    <row r="462" ht="16.5" customHeight="1">
      <c r="S462" s="239"/>
      <c r="AE462" s="174"/>
    </row>
    <row r="463" ht="16.5" customHeight="1">
      <c r="S463" s="239"/>
      <c r="AE463" s="174"/>
    </row>
    <row r="464" ht="16.5" customHeight="1">
      <c r="S464" s="239"/>
      <c r="AE464" s="174"/>
    </row>
    <row r="465" ht="16.5" customHeight="1">
      <c r="S465" s="239"/>
      <c r="AE465" s="174"/>
    </row>
    <row r="466" ht="16.5" customHeight="1">
      <c r="S466" s="239"/>
      <c r="AE466" s="174"/>
    </row>
    <row r="467" ht="16.5" customHeight="1">
      <c r="S467" s="239"/>
      <c r="AE467" s="174"/>
    </row>
    <row r="468" ht="16.5" customHeight="1">
      <c r="S468" s="239"/>
      <c r="AE468" s="174"/>
    </row>
    <row r="469" ht="16.5" customHeight="1">
      <c r="S469" s="239"/>
      <c r="AE469" s="174"/>
    </row>
    <row r="470" ht="16.5" customHeight="1">
      <c r="S470" s="239"/>
      <c r="AE470" s="174"/>
    </row>
    <row r="471" ht="16.5" customHeight="1">
      <c r="S471" s="239"/>
      <c r="AE471" s="174"/>
    </row>
    <row r="472" ht="16.5" customHeight="1">
      <c r="S472" s="239"/>
      <c r="AE472" s="174"/>
    </row>
    <row r="473" ht="16.5" customHeight="1">
      <c r="S473" s="239"/>
      <c r="AE473" s="174"/>
    </row>
    <row r="474" ht="16.5" customHeight="1">
      <c r="S474" s="239"/>
      <c r="AE474" s="174"/>
    </row>
    <row r="475" ht="16.5" customHeight="1">
      <c r="S475" s="239"/>
      <c r="AE475" s="174"/>
    </row>
    <row r="476" ht="16.5" customHeight="1">
      <c r="S476" s="239"/>
      <c r="AE476" s="174"/>
    </row>
    <row r="477" ht="16.5" customHeight="1">
      <c r="S477" s="239"/>
      <c r="AE477" s="174"/>
    </row>
    <row r="478" ht="16.5" customHeight="1">
      <c r="S478" s="239"/>
      <c r="AE478" s="174"/>
    </row>
    <row r="479" ht="16.5" customHeight="1">
      <c r="S479" s="239"/>
      <c r="AE479" s="174"/>
    </row>
    <row r="480" ht="16.5" customHeight="1">
      <c r="S480" s="239"/>
      <c r="AE480" s="174"/>
    </row>
    <row r="481" ht="16.5" customHeight="1">
      <c r="S481" s="239"/>
      <c r="AE481" s="174"/>
    </row>
    <row r="482" ht="16.5" customHeight="1">
      <c r="S482" s="239"/>
      <c r="AE482" s="174"/>
    </row>
    <row r="483" ht="16.5" customHeight="1">
      <c r="S483" s="239"/>
      <c r="AE483" s="174"/>
    </row>
    <row r="484" ht="16.5" customHeight="1">
      <c r="S484" s="239"/>
      <c r="AE484" s="174"/>
    </row>
    <row r="485" ht="16.5" customHeight="1">
      <c r="S485" s="239"/>
      <c r="AE485" s="174"/>
    </row>
    <row r="486" ht="16.5" customHeight="1">
      <c r="S486" s="239"/>
      <c r="AE486" s="174"/>
    </row>
    <row r="487" ht="16.5" customHeight="1">
      <c r="S487" s="239"/>
      <c r="AE487" s="174"/>
    </row>
    <row r="488" ht="16.5" customHeight="1">
      <c r="S488" s="239"/>
      <c r="AE488" s="174"/>
    </row>
    <row r="489" ht="16.5" customHeight="1">
      <c r="S489" s="239"/>
      <c r="AE489" s="174"/>
    </row>
    <row r="490" ht="16.5" customHeight="1">
      <c r="S490" s="239"/>
      <c r="AE490" s="174"/>
    </row>
    <row r="491" ht="16.5" customHeight="1">
      <c r="S491" s="239"/>
      <c r="AE491" s="174"/>
    </row>
    <row r="492" ht="16.5" customHeight="1">
      <c r="S492" s="239"/>
      <c r="AE492" s="174"/>
    </row>
    <row r="493" ht="16.5" customHeight="1">
      <c r="S493" s="239"/>
      <c r="AE493" s="174"/>
    </row>
    <row r="494" ht="16.5" customHeight="1">
      <c r="S494" s="239"/>
      <c r="AE494" s="174"/>
    </row>
    <row r="495" ht="16.5" customHeight="1">
      <c r="S495" s="239"/>
      <c r="AE495" s="174"/>
    </row>
    <row r="496" ht="16.5" customHeight="1">
      <c r="S496" s="239"/>
      <c r="AE496" s="174"/>
    </row>
    <row r="497" ht="16.5" customHeight="1">
      <c r="S497" s="239"/>
      <c r="AE497" s="174"/>
    </row>
    <row r="498" ht="16.5" customHeight="1">
      <c r="S498" s="239"/>
      <c r="AE498" s="174"/>
    </row>
    <row r="499" ht="16.5" customHeight="1">
      <c r="S499" s="239"/>
      <c r="AE499" s="174"/>
    </row>
    <row r="500" ht="16.5" customHeight="1">
      <c r="S500" s="239"/>
      <c r="AE500" s="174"/>
    </row>
    <row r="501" ht="16.5" customHeight="1">
      <c r="S501" s="239"/>
      <c r="AE501" s="174"/>
    </row>
    <row r="502" ht="16.5" customHeight="1">
      <c r="S502" s="239"/>
      <c r="AE502" s="174"/>
    </row>
    <row r="503" ht="16.5" customHeight="1">
      <c r="S503" s="239"/>
      <c r="AE503" s="174"/>
    </row>
    <row r="504" ht="16.5" customHeight="1">
      <c r="S504" s="239"/>
      <c r="AE504" s="174"/>
    </row>
    <row r="505" ht="16.5" customHeight="1">
      <c r="S505" s="239"/>
      <c r="AE505" s="174"/>
    </row>
    <row r="506" ht="16.5" customHeight="1">
      <c r="S506" s="239"/>
      <c r="AE506" s="174"/>
    </row>
    <row r="507" ht="16.5" customHeight="1">
      <c r="S507" s="239"/>
      <c r="AE507" s="174"/>
    </row>
    <row r="508" ht="16.5" customHeight="1">
      <c r="S508" s="239"/>
      <c r="AE508" s="174"/>
    </row>
    <row r="509" ht="16.5" customHeight="1">
      <c r="S509" s="239"/>
      <c r="AE509" s="174"/>
    </row>
    <row r="510" ht="16.5" customHeight="1">
      <c r="S510" s="239"/>
      <c r="AE510" s="174"/>
    </row>
    <row r="511" ht="16.5" customHeight="1">
      <c r="S511" s="239"/>
      <c r="AE511" s="174"/>
    </row>
    <row r="512" ht="16.5" customHeight="1">
      <c r="S512" s="239"/>
      <c r="AE512" s="174"/>
    </row>
    <row r="513" ht="16.5" customHeight="1">
      <c r="S513" s="239"/>
      <c r="AE513" s="174"/>
    </row>
    <row r="514" ht="16.5" customHeight="1">
      <c r="S514" s="239"/>
      <c r="AE514" s="174"/>
    </row>
    <row r="515" ht="16.5" customHeight="1">
      <c r="S515" s="239"/>
      <c r="AE515" s="174"/>
    </row>
    <row r="516" ht="16.5" customHeight="1">
      <c r="S516" s="239"/>
      <c r="AE516" s="174"/>
    </row>
    <row r="517" ht="16.5" customHeight="1">
      <c r="S517" s="239"/>
      <c r="AE517" s="174"/>
    </row>
    <row r="518" ht="16.5" customHeight="1">
      <c r="S518" s="239"/>
      <c r="AE518" s="174"/>
    </row>
    <row r="519" ht="16.5" customHeight="1">
      <c r="S519" s="239"/>
      <c r="AE519" s="174"/>
    </row>
    <row r="520" ht="16.5" customHeight="1">
      <c r="S520" s="239"/>
      <c r="AE520" s="174"/>
    </row>
    <row r="521" ht="16.5" customHeight="1">
      <c r="S521" s="239"/>
      <c r="AE521" s="174"/>
    </row>
    <row r="522" ht="16.5" customHeight="1">
      <c r="S522" s="239"/>
      <c r="AE522" s="174"/>
    </row>
    <row r="523" ht="16.5" customHeight="1">
      <c r="S523" s="239"/>
      <c r="AE523" s="174"/>
    </row>
    <row r="524" ht="16.5" customHeight="1">
      <c r="S524" s="239"/>
      <c r="AE524" s="174"/>
    </row>
    <row r="525" ht="16.5" customHeight="1">
      <c r="S525" s="239"/>
      <c r="AE525" s="174"/>
    </row>
    <row r="526" ht="16.5" customHeight="1">
      <c r="S526" s="239"/>
      <c r="AE526" s="174"/>
    </row>
    <row r="527" ht="16.5" customHeight="1">
      <c r="S527" s="239"/>
      <c r="AE527" s="174"/>
    </row>
    <row r="528" ht="16.5" customHeight="1">
      <c r="S528" s="239"/>
      <c r="AE528" s="174"/>
    </row>
    <row r="529" ht="16.5" customHeight="1">
      <c r="S529" s="239"/>
      <c r="AE529" s="174"/>
    </row>
    <row r="530" ht="16.5" customHeight="1">
      <c r="S530" s="239"/>
      <c r="AE530" s="174"/>
    </row>
    <row r="531" ht="16.5" customHeight="1">
      <c r="S531" s="239"/>
      <c r="AE531" s="174"/>
    </row>
    <row r="532" ht="16.5" customHeight="1">
      <c r="S532" s="239"/>
      <c r="AE532" s="174"/>
    </row>
    <row r="533" ht="16.5" customHeight="1">
      <c r="S533" s="239"/>
      <c r="AE533" s="174"/>
    </row>
    <row r="534" ht="16.5" customHeight="1">
      <c r="S534" s="239"/>
      <c r="AE534" s="174"/>
    </row>
    <row r="535" ht="16.5" customHeight="1">
      <c r="S535" s="239"/>
      <c r="AE535" s="174"/>
    </row>
    <row r="536" ht="16.5" customHeight="1">
      <c r="S536" s="239"/>
      <c r="AE536" s="174"/>
    </row>
    <row r="537" ht="16.5" customHeight="1">
      <c r="S537" s="239"/>
      <c r="AE537" s="174"/>
    </row>
    <row r="538" ht="16.5" customHeight="1">
      <c r="S538" s="239"/>
      <c r="AE538" s="174"/>
    </row>
    <row r="539" ht="16.5" customHeight="1">
      <c r="S539" s="239"/>
      <c r="AE539" s="174"/>
    </row>
    <row r="540" ht="16.5" customHeight="1">
      <c r="S540" s="239"/>
      <c r="AE540" s="174"/>
    </row>
    <row r="541" ht="16.5" customHeight="1">
      <c r="S541" s="239"/>
      <c r="AE541" s="174"/>
    </row>
    <row r="542" ht="16.5" customHeight="1">
      <c r="S542" s="239"/>
      <c r="AE542" s="174"/>
    </row>
    <row r="543" ht="16.5" customHeight="1">
      <c r="S543" s="239"/>
      <c r="AE543" s="174"/>
    </row>
    <row r="544" ht="16.5" customHeight="1">
      <c r="S544" s="239"/>
      <c r="AE544" s="174"/>
    </row>
    <row r="545" ht="16.5" customHeight="1">
      <c r="S545" s="239"/>
      <c r="AE545" s="174"/>
    </row>
    <row r="546" ht="16.5" customHeight="1">
      <c r="S546" s="239"/>
      <c r="AE546" s="174"/>
    </row>
    <row r="547" ht="16.5" customHeight="1">
      <c r="S547" s="239"/>
      <c r="AE547" s="174"/>
    </row>
    <row r="548" ht="16.5" customHeight="1">
      <c r="S548" s="239"/>
      <c r="AE548" s="174"/>
    </row>
    <row r="549" ht="16.5" customHeight="1">
      <c r="S549" s="239"/>
      <c r="AE549" s="174"/>
    </row>
    <row r="550" ht="16.5" customHeight="1">
      <c r="S550" s="239"/>
      <c r="AE550" s="174"/>
    </row>
    <row r="551" ht="16.5" customHeight="1">
      <c r="S551" s="239"/>
      <c r="AE551" s="174"/>
    </row>
    <row r="552" ht="16.5" customHeight="1">
      <c r="S552" s="239"/>
      <c r="AE552" s="174"/>
    </row>
    <row r="553" ht="16.5" customHeight="1">
      <c r="S553" s="239"/>
      <c r="AE553" s="174"/>
    </row>
    <row r="554" ht="16.5" customHeight="1">
      <c r="S554" s="239"/>
      <c r="AE554" s="174"/>
    </row>
    <row r="555" ht="16.5" customHeight="1">
      <c r="S555" s="239"/>
      <c r="AE555" s="174"/>
    </row>
    <row r="556" ht="16.5" customHeight="1">
      <c r="S556" s="239"/>
      <c r="AE556" s="174"/>
    </row>
    <row r="557" ht="16.5" customHeight="1">
      <c r="S557" s="239"/>
      <c r="AE557" s="174"/>
    </row>
    <row r="558" ht="16.5" customHeight="1">
      <c r="S558" s="239"/>
      <c r="AE558" s="174"/>
    </row>
    <row r="559" ht="16.5" customHeight="1">
      <c r="S559" s="239"/>
      <c r="AE559" s="174"/>
    </row>
    <row r="560" ht="16.5" customHeight="1">
      <c r="S560" s="239"/>
      <c r="AE560" s="174"/>
    </row>
    <row r="561" ht="16.5" customHeight="1">
      <c r="S561" s="239"/>
      <c r="AE561" s="174"/>
    </row>
    <row r="562" ht="16.5" customHeight="1">
      <c r="S562" s="239"/>
      <c r="AE562" s="174"/>
    </row>
    <row r="563" ht="16.5" customHeight="1">
      <c r="S563" s="239"/>
      <c r="AE563" s="174"/>
    </row>
    <row r="564" ht="16.5" customHeight="1">
      <c r="S564" s="239"/>
      <c r="AE564" s="174"/>
    </row>
    <row r="565" ht="16.5" customHeight="1">
      <c r="S565" s="239"/>
      <c r="AE565" s="174"/>
    </row>
    <row r="566" ht="16.5" customHeight="1">
      <c r="S566" s="239"/>
      <c r="AE566" s="174"/>
    </row>
    <row r="567" ht="16.5" customHeight="1">
      <c r="S567" s="239"/>
      <c r="AE567" s="174"/>
    </row>
    <row r="568" ht="16.5" customHeight="1">
      <c r="S568" s="239"/>
      <c r="AE568" s="174"/>
    </row>
    <row r="569" ht="16.5" customHeight="1">
      <c r="S569" s="239"/>
      <c r="AE569" s="174"/>
    </row>
    <row r="570" ht="16.5" customHeight="1">
      <c r="S570" s="239"/>
      <c r="AE570" s="174"/>
    </row>
    <row r="571" ht="16.5" customHeight="1">
      <c r="S571" s="239"/>
      <c r="AE571" s="174"/>
    </row>
    <row r="572" ht="16.5" customHeight="1">
      <c r="S572" s="239"/>
      <c r="AE572" s="174"/>
    </row>
    <row r="573" ht="16.5" customHeight="1">
      <c r="S573" s="239"/>
      <c r="AE573" s="174"/>
    </row>
    <row r="574" ht="16.5" customHeight="1">
      <c r="S574" s="239"/>
      <c r="AE574" s="174"/>
    </row>
    <row r="575" ht="16.5" customHeight="1">
      <c r="S575" s="239"/>
      <c r="AE575" s="174"/>
    </row>
    <row r="576" ht="16.5" customHeight="1">
      <c r="S576" s="239"/>
      <c r="AE576" s="174"/>
    </row>
    <row r="577" ht="16.5" customHeight="1">
      <c r="S577" s="239"/>
      <c r="AE577" s="174"/>
    </row>
    <row r="578" ht="16.5" customHeight="1">
      <c r="S578" s="239"/>
      <c r="AE578" s="174"/>
    </row>
    <row r="579" ht="16.5" customHeight="1">
      <c r="S579" s="239"/>
      <c r="AE579" s="174"/>
    </row>
    <row r="580" ht="16.5" customHeight="1">
      <c r="S580" s="239"/>
      <c r="AE580" s="174"/>
    </row>
    <row r="581" ht="16.5" customHeight="1">
      <c r="S581" s="239"/>
      <c r="AE581" s="174"/>
    </row>
    <row r="582" ht="16.5" customHeight="1">
      <c r="S582" s="239"/>
      <c r="AE582" s="174"/>
    </row>
    <row r="583" ht="16.5" customHeight="1">
      <c r="S583" s="239"/>
      <c r="AE583" s="174"/>
    </row>
    <row r="584" ht="16.5" customHeight="1">
      <c r="S584" s="239"/>
      <c r="AE584" s="174"/>
    </row>
    <row r="585" ht="16.5" customHeight="1">
      <c r="S585" s="239"/>
      <c r="AE585" s="174"/>
    </row>
    <row r="586" ht="16.5" customHeight="1">
      <c r="S586" s="239"/>
      <c r="AE586" s="174"/>
    </row>
    <row r="587" ht="16.5" customHeight="1">
      <c r="S587" s="239"/>
      <c r="AE587" s="174"/>
    </row>
    <row r="588" ht="16.5" customHeight="1">
      <c r="S588" s="239"/>
      <c r="AE588" s="174"/>
    </row>
    <row r="589" ht="16.5" customHeight="1">
      <c r="S589" s="239"/>
      <c r="AE589" s="174"/>
    </row>
    <row r="590" ht="16.5" customHeight="1">
      <c r="S590" s="239"/>
      <c r="AE590" s="174"/>
    </row>
    <row r="591" ht="16.5" customHeight="1">
      <c r="S591" s="239"/>
      <c r="AE591" s="174"/>
    </row>
    <row r="592" ht="16.5" customHeight="1">
      <c r="S592" s="239"/>
      <c r="AE592" s="174"/>
    </row>
    <row r="593" ht="16.5" customHeight="1">
      <c r="S593" s="239"/>
      <c r="AE593" s="174"/>
    </row>
    <row r="594" ht="16.5" customHeight="1">
      <c r="S594" s="239"/>
      <c r="AE594" s="174"/>
    </row>
    <row r="595" ht="16.5" customHeight="1">
      <c r="S595" s="239"/>
      <c r="AE595" s="174"/>
    </row>
    <row r="596" ht="16.5" customHeight="1">
      <c r="S596" s="239"/>
      <c r="AE596" s="174"/>
    </row>
    <row r="597" ht="16.5" customHeight="1">
      <c r="S597" s="239"/>
      <c r="AE597" s="174"/>
    </row>
    <row r="598" ht="16.5" customHeight="1">
      <c r="S598" s="239"/>
      <c r="AE598" s="174"/>
    </row>
    <row r="599" ht="16.5" customHeight="1">
      <c r="S599" s="239"/>
      <c r="AE599" s="174"/>
    </row>
    <row r="600" ht="16.5" customHeight="1">
      <c r="S600" s="239"/>
      <c r="AE600" s="174"/>
    </row>
    <row r="601" ht="16.5" customHeight="1">
      <c r="S601" s="239"/>
      <c r="AE601" s="174"/>
    </row>
    <row r="602" ht="16.5" customHeight="1">
      <c r="S602" s="239"/>
      <c r="AE602" s="174"/>
    </row>
    <row r="603" ht="16.5" customHeight="1">
      <c r="S603" s="239"/>
      <c r="AE603" s="174"/>
    </row>
    <row r="604" ht="16.5" customHeight="1">
      <c r="S604" s="239"/>
      <c r="AE604" s="174"/>
    </row>
    <row r="605" ht="16.5" customHeight="1">
      <c r="S605" s="239"/>
      <c r="AE605" s="174"/>
    </row>
    <row r="606" ht="16.5" customHeight="1">
      <c r="S606" s="239"/>
      <c r="AE606" s="174"/>
    </row>
    <row r="607" ht="16.5" customHeight="1">
      <c r="S607" s="239"/>
      <c r="AE607" s="174"/>
    </row>
    <row r="608" ht="16.5" customHeight="1">
      <c r="S608" s="239"/>
      <c r="AE608" s="174"/>
    </row>
    <row r="609" ht="16.5" customHeight="1">
      <c r="S609" s="239"/>
      <c r="AE609" s="174"/>
    </row>
    <row r="610" ht="16.5" customHeight="1">
      <c r="S610" s="239"/>
      <c r="AE610" s="174"/>
    </row>
    <row r="611" ht="16.5" customHeight="1">
      <c r="S611" s="239"/>
      <c r="AE611" s="174"/>
    </row>
    <row r="612" ht="16.5" customHeight="1">
      <c r="S612" s="239"/>
      <c r="AE612" s="174"/>
    </row>
    <row r="613" ht="16.5" customHeight="1">
      <c r="S613" s="239"/>
      <c r="AE613" s="174"/>
    </row>
    <row r="614" ht="16.5" customHeight="1">
      <c r="S614" s="239"/>
      <c r="AE614" s="174"/>
    </row>
    <row r="615" ht="16.5" customHeight="1">
      <c r="S615" s="239"/>
      <c r="AE615" s="174"/>
    </row>
    <row r="616" ht="16.5" customHeight="1">
      <c r="S616" s="239"/>
      <c r="AE616" s="174"/>
    </row>
    <row r="617" ht="16.5" customHeight="1">
      <c r="S617" s="239"/>
      <c r="AE617" s="174"/>
    </row>
    <row r="618" ht="16.5" customHeight="1">
      <c r="S618" s="239"/>
      <c r="AE618" s="174"/>
    </row>
    <row r="619" ht="16.5" customHeight="1">
      <c r="S619" s="239"/>
      <c r="AE619" s="174"/>
    </row>
    <row r="620" ht="16.5" customHeight="1">
      <c r="S620" s="239"/>
      <c r="AE620" s="174"/>
    </row>
    <row r="621" ht="16.5" customHeight="1">
      <c r="S621" s="239"/>
      <c r="AE621" s="174"/>
    </row>
    <row r="622" ht="16.5" customHeight="1">
      <c r="S622" s="239"/>
      <c r="AE622" s="174"/>
    </row>
    <row r="623" ht="16.5" customHeight="1">
      <c r="S623" s="239"/>
      <c r="AE623" s="174"/>
    </row>
    <row r="624" ht="16.5" customHeight="1">
      <c r="S624" s="239"/>
      <c r="AE624" s="174"/>
    </row>
    <row r="625" ht="16.5" customHeight="1">
      <c r="S625" s="239"/>
      <c r="AE625" s="174"/>
    </row>
    <row r="626" ht="16.5" customHeight="1">
      <c r="S626" s="239"/>
      <c r="AE626" s="174"/>
    </row>
    <row r="627" ht="16.5" customHeight="1">
      <c r="S627" s="239"/>
      <c r="AE627" s="174"/>
    </row>
    <row r="628" ht="16.5" customHeight="1">
      <c r="S628" s="239"/>
      <c r="AE628" s="174"/>
    </row>
    <row r="629" ht="16.5" customHeight="1">
      <c r="S629" s="239"/>
      <c r="AE629" s="174"/>
    </row>
    <row r="630" ht="16.5" customHeight="1">
      <c r="S630" s="239"/>
      <c r="AE630" s="174"/>
    </row>
    <row r="631" ht="16.5" customHeight="1">
      <c r="S631" s="239"/>
      <c r="AE631" s="174"/>
    </row>
    <row r="632" ht="16.5" customHeight="1">
      <c r="S632" s="239"/>
      <c r="AE632" s="174"/>
    </row>
    <row r="633" ht="16.5" customHeight="1">
      <c r="S633" s="239"/>
      <c r="AE633" s="174"/>
    </row>
    <row r="634" ht="16.5" customHeight="1">
      <c r="S634" s="239"/>
      <c r="AE634" s="174"/>
    </row>
    <row r="635" ht="16.5" customHeight="1">
      <c r="S635" s="239"/>
      <c r="AE635" s="174"/>
    </row>
    <row r="636" ht="16.5" customHeight="1">
      <c r="S636" s="239"/>
      <c r="AE636" s="174"/>
    </row>
    <row r="637" ht="16.5" customHeight="1">
      <c r="S637" s="239"/>
      <c r="AE637" s="174"/>
    </row>
    <row r="638" ht="16.5" customHeight="1">
      <c r="S638" s="239"/>
      <c r="AE638" s="174"/>
    </row>
    <row r="639" ht="16.5" customHeight="1">
      <c r="S639" s="239"/>
      <c r="AE639" s="174"/>
    </row>
    <row r="640" ht="16.5" customHeight="1">
      <c r="S640" s="239"/>
      <c r="AE640" s="174"/>
    </row>
    <row r="641" ht="16.5" customHeight="1">
      <c r="S641" s="239"/>
      <c r="AE641" s="174"/>
    </row>
    <row r="642" ht="16.5" customHeight="1">
      <c r="S642" s="239"/>
      <c r="AE642" s="174"/>
    </row>
    <row r="643" ht="16.5" customHeight="1">
      <c r="S643" s="239"/>
      <c r="AE643" s="174"/>
    </row>
    <row r="644" ht="16.5" customHeight="1">
      <c r="S644" s="239"/>
      <c r="AE644" s="174"/>
    </row>
    <row r="645" ht="16.5" customHeight="1">
      <c r="S645" s="239"/>
      <c r="AE645" s="174"/>
    </row>
    <row r="646" ht="16.5" customHeight="1">
      <c r="S646" s="239"/>
      <c r="AE646" s="174"/>
    </row>
    <row r="647" ht="16.5" customHeight="1">
      <c r="S647" s="239"/>
      <c r="AE647" s="174"/>
    </row>
    <row r="648" ht="16.5" customHeight="1">
      <c r="S648" s="239"/>
      <c r="AE648" s="174"/>
    </row>
    <row r="649" ht="16.5" customHeight="1">
      <c r="S649" s="239"/>
      <c r="AE649" s="174"/>
    </row>
    <row r="650" ht="16.5" customHeight="1">
      <c r="S650" s="239"/>
      <c r="AE650" s="174"/>
    </row>
    <row r="651" ht="16.5" customHeight="1">
      <c r="S651" s="239"/>
      <c r="AE651" s="174"/>
    </row>
    <row r="652" ht="16.5" customHeight="1">
      <c r="S652" s="239"/>
      <c r="AE652" s="174"/>
    </row>
    <row r="653" ht="16.5" customHeight="1">
      <c r="S653" s="239"/>
      <c r="AE653" s="174"/>
    </row>
    <row r="654" ht="16.5" customHeight="1">
      <c r="S654" s="239"/>
      <c r="AE654" s="174"/>
    </row>
    <row r="655" ht="16.5" customHeight="1">
      <c r="S655" s="239"/>
      <c r="AE655" s="174"/>
    </row>
    <row r="656" ht="16.5" customHeight="1">
      <c r="S656" s="239"/>
      <c r="AE656" s="174"/>
    </row>
    <row r="657" ht="16.5" customHeight="1">
      <c r="S657" s="239"/>
      <c r="AE657" s="174"/>
    </row>
    <row r="658" ht="16.5" customHeight="1">
      <c r="S658" s="239"/>
      <c r="AE658" s="174"/>
    </row>
    <row r="659" ht="16.5" customHeight="1">
      <c r="S659" s="239"/>
      <c r="AE659" s="174"/>
    </row>
    <row r="660" ht="16.5" customHeight="1">
      <c r="S660" s="239"/>
      <c r="AE660" s="174"/>
    </row>
    <row r="661" ht="16.5" customHeight="1">
      <c r="S661" s="239"/>
      <c r="AE661" s="174"/>
    </row>
    <row r="662" ht="16.5" customHeight="1">
      <c r="S662" s="239"/>
      <c r="AE662" s="174"/>
    </row>
    <row r="663" ht="16.5" customHeight="1">
      <c r="S663" s="239"/>
      <c r="AE663" s="174"/>
    </row>
    <row r="664" ht="16.5" customHeight="1">
      <c r="S664" s="239"/>
      <c r="AE664" s="174"/>
    </row>
    <row r="665" ht="16.5" customHeight="1">
      <c r="S665" s="239"/>
      <c r="AE665" s="174"/>
    </row>
    <row r="666" ht="16.5" customHeight="1">
      <c r="S666" s="239"/>
      <c r="AE666" s="174"/>
    </row>
    <row r="667" ht="16.5" customHeight="1">
      <c r="S667" s="239"/>
      <c r="AE667" s="174"/>
    </row>
    <row r="668" ht="16.5" customHeight="1">
      <c r="S668" s="239"/>
      <c r="AE668" s="174"/>
    </row>
    <row r="669" ht="16.5" customHeight="1">
      <c r="S669" s="239"/>
      <c r="AE669" s="174"/>
    </row>
    <row r="670" ht="16.5" customHeight="1">
      <c r="S670" s="239"/>
      <c r="AE670" s="174"/>
    </row>
    <row r="671" ht="16.5" customHeight="1">
      <c r="S671" s="239"/>
      <c r="AE671" s="174"/>
    </row>
    <row r="672" ht="16.5" customHeight="1">
      <c r="S672" s="239"/>
      <c r="AE672" s="174"/>
    </row>
    <row r="673" ht="16.5" customHeight="1">
      <c r="S673" s="239"/>
      <c r="AE673" s="174"/>
    </row>
    <row r="674" ht="16.5" customHeight="1">
      <c r="S674" s="239"/>
      <c r="AE674" s="174"/>
    </row>
    <row r="675" ht="16.5" customHeight="1">
      <c r="S675" s="239"/>
      <c r="AE675" s="174"/>
    </row>
    <row r="676" ht="16.5" customHeight="1">
      <c r="S676" s="239"/>
      <c r="AE676" s="174"/>
    </row>
    <row r="677" ht="16.5" customHeight="1">
      <c r="S677" s="239"/>
      <c r="AE677" s="174"/>
    </row>
    <row r="678" ht="16.5" customHeight="1">
      <c r="S678" s="239"/>
      <c r="AE678" s="174"/>
    </row>
    <row r="679" ht="16.5" customHeight="1">
      <c r="S679" s="239"/>
      <c r="AE679" s="174"/>
    </row>
    <row r="680" ht="16.5" customHeight="1">
      <c r="S680" s="239"/>
      <c r="AE680" s="174"/>
    </row>
    <row r="681" ht="16.5" customHeight="1">
      <c r="S681" s="239"/>
      <c r="AE681" s="174"/>
    </row>
    <row r="682" ht="16.5" customHeight="1">
      <c r="S682" s="239"/>
      <c r="AE682" s="174"/>
    </row>
    <row r="683" ht="16.5" customHeight="1">
      <c r="S683" s="239"/>
      <c r="AE683" s="174"/>
    </row>
    <row r="684" ht="16.5" customHeight="1">
      <c r="S684" s="239"/>
      <c r="AE684" s="174"/>
    </row>
    <row r="685" ht="16.5" customHeight="1">
      <c r="S685" s="239"/>
      <c r="AE685" s="174"/>
    </row>
    <row r="686" ht="16.5" customHeight="1">
      <c r="S686" s="239"/>
      <c r="AE686" s="174"/>
    </row>
    <row r="687" ht="16.5" customHeight="1">
      <c r="S687" s="239"/>
      <c r="AE687" s="174"/>
    </row>
    <row r="688" ht="16.5" customHeight="1">
      <c r="S688" s="239"/>
      <c r="AE688" s="174"/>
    </row>
    <row r="689" ht="16.5" customHeight="1">
      <c r="S689" s="239"/>
      <c r="AE689" s="174"/>
    </row>
    <row r="690" ht="16.5" customHeight="1">
      <c r="S690" s="239"/>
      <c r="AE690" s="174"/>
    </row>
    <row r="691" ht="16.5" customHeight="1">
      <c r="S691" s="239"/>
      <c r="AE691" s="174"/>
    </row>
    <row r="692" ht="16.5" customHeight="1">
      <c r="S692" s="239"/>
      <c r="AE692" s="174"/>
    </row>
    <row r="693" ht="16.5" customHeight="1">
      <c r="S693" s="239"/>
      <c r="AE693" s="174"/>
    </row>
    <row r="694" ht="16.5" customHeight="1">
      <c r="S694" s="239"/>
      <c r="AE694" s="174"/>
    </row>
    <row r="695" ht="16.5" customHeight="1">
      <c r="S695" s="239"/>
      <c r="AE695" s="174"/>
    </row>
    <row r="696" ht="16.5" customHeight="1">
      <c r="S696" s="239"/>
      <c r="AE696" s="174"/>
    </row>
    <row r="697" ht="16.5" customHeight="1">
      <c r="S697" s="239"/>
      <c r="AE697" s="174"/>
    </row>
    <row r="698" ht="16.5" customHeight="1">
      <c r="S698" s="239"/>
      <c r="AE698" s="174"/>
    </row>
    <row r="699" ht="16.5" customHeight="1">
      <c r="S699" s="239"/>
      <c r="AE699" s="174"/>
    </row>
    <row r="700" ht="16.5" customHeight="1">
      <c r="S700" s="239"/>
      <c r="AE700" s="174"/>
    </row>
    <row r="701" ht="16.5" customHeight="1">
      <c r="S701" s="239"/>
      <c r="AE701" s="174"/>
    </row>
    <row r="702" ht="16.5" customHeight="1">
      <c r="S702" s="239"/>
      <c r="AE702" s="174"/>
    </row>
    <row r="703" ht="16.5" customHeight="1">
      <c r="S703" s="239"/>
      <c r="AE703" s="174"/>
    </row>
    <row r="704" ht="16.5" customHeight="1">
      <c r="S704" s="239"/>
      <c r="AE704" s="174"/>
    </row>
    <row r="705" ht="16.5" customHeight="1">
      <c r="S705" s="239"/>
      <c r="AE705" s="174"/>
    </row>
    <row r="706" ht="16.5" customHeight="1">
      <c r="S706" s="239"/>
      <c r="AE706" s="174"/>
    </row>
    <row r="707" ht="16.5" customHeight="1">
      <c r="S707" s="239"/>
      <c r="AE707" s="174"/>
    </row>
    <row r="708" ht="16.5" customHeight="1">
      <c r="S708" s="239"/>
      <c r="AE708" s="174"/>
    </row>
    <row r="709" ht="16.5" customHeight="1">
      <c r="S709" s="239"/>
      <c r="AE709" s="174"/>
    </row>
    <row r="710" ht="16.5" customHeight="1">
      <c r="S710" s="239"/>
      <c r="AE710" s="174"/>
    </row>
    <row r="711" ht="16.5" customHeight="1">
      <c r="S711" s="239"/>
      <c r="AE711" s="174"/>
    </row>
    <row r="712" ht="16.5" customHeight="1">
      <c r="S712" s="239"/>
      <c r="AE712" s="174"/>
    </row>
    <row r="713" ht="16.5" customHeight="1">
      <c r="S713" s="239"/>
      <c r="AE713" s="174"/>
    </row>
    <row r="714" ht="16.5" customHeight="1">
      <c r="S714" s="239"/>
      <c r="AE714" s="174"/>
    </row>
    <row r="715" ht="16.5" customHeight="1">
      <c r="S715" s="239"/>
      <c r="AE715" s="174"/>
    </row>
    <row r="716" ht="16.5" customHeight="1">
      <c r="S716" s="239"/>
      <c r="AE716" s="174"/>
    </row>
    <row r="717" ht="16.5" customHeight="1">
      <c r="S717" s="239"/>
      <c r="AE717" s="174"/>
    </row>
    <row r="718" ht="16.5" customHeight="1">
      <c r="S718" s="239"/>
      <c r="AE718" s="174"/>
    </row>
    <row r="719" ht="16.5" customHeight="1">
      <c r="S719" s="239"/>
      <c r="AE719" s="174"/>
    </row>
    <row r="720" ht="16.5" customHeight="1">
      <c r="S720" s="239"/>
      <c r="AE720" s="174"/>
    </row>
    <row r="721" ht="16.5" customHeight="1">
      <c r="S721" s="239"/>
      <c r="AE721" s="174"/>
    </row>
    <row r="722" ht="16.5" customHeight="1">
      <c r="S722" s="239"/>
      <c r="AE722" s="174"/>
    </row>
    <row r="723" ht="16.5" customHeight="1">
      <c r="S723" s="239"/>
      <c r="AE723" s="174"/>
    </row>
    <row r="724" ht="16.5" customHeight="1">
      <c r="S724" s="239"/>
      <c r="AE724" s="174"/>
    </row>
    <row r="725" ht="16.5" customHeight="1">
      <c r="S725" s="239"/>
      <c r="AE725" s="174"/>
    </row>
    <row r="726" ht="16.5" customHeight="1">
      <c r="S726" s="239"/>
      <c r="AE726" s="174"/>
    </row>
    <row r="727" ht="16.5" customHeight="1">
      <c r="S727" s="239"/>
      <c r="AE727" s="174"/>
    </row>
    <row r="728" ht="16.5" customHeight="1">
      <c r="S728" s="239"/>
      <c r="AE728" s="174"/>
    </row>
    <row r="729" ht="16.5" customHeight="1">
      <c r="S729" s="239"/>
      <c r="AE729" s="174"/>
    </row>
    <row r="730" ht="16.5" customHeight="1">
      <c r="S730" s="239"/>
      <c r="AE730" s="174"/>
    </row>
    <row r="731" ht="16.5" customHeight="1">
      <c r="S731" s="239"/>
      <c r="AE731" s="174"/>
    </row>
    <row r="732" ht="16.5" customHeight="1">
      <c r="S732" s="239"/>
      <c r="AE732" s="174"/>
    </row>
    <row r="733" ht="16.5" customHeight="1">
      <c r="S733" s="239"/>
      <c r="AE733" s="174"/>
    </row>
    <row r="734" ht="16.5" customHeight="1">
      <c r="S734" s="239"/>
      <c r="AE734" s="174"/>
    </row>
    <row r="735" ht="16.5" customHeight="1">
      <c r="S735" s="239"/>
      <c r="AE735" s="174"/>
    </row>
    <row r="736" ht="16.5" customHeight="1">
      <c r="S736" s="239"/>
      <c r="AE736" s="174"/>
    </row>
    <row r="737" ht="16.5" customHeight="1">
      <c r="S737" s="239"/>
      <c r="AE737" s="174"/>
    </row>
    <row r="738" ht="16.5" customHeight="1">
      <c r="S738" s="239"/>
      <c r="AE738" s="174"/>
    </row>
    <row r="739" ht="16.5" customHeight="1">
      <c r="S739" s="239"/>
      <c r="AE739" s="174"/>
    </row>
    <row r="740" ht="16.5" customHeight="1">
      <c r="S740" s="239"/>
      <c r="AE740" s="174"/>
    </row>
    <row r="741" ht="16.5" customHeight="1">
      <c r="S741" s="239"/>
      <c r="AE741" s="174"/>
    </row>
    <row r="742" ht="16.5" customHeight="1">
      <c r="S742" s="239"/>
      <c r="AE742" s="174"/>
    </row>
    <row r="743" ht="16.5" customHeight="1">
      <c r="S743" s="239"/>
      <c r="AE743" s="174"/>
    </row>
    <row r="744" ht="16.5" customHeight="1">
      <c r="S744" s="239"/>
      <c r="AE744" s="174"/>
    </row>
    <row r="745" ht="16.5" customHeight="1">
      <c r="S745" s="239"/>
      <c r="AE745" s="174"/>
    </row>
    <row r="746" ht="16.5" customHeight="1">
      <c r="S746" s="239"/>
      <c r="AE746" s="174"/>
    </row>
    <row r="747" ht="16.5" customHeight="1">
      <c r="S747" s="239"/>
      <c r="AE747" s="174"/>
    </row>
    <row r="748" ht="16.5" customHeight="1">
      <c r="S748" s="239"/>
      <c r="AE748" s="174"/>
    </row>
    <row r="749" ht="16.5" customHeight="1">
      <c r="S749" s="239"/>
      <c r="AE749" s="174"/>
    </row>
    <row r="750" ht="16.5" customHeight="1">
      <c r="S750" s="239"/>
      <c r="AE750" s="174"/>
    </row>
    <row r="751" ht="16.5" customHeight="1">
      <c r="S751" s="239"/>
      <c r="AE751" s="174"/>
    </row>
    <row r="752" ht="16.5" customHeight="1">
      <c r="S752" s="239"/>
      <c r="AE752" s="174"/>
    </row>
    <row r="753" ht="16.5" customHeight="1">
      <c r="S753" s="239"/>
      <c r="AE753" s="174"/>
    </row>
    <row r="754" ht="16.5" customHeight="1">
      <c r="S754" s="239"/>
      <c r="AE754" s="174"/>
    </row>
    <row r="755" ht="16.5" customHeight="1">
      <c r="S755" s="239"/>
      <c r="AE755" s="174"/>
    </row>
    <row r="756" ht="16.5" customHeight="1">
      <c r="S756" s="239"/>
      <c r="AE756" s="174"/>
    </row>
    <row r="757" ht="16.5" customHeight="1">
      <c r="S757" s="239"/>
      <c r="AE757" s="174"/>
    </row>
    <row r="758" ht="16.5" customHeight="1">
      <c r="S758" s="239"/>
      <c r="AE758" s="174"/>
    </row>
    <row r="759" ht="16.5" customHeight="1">
      <c r="S759" s="239"/>
      <c r="AE759" s="174"/>
    </row>
    <row r="760" ht="16.5" customHeight="1">
      <c r="S760" s="239"/>
      <c r="AE760" s="174"/>
    </row>
    <row r="761" ht="16.5" customHeight="1">
      <c r="S761" s="239"/>
      <c r="AE761" s="174"/>
    </row>
    <row r="762" ht="16.5" customHeight="1">
      <c r="S762" s="239"/>
      <c r="AE762" s="174"/>
    </row>
    <row r="763" ht="16.5" customHeight="1">
      <c r="S763" s="239"/>
      <c r="AE763" s="174"/>
    </row>
    <row r="764" ht="16.5" customHeight="1">
      <c r="S764" s="239"/>
      <c r="AE764" s="174"/>
    </row>
    <row r="765" ht="16.5" customHeight="1">
      <c r="S765" s="239"/>
      <c r="AE765" s="174"/>
    </row>
    <row r="766" ht="16.5" customHeight="1">
      <c r="S766" s="239"/>
      <c r="AE766" s="174"/>
    </row>
    <row r="767" ht="16.5" customHeight="1">
      <c r="S767" s="239"/>
      <c r="AE767" s="174"/>
    </row>
    <row r="768" ht="16.5" customHeight="1">
      <c r="S768" s="239"/>
      <c r="AE768" s="174"/>
    </row>
    <row r="769" ht="16.5" customHeight="1">
      <c r="S769" s="239"/>
      <c r="AE769" s="174"/>
    </row>
    <row r="770" ht="16.5" customHeight="1">
      <c r="S770" s="239"/>
      <c r="AE770" s="174"/>
    </row>
    <row r="771" ht="16.5" customHeight="1">
      <c r="S771" s="239"/>
      <c r="AE771" s="174"/>
    </row>
    <row r="772" ht="16.5" customHeight="1">
      <c r="S772" s="239"/>
      <c r="AE772" s="174"/>
    </row>
    <row r="773" ht="16.5" customHeight="1">
      <c r="S773" s="239"/>
      <c r="AE773" s="174"/>
    </row>
    <row r="774" ht="16.5" customHeight="1">
      <c r="S774" s="239"/>
      <c r="AE774" s="174"/>
    </row>
    <row r="775" ht="16.5" customHeight="1">
      <c r="S775" s="239"/>
      <c r="AE775" s="174"/>
    </row>
    <row r="776" ht="16.5" customHeight="1">
      <c r="S776" s="239"/>
      <c r="AE776" s="174"/>
    </row>
    <row r="777" ht="16.5" customHeight="1">
      <c r="S777" s="239"/>
      <c r="AE777" s="174"/>
    </row>
    <row r="778" ht="16.5" customHeight="1">
      <c r="S778" s="239"/>
      <c r="AE778" s="174"/>
    </row>
    <row r="779" ht="16.5" customHeight="1">
      <c r="S779" s="239"/>
      <c r="AE779" s="174"/>
    </row>
    <row r="780" ht="16.5" customHeight="1">
      <c r="S780" s="239"/>
      <c r="AE780" s="174"/>
    </row>
    <row r="781" ht="16.5" customHeight="1">
      <c r="S781" s="239"/>
      <c r="AE781" s="174"/>
    </row>
    <row r="782" ht="16.5" customHeight="1">
      <c r="S782" s="239"/>
      <c r="AE782" s="174"/>
    </row>
    <row r="783" ht="16.5" customHeight="1">
      <c r="S783" s="239"/>
      <c r="AE783" s="174"/>
    </row>
    <row r="784" ht="16.5" customHeight="1">
      <c r="S784" s="239"/>
      <c r="AE784" s="174"/>
    </row>
    <row r="785" ht="16.5" customHeight="1">
      <c r="S785" s="239"/>
      <c r="AE785" s="174"/>
    </row>
    <row r="786" ht="16.5" customHeight="1">
      <c r="S786" s="239"/>
      <c r="AE786" s="174"/>
    </row>
    <row r="787" ht="16.5" customHeight="1">
      <c r="S787" s="239"/>
      <c r="AE787" s="174"/>
    </row>
    <row r="788" ht="16.5" customHeight="1">
      <c r="S788" s="239"/>
      <c r="AE788" s="174"/>
    </row>
    <row r="789" ht="16.5" customHeight="1">
      <c r="S789" s="239"/>
      <c r="AE789" s="174"/>
    </row>
    <row r="790" ht="16.5" customHeight="1">
      <c r="S790" s="239"/>
      <c r="AE790" s="174"/>
    </row>
    <row r="791" ht="16.5" customHeight="1">
      <c r="S791" s="239"/>
      <c r="AE791" s="174"/>
    </row>
    <row r="792" ht="16.5" customHeight="1">
      <c r="S792" s="239"/>
      <c r="AE792" s="174"/>
    </row>
    <row r="793" ht="16.5" customHeight="1">
      <c r="S793" s="239"/>
      <c r="AE793" s="174"/>
    </row>
    <row r="794" ht="16.5" customHeight="1">
      <c r="S794" s="239"/>
      <c r="AE794" s="174"/>
    </row>
    <row r="795" ht="16.5" customHeight="1">
      <c r="S795" s="239"/>
      <c r="AE795" s="174"/>
    </row>
    <row r="796" ht="16.5" customHeight="1">
      <c r="S796" s="239"/>
      <c r="AE796" s="174"/>
    </row>
    <row r="797" ht="16.5" customHeight="1">
      <c r="S797" s="239"/>
      <c r="AE797" s="174"/>
    </row>
    <row r="798" ht="16.5" customHeight="1">
      <c r="S798" s="239"/>
      <c r="AE798" s="174"/>
    </row>
    <row r="799" ht="16.5" customHeight="1">
      <c r="S799" s="239"/>
      <c r="AE799" s="174"/>
    </row>
    <row r="800" ht="16.5" customHeight="1">
      <c r="S800" s="239"/>
      <c r="AE800" s="174"/>
    </row>
    <row r="801" ht="16.5" customHeight="1">
      <c r="S801" s="239"/>
      <c r="AE801" s="174"/>
    </row>
    <row r="802" ht="16.5" customHeight="1">
      <c r="S802" s="239"/>
      <c r="AE802" s="174"/>
    </row>
    <row r="803" ht="16.5" customHeight="1">
      <c r="S803" s="239"/>
      <c r="AE803" s="174"/>
    </row>
    <row r="804" ht="16.5" customHeight="1">
      <c r="S804" s="239"/>
      <c r="AE804" s="174"/>
    </row>
    <row r="805" ht="16.5" customHeight="1">
      <c r="S805" s="239"/>
      <c r="AE805" s="174"/>
    </row>
    <row r="806" ht="16.5" customHeight="1">
      <c r="S806" s="239"/>
      <c r="AE806" s="174"/>
    </row>
    <row r="807" ht="16.5" customHeight="1">
      <c r="S807" s="239"/>
      <c r="AE807" s="174"/>
    </row>
    <row r="808" ht="16.5" customHeight="1">
      <c r="S808" s="239"/>
      <c r="AE808" s="174"/>
    </row>
    <row r="809" ht="16.5" customHeight="1">
      <c r="S809" s="239"/>
      <c r="AE809" s="174"/>
    </row>
    <row r="810" ht="16.5" customHeight="1">
      <c r="S810" s="239"/>
      <c r="AE810" s="174"/>
    </row>
    <row r="811" ht="16.5" customHeight="1">
      <c r="S811" s="239"/>
      <c r="AE811" s="174"/>
    </row>
    <row r="812" ht="16.5" customHeight="1">
      <c r="S812" s="239"/>
      <c r="AE812" s="174"/>
    </row>
    <row r="813" ht="16.5" customHeight="1">
      <c r="S813" s="239"/>
      <c r="AE813" s="174"/>
    </row>
    <row r="814" ht="16.5" customHeight="1">
      <c r="S814" s="239"/>
      <c r="AE814" s="174"/>
    </row>
    <row r="815" ht="16.5" customHeight="1">
      <c r="S815" s="239"/>
      <c r="AE815" s="174"/>
    </row>
    <row r="816" ht="16.5" customHeight="1">
      <c r="S816" s="239"/>
      <c r="AE816" s="174"/>
    </row>
    <row r="817" ht="16.5" customHeight="1">
      <c r="S817" s="239"/>
      <c r="AE817" s="174"/>
    </row>
    <row r="818" ht="16.5" customHeight="1">
      <c r="S818" s="239"/>
      <c r="AE818" s="174"/>
    </row>
    <row r="819" ht="16.5" customHeight="1">
      <c r="S819" s="239"/>
      <c r="AE819" s="174"/>
    </row>
    <row r="820" ht="16.5" customHeight="1">
      <c r="S820" s="239"/>
      <c r="AE820" s="174"/>
    </row>
    <row r="821" ht="16.5" customHeight="1">
      <c r="S821" s="239"/>
      <c r="AE821" s="174"/>
    </row>
    <row r="822" ht="16.5" customHeight="1">
      <c r="S822" s="239"/>
      <c r="AE822" s="174"/>
    </row>
    <row r="823" ht="16.5" customHeight="1">
      <c r="S823" s="239"/>
      <c r="AE823" s="174"/>
    </row>
    <row r="824" ht="16.5" customHeight="1">
      <c r="S824" s="239"/>
      <c r="AE824" s="174"/>
    </row>
    <row r="825" ht="16.5" customHeight="1">
      <c r="S825" s="239"/>
      <c r="AE825" s="174"/>
    </row>
    <row r="826" ht="16.5" customHeight="1">
      <c r="S826" s="239"/>
      <c r="AE826" s="174"/>
    </row>
    <row r="827" ht="16.5" customHeight="1">
      <c r="S827" s="239"/>
      <c r="AE827" s="174"/>
    </row>
    <row r="828" ht="16.5" customHeight="1">
      <c r="S828" s="239"/>
      <c r="AE828" s="174"/>
    </row>
    <row r="829" ht="16.5" customHeight="1">
      <c r="S829" s="239"/>
      <c r="AE829" s="174"/>
    </row>
    <row r="830" ht="16.5" customHeight="1">
      <c r="S830" s="239"/>
      <c r="AE830" s="174"/>
    </row>
    <row r="831" ht="16.5" customHeight="1">
      <c r="S831" s="239"/>
      <c r="AE831" s="174"/>
    </row>
    <row r="832" ht="16.5" customHeight="1">
      <c r="S832" s="239"/>
      <c r="AE832" s="174"/>
    </row>
    <row r="833" ht="16.5" customHeight="1">
      <c r="S833" s="239"/>
      <c r="AE833" s="174"/>
    </row>
    <row r="834" ht="16.5" customHeight="1">
      <c r="S834" s="239"/>
      <c r="AE834" s="174"/>
    </row>
    <row r="835" ht="16.5" customHeight="1">
      <c r="S835" s="239"/>
      <c r="AE835" s="174"/>
    </row>
    <row r="836" ht="16.5" customHeight="1">
      <c r="S836" s="239"/>
      <c r="AE836" s="174"/>
    </row>
    <row r="837" ht="16.5" customHeight="1">
      <c r="S837" s="239"/>
      <c r="AE837" s="174"/>
    </row>
    <row r="838" ht="16.5" customHeight="1">
      <c r="S838" s="239"/>
      <c r="AE838" s="174"/>
    </row>
    <row r="839" ht="16.5" customHeight="1">
      <c r="S839" s="239"/>
      <c r="AE839" s="174"/>
    </row>
    <row r="840" ht="16.5" customHeight="1">
      <c r="S840" s="239"/>
      <c r="AE840" s="174"/>
    </row>
    <row r="841" ht="16.5" customHeight="1">
      <c r="S841" s="239"/>
      <c r="AE841" s="174"/>
    </row>
    <row r="842" ht="16.5" customHeight="1">
      <c r="S842" s="239"/>
      <c r="AE842" s="174"/>
    </row>
    <row r="843" ht="16.5" customHeight="1">
      <c r="S843" s="239"/>
      <c r="AE843" s="174"/>
    </row>
    <row r="844" ht="16.5" customHeight="1">
      <c r="S844" s="239"/>
      <c r="AE844" s="174"/>
    </row>
    <row r="845" ht="16.5" customHeight="1">
      <c r="S845" s="239"/>
      <c r="AE845" s="174"/>
    </row>
    <row r="846" ht="16.5" customHeight="1">
      <c r="S846" s="239"/>
      <c r="AE846" s="174"/>
    </row>
    <row r="847" ht="16.5" customHeight="1">
      <c r="S847" s="239"/>
      <c r="AE847" s="174"/>
    </row>
    <row r="848" ht="16.5" customHeight="1">
      <c r="S848" s="239"/>
      <c r="AE848" s="174"/>
    </row>
    <row r="849" ht="16.5" customHeight="1">
      <c r="S849" s="239"/>
      <c r="AE849" s="174"/>
    </row>
    <row r="850" ht="16.5" customHeight="1">
      <c r="S850" s="239"/>
      <c r="AE850" s="174"/>
    </row>
    <row r="851" ht="16.5" customHeight="1">
      <c r="S851" s="239"/>
      <c r="AE851" s="174"/>
    </row>
    <row r="852" ht="16.5" customHeight="1">
      <c r="S852" s="239"/>
      <c r="AE852" s="174"/>
    </row>
    <row r="853" ht="16.5" customHeight="1">
      <c r="S853" s="239"/>
      <c r="AE853" s="174"/>
    </row>
    <row r="854" ht="16.5" customHeight="1">
      <c r="S854" s="239"/>
      <c r="AE854" s="174"/>
    </row>
    <row r="855" ht="16.5" customHeight="1">
      <c r="S855" s="239"/>
      <c r="AE855" s="174"/>
    </row>
    <row r="856" ht="16.5" customHeight="1">
      <c r="S856" s="239"/>
      <c r="AE856" s="174"/>
    </row>
    <row r="857" ht="16.5" customHeight="1">
      <c r="S857" s="239"/>
      <c r="AE857" s="174"/>
    </row>
    <row r="858" ht="16.5" customHeight="1">
      <c r="S858" s="239"/>
      <c r="AE858" s="174"/>
    </row>
    <row r="859" ht="16.5" customHeight="1">
      <c r="S859" s="239"/>
      <c r="AE859" s="174"/>
    </row>
    <row r="860" ht="16.5" customHeight="1">
      <c r="S860" s="239"/>
      <c r="AE860" s="174"/>
    </row>
    <row r="861" ht="16.5" customHeight="1">
      <c r="S861" s="239"/>
      <c r="AE861" s="174"/>
    </row>
    <row r="862" ht="16.5" customHeight="1">
      <c r="S862" s="239"/>
      <c r="AE862" s="174"/>
    </row>
    <row r="863" ht="16.5" customHeight="1">
      <c r="S863" s="239"/>
      <c r="AE863" s="174"/>
    </row>
    <row r="864" ht="16.5" customHeight="1">
      <c r="S864" s="239"/>
      <c r="AE864" s="174"/>
    </row>
    <row r="865" ht="16.5" customHeight="1">
      <c r="S865" s="239"/>
      <c r="AE865" s="174"/>
    </row>
    <row r="866" ht="16.5" customHeight="1">
      <c r="S866" s="239"/>
      <c r="AE866" s="174"/>
    </row>
    <row r="867" ht="16.5" customHeight="1">
      <c r="S867" s="239"/>
      <c r="AE867" s="174"/>
    </row>
    <row r="868" ht="16.5" customHeight="1">
      <c r="S868" s="239"/>
      <c r="AE868" s="174"/>
    </row>
    <row r="869" ht="16.5" customHeight="1">
      <c r="S869" s="239"/>
      <c r="AE869" s="174"/>
    </row>
    <row r="870" ht="16.5" customHeight="1">
      <c r="S870" s="239"/>
      <c r="AE870" s="174"/>
    </row>
    <row r="871" ht="16.5" customHeight="1">
      <c r="S871" s="239"/>
      <c r="AE871" s="174"/>
    </row>
    <row r="872" ht="16.5" customHeight="1">
      <c r="S872" s="239"/>
      <c r="AE872" s="174"/>
    </row>
    <row r="873" ht="16.5" customHeight="1">
      <c r="S873" s="239"/>
      <c r="AE873" s="174"/>
    </row>
    <row r="874" ht="16.5" customHeight="1">
      <c r="S874" s="239"/>
      <c r="AE874" s="174"/>
    </row>
    <row r="875" ht="16.5" customHeight="1">
      <c r="S875" s="239"/>
      <c r="AE875" s="174"/>
    </row>
    <row r="876" ht="16.5" customHeight="1">
      <c r="S876" s="239"/>
      <c r="AE876" s="174"/>
    </row>
    <row r="877" ht="16.5" customHeight="1">
      <c r="S877" s="239"/>
      <c r="AE877" s="174"/>
    </row>
    <row r="878" ht="16.5" customHeight="1">
      <c r="S878" s="239"/>
      <c r="AE878" s="174"/>
    </row>
    <row r="879" ht="16.5" customHeight="1">
      <c r="S879" s="239"/>
      <c r="AE879" s="174"/>
    </row>
    <row r="880" ht="16.5" customHeight="1">
      <c r="S880" s="239"/>
      <c r="AE880" s="174"/>
    </row>
    <row r="881" ht="16.5" customHeight="1">
      <c r="S881" s="239"/>
      <c r="AE881" s="174"/>
    </row>
    <row r="882" ht="16.5" customHeight="1">
      <c r="S882" s="239"/>
      <c r="AE882" s="174"/>
    </row>
    <row r="883" ht="16.5" customHeight="1">
      <c r="S883" s="239"/>
      <c r="AE883" s="174"/>
    </row>
    <row r="884" ht="16.5" customHeight="1">
      <c r="S884" s="239"/>
      <c r="AE884" s="174"/>
    </row>
    <row r="885" ht="16.5" customHeight="1">
      <c r="S885" s="239"/>
      <c r="AE885" s="174"/>
    </row>
    <row r="886" ht="16.5" customHeight="1">
      <c r="S886" s="239"/>
      <c r="AE886" s="174"/>
    </row>
    <row r="887" ht="16.5" customHeight="1">
      <c r="S887" s="239"/>
      <c r="AE887" s="174"/>
    </row>
    <row r="888" ht="16.5" customHeight="1">
      <c r="S888" s="239"/>
      <c r="AE888" s="174"/>
    </row>
    <row r="889" ht="16.5" customHeight="1">
      <c r="S889" s="239"/>
      <c r="AE889" s="174"/>
    </row>
    <row r="890" ht="16.5" customHeight="1">
      <c r="S890" s="239"/>
      <c r="AE890" s="174"/>
    </row>
    <row r="891" ht="16.5" customHeight="1">
      <c r="S891" s="239"/>
      <c r="AE891" s="174"/>
    </row>
    <row r="892" ht="16.5" customHeight="1">
      <c r="S892" s="239"/>
      <c r="AE892" s="174"/>
    </row>
    <row r="893" ht="16.5" customHeight="1">
      <c r="S893" s="239"/>
      <c r="AE893" s="174"/>
    </row>
    <row r="894" ht="16.5" customHeight="1">
      <c r="S894" s="239"/>
      <c r="AE894" s="174"/>
    </row>
    <row r="895" ht="16.5" customHeight="1">
      <c r="S895" s="239"/>
      <c r="AE895" s="174"/>
    </row>
    <row r="896" ht="16.5" customHeight="1">
      <c r="S896" s="239"/>
      <c r="AE896" s="174"/>
    </row>
    <row r="897" ht="16.5" customHeight="1">
      <c r="S897" s="239"/>
      <c r="AE897" s="174"/>
    </row>
    <row r="898" ht="16.5" customHeight="1">
      <c r="S898" s="239"/>
      <c r="AE898" s="174"/>
    </row>
    <row r="899" ht="16.5" customHeight="1">
      <c r="S899" s="239"/>
      <c r="AE899" s="174"/>
    </row>
    <row r="900" ht="16.5" customHeight="1">
      <c r="S900" s="239"/>
      <c r="AE900" s="174"/>
    </row>
    <row r="901" ht="16.5" customHeight="1">
      <c r="S901" s="239"/>
      <c r="AE901" s="174"/>
    </row>
    <row r="902" ht="16.5" customHeight="1">
      <c r="S902" s="239"/>
      <c r="AE902" s="174"/>
    </row>
    <row r="903" ht="16.5" customHeight="1">
      <c r="S903" s="239"/>
      <c r="AE903" s="174"/>
    </row>
    <row r="904" ht="16.5" customHeight="1">
      <c r="S904" s="239"/>
      <c r="AE904" s="174"/>
    </row>
    <row r="905" ht="16.5" customHeight="1">
      <c r="S905" s="239"/>
      <c r="AE905" s="174"/>
    </row>
    <row r="906" ht="16.5" customHeight="1">
      <c r="S906" s="239"/>
      <c r="AE906" s="174"/>
    </row>
    <row r="907" ht="16.5" customHeight="1">
      <c r="S907" s="239"/>
      <c r="AE907" s="174"/>
    </row>
    <row r="908" ht="16.5" customHeight="1">
      <c r="S908" s="239"/>
      <c r="AE908" s="174"/>
    </row>
    <row r="909" ht="16.5" customHeight="1">
      <c r="S909" s="239"/>
      <c r="AE909" s="174"/>
    </row>
    <row r="910" ht="16.5" customHeight="1">
      <c r="S910" s="239"/>
      <c r="AE910" s="174"/>
    </row>
    <row r="911" ht="16.5" customHeight="1">
      <c r="S911" s="239"/>
      <c r="AE911" s="174"/>
    </row>
    <row r="912" ht="16.5" customHeight="1">
      <c r="S912" s="239"/>
      <c r="AE912" s="174"/>
    </row>
    <row r="913" ht="16.5" customHeight="1">
      <c r="S913" s="239"/>
      <c r="AE913" s="174"/>
    </row>
    <row r="914" ht="16.5" customHeight="1">
      <c r="S914" s="239"/>
      <c r="AE914" s="174"/>
    </row>
    <row r="915" ht="16.5" customHeight="1">
      <c r="S915" s="239"/>
      <c r="AE915" s="174"/>
    </row>
    <row r="916" ht="16.5" customHeight="1">
      <c r="S916" s="239"/>
      <c r="AE916" s="174"/>
    </row>
    <row r="917" ht="16.5" customHeight="1">
      <c r="S917" s="239"/>
      <c r="AE917" s="174"/>
    </row>
    <row r="918" ht="16.5" customHeight="1">
      <c r="S918" s="239"/>
      <c r="AE918" s="174"/>
    </row>
    <row r="919" ht="16.5" customHeight="1">
      <c r="S919" s="239"/>
      <c r="AE919" s="174"/>
    </row>
    <row r="920" ht="16.5" customHeight="1">
      <c r="S920" s="239"/>
      <c r="AE920" s="174"/>
    </row>
    <row r="921" ht="16.5" customHeight="1">
      <c r="S921" s="239"/>
      <c r="AE921" s="174"/>
    </row>
    <row r="922" ht="16.5" customHeight="1">
      <c r="S922" s="239"/>
      <c r="AE922" s="174"/>
    </row>
    <row r="923" ht="16.5" customHeight="1">
      <c r="S923" s="239"/>
      <c r="AE923" s="174"/>
    </row>
    <row r="924" ht="16.5" customHeight="1">
      <c r="S924" s="239"/>
      <c r="AE924" s="174"/>
    </row>
    <row r="925" ht="16.5" customHeight="1">
      <c r="S925" s="239"/>
      <c r="AE925" s="174"/>
    </row>
    <row r="926" ht="16.5" customHeight="1">
      <c r="S926" s="239"/>
      <c r="AE926" s="174"/>
    </row>
    <row r="927" ht="16.5" customHeight="1">
      <c r="S927" s="239"/>
      <c r="AE927" s="174"/>
    </row>
    <row r="928" ht="16.5" customHeight="1">
      <c r="S928" s="239"/>
      <c r="AE928" s="174"/>
    </row>
    <row r="929" ht="16.5" customHeight="1">
      <c r="S929" s="239"/>
      <c r="AE929" s="174"/>
    </row>
    <row r="930" ht="16.5" customHeight="1">
      <c r="S930" s="239"/>
      <c r="AE930" s="174"/>
    </row>
    <row r="931" ht="16.5" customHeight="1">
      <c r="S931" s="239"/>
      <c r="AE931" s="174"/>
    </row>
    <row r="932" ht="16.5" customHeight="1">
      <c r="S932" s="239"/>
      <c r="AE932" s="174"/>
    </row>
    <row r="933" ht="16.5" customHeight="1">
      <c r="S933" s="239"/>
      <c r="AE933" s="174"/>
    </row>
    <row r="934" ht="16.5" customHeight="1">
      <c r="S934" s="239"/>
      <c r="AE934" s="174"/>
    </row>
    <row r="935" ht="16.5" customHeight="1">
      <c r="S935" s="239"/>
      <c r="AE935" s="174"/>
    </row>
    <row r="936" ht="16.5" customHeight="1">
      <c r="S936" s="239"/>
      <c r="AE936" s="174"/>
    </row>
    <row r="937" ht="16.5" customHeight="1">
      <c r="S937" s="239"/>
      <c r="AE937" s="174"/>
    </row>
    <row r="938" ht="16.5" customHeight="1">
      <c r="S938" s="239"/>
      <c r="AE938" s="174"/>
    </row>
    <row r="939" ht="16.5" customHeight="1">
      <c r="S939" s="239"/>
      <c r="AE939" s="174"/>
    </row>
    <row r="940" ht="16.5" customHeight="1">
      <c r="S940" s="239"/>
      <c r="AE940" s="174"/>
    </row>
    <row r="941" ht="16.5" customHeight="1">
      <c r="S941" s="239"/>
      <c r="AE941" s="174"/>
    </row>
    <row r="942" ht="16.5" customHeight="1">
      <c r="S942" s="239"/>
      <c r="AE942" s="174"/>
    </row>
    <row r="943" ht="16.5" customHeight="1">
      <c r="S943" s="239"/>
      <c r="AE943" s="174"/>
    </row>
    <row r="944" ht="16.5" customHeight="1">
      <c r="S944" s="239"/>
      <c r="AE944" s="174"/>
    </row>
    <row r="945" ht="16.5" customHeight="1">
      <c r="S945" s="239"/>
      <c r="AE945" s="174"/>
    </row>
    <row r="946" ht="16.5" customHeight="1">
      <c r="S946" s="239"/>
      <c r="AE946" s="174"/>
    </row>
    <row r="947" ht="16.5" customHeight="1">
      <c r="S947" s="239"/>
      <c r="AE947" s="174"/>
    </row>
    <row r="948" ht="16.5" customHeight="1">
      <c r="S948" s="239"/>
      <c r="AE948" s="174"/>
    </row>
    <row r="949" ht="16.5" customHeight="1">
      <c r="S949" s="239"/>
      <c r="AE949" s="174"/>
    </row>
    <row r="950" ht="16.5" customHeight="1">
      <c r="S950" s="239"/>
      <c r="AE950" s="174"/>
    </row>
    <row r="951" ht="16.5" customHeight="1">
      <c r="S951" s="239"/>
      <c r="AE951" s="174"/>
    </row>
    <row r="952" ht="16.5" customHeight="1">
      <c r="S952" s="239"/>
      <c r="AE952" s="174"/>
    </row>
    <row r="953" ht="16.5" customHeight="1">
      <c r="S953" s="239"/>
      <c r="AE953" s="174"/>
    </row>
    <row r="954" ht="16.5" customHeight="1">
      <c r="S954" s="239"/>
      <c r="AE954" s="174"/>
    </row>
    <row r="955" ht="16.5" customHeight="1">
      <c r="S955" s="239"/>
      <c r="AE955" s="174"/>
    </row>
    <row r="956" ht="16.5" customHeight="1">
      <c r="S956" s="239"/>
      <c r="AE956" s="174"/>
    </row>
    <row r="957" ht="16.5" customHeight="1">
      <c r="S957" s="239"/>
      <c r="AE957" s="174"/>
    </row>
    <row r="958" ht="16.5" customHeight="1">
      <c r="S958" s="239"/>
      <c r="AE958" s="174"/>
    </row>
    <row r="959" ht="16.5" customHeight="1">
      <c r="S959" s="239"/>
      <c r="AE959" s="174"/>
    </row>
    <row r="960" ht="16.5" customHeight="1">
      <c r="S960" s="239"/>
      <c r="AE960" s="174"/>
    </row>
    <row r="961" ht="16.5" customHeight="1">
      <c r="S961" s="239"/>
      <c r="AE961" s="174"/>
    </row>
    <row r="962" ht="16.5" customHeight="1">
      <c r="S962" s="239"/>
      <c r="AE962" s="174"/>
    </row>
    <row r="963" ht="16.5" customHeight="1">
      <c r="S963" s="239"/>
      <c r="AE963" s="174"/>
    </row>
    <row r="964" ht="16.5" customHeight="1">
      <c r="S964" s="239"/>
      <c r="AE964" s="174"/>
    </row>
    <row r="965" ht="16.5" customHeight="1">
      <c r="S965" s="239"/>
      <c r="AE965" s="174"/>
    </row>
    <row r="966" ht="16.5" customHeight="1">
      <c r="S966" s="239"/>
      <c r="AE966" s="174"/>
    </row>
    <row r="967" ht="16.5" customHeight="1">
      <c r="S967" s="239"/>
      <c r="AE967" s="174"/>
    </row>
    <row r="968" ht="16.5" customHeight="1">
      <c r="S968" s="239"/>
      <c r="AE968" s="174"/>
    </row>
    <row r="969" ht="16.5" customHeight="1">
      <c r="S969" s="239"/>
      <c r="AE969" s="174"/>
    </row>
    <row r="970" ht="16.5" customHeight="1">
      <c r="S970" s="239"/>
      <c r="AE970" s="174"/>
    </row>
    <row r="971" ht="16.5" customHeight="1">
      <c r="S971" s="239"/>
      <c r="AE971" s="174"/>
    </row>
    <row r="972" ht="16.5" customHeight="1">
      <c r="S972" s="239"/>
      <c r="AE972" s="174"/>
    </row>
    <row r="973" ht="16.5" customHeight="1">
      <c r="S973" s="239"/>
      <c r="AE973" s="174"/>
    </row>
    <row r="974" ht="16.5" customHeight="1">
      <c r="S974" s="239"/>
      <c r="AE974" s="174"/>
    </row>
    <row r="975" ht="16.5" customHeight="1">
      <c r="S975" s="239"/>
      <c r="AE975" s="174"/>
    </row>
    <row r="976" ht="16.5" customHeight="1">
      <c r="S976" s="239"/>
      <c r="AE976" s="174"/>
    </row>
    <row r="977" ht="16.5" customHeight="1">
      <c r="S977" s="239"/>
      <c r="AE977" s="174"/>
    </row>
    <row r="978" ht="16.5" customHeight="1">
      <c r="S978" s="239"/>
      <c r="AE978" s="174"/>
    </row>
    <row r="979" ht="16.5" customHeight="1">
      <c r="S979" s="239"/>
      <c r="AE979" s="174"/>
    </row>
    <row r="980" ht="16.5" customHeight="1">
      <c r="S980" s="239"/>
      <c r="AE980" s="174"/>
    </row>
    <row r="981" ht="16.5" customHeight="1">
      <c r="S981" s="239"/>
      <c r="AE981" s="174"/>
    </row>
    <row r="982" ht="16.5" customHeight="1">
      <c r="S982" s="239"/>
      <c r="AE982" s="174"/>
    </row>
    <row r="983" ht="16.5" customHeight="1">
      <c r="S983" s="239"/>
      <c r="AE983" s="174"/>
    </row>
    <row r="984" ht="16.5" customHeight="1">
      <c r="S984" s="239"/>
      <c r="AE984" s="174"/>
    </row>
    <row r="985" ht="16.5" customHeight="1">
      <c r="S985" s="239"/>
      <c r="AE985" s="174"/>
    </row>
    <row r="986" ht="16.5" customHeight="1">
      <c r="S986" s="239"/>
      <c r="AE986" s="174"/>
    </row>
    <row r="987" ht="16.5" customHeight="1">
      <c r="S987" s="239"/>
      <c r="AE987" s="174"/>
    </row>
    <row r="988" ht="16.5" customHeight="1">
      <c r="S988" s="239"/>
      <c r="AE988" s="174"/>
    </row>
    <row r="989" ht="16.5" customHeight="1">
      <c r="S989" s="239"/>
      <c r="AE989" s="174"/>
    </row>
    <row r="990" ht="16.5" customHeight="1">
      <c r="S990" s="239"/>
      <c r="AE990" s="174"/>
    </row>
    <row r="991" ht="16.5" customHeight="1">
      <c r="S991" s="239"/>
      <c r="AE991" s="174"/>
    </row>
    <row r="992" ht="16.5" customHeight="1">
      <c r="S992" s="239"/>
      <c r="AE992" s="174"/>
    </row>
    <row r="993" ht="16.5" customHeight="1">
      <c r="S993" s="239"/>
      <c r="AE993" s="174"/>
    </row>
    <row r="994" ht="16.5" customHeight="1">
      <c r="S994" s="239"/>
      <c r="AE994" s="174"/>
    </row>
    <row r="995" ht="16.5" customHeight="1">
      <c r="S995" s="239"/>
      <c r="AE995" s="174"/>
    </row>
    <row r="996" ht="16.5" customHeight="1">
      <c r="S996" s="239"/>
      <c r="AE996" s="174"/>
    </row>
    <row r="997" ht="16.5" customHeight="1">
      <c r="S997" s="239"/>
      <c r="AE997" s="174"/>
    </row>
    <row r="998" ht="16.5" customHeight="1">
      <c r="S998" s="239"/>
      <c r="AE998" s="174"/>
    </row>
    <row r="999" ht="16.5" customHeight="1">
      <c r="S999" s="239"/>
      <c r="AE999" s="174"/>
    </row>
    <row r="1000" ht="16.5" customHeight="1">
      <c r="S1000" s="239"/>
      <c r="AE1000" s="174"/>
    </row>
    <row r="1001" ht="16.5" customHeight="1">
      <c r="S1001" s="239"/>
      <c r="AE1001" s="174"/>
    </row>
    <row r="1002" ht="16.5" customHeight="1">
      <c r="S1002" s="239"/>
      <c r="AE1002" s="174"/>
    </row>
    <row r="1003" ht="16.5" customHeight="1">
      <c r="S1003" s="239"/>
      <c r="AE1003" s="174"/>
    </row>
  </sheetData>
  <dataValidations>
    <dataValidation type="list" allowBlank="1" showErrorMessage="1" sqref="Z2:AD21 Z23:AD25">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6.1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300.13"/>
    <col customWidth="1" min="32" max="33" width="118.0"/>
  </cols>
  <sheetData>
    <row r="1" ht="15.75" customHeight="1">
      <c r="A1" s="42"/>
      <c r="B1" s="43" t="s">
        <v>61</v>
      </c>
      <c r="C1" s="56" t="s">
        <v>393</v>
      </c>
      <c r="D1" s="56" t="s">
        <v>83</v>
      </c>
      <c r="E1" s="72" t="s">
        <v>63</v>
      </c>
      <c r="F1" s="72" t="s">
        <v>83</v>
      </c>
      <c r="G1" s="72" t="s">
        <v>394</v>
      </c>
      <c r="H1" s="72" t="s">
        <v>83</v>
      </c>
      <c r="I1" s="72" t="s">
        <v>395</v>
      </c>
      <c r="J1" s="72" t="s">
        <v>83</v>
      </c>
      <c r="K1" s="72" t="s">
        <v>440</v>
      </c>
      <c r="L1" s="72" t="s">
        <v>83</v>
      </c>
      <c r="M1" s="72" t="s">
        <v>397</v>
      </c>
      <c r="N1" s="72" t="s">
        <v>83</v>
      </c>
      <c r="O1" s="72" t="s">
        <v>441</v>
      </c>
      <c r="P1" s="72" t="s">
        <v>83</v>
      </c>
      <c r="Q1" s="240" t="s">
        <v>48</v>
      </c>
      <c r="R1" s="240" t="s">
        <v>83</v>
      </c>
      <c r="S1" s="72" t="s">
        <v>399</v>
      </c>
      <c r="T1" s="43" t="s">
        <v>83</v>
      </c>
      <c r="U1" s="43" t="s">
        <v>32</v>
      </c>
      <c r="V1" s="43" t="s">
        <v>83</v>
      </c>
      <c r="W1" s="42"/>
      <c r="X1" s="43" t="s">
        <v>33</v>
      </c>
      <c r="Y1" s="43" t="s">
        <v>73</v>
      </c>
      <c r="Z1" s="43" t="s">
        <v>74</v>
      </c>
      <c r="AA1" s="42" t="s">
        <v>75</v>
      </c>
      <c r="AB1" s="42" t="s">
        <v>76</v>
      </c>
      <c r="AC1" s="42" t="s">
        <v>77</v>
      </c>
      <c r="AD1" s="42" t="s">
        <v>210</v>
      </c>
      <c r="AE1" s="96" t="s">
        <v>79</v>
      </c>
      <c r="AF1" s="132"/>
      <c r="AG1" s="132"/>
    </row>
    <row r="2" ht="15.75" customHeight="1">
      <c r="A2" s="42">
        <v>1.0</v>
      </c>
      <c r="B2" s="176" t="s">
        <v>442</v>
      </c>
      <c r="C2" s="63">
        <v>19.0</v>
      </c>
      <c r="D2" s="56" t="str">
        <f t="shared" ref="D2:D4" si="1">VLOOKUP(C2,$B$24:$C$32,2)</f>
        <v>U</v>
      </c>
      <c r="E2" s="73">
        <v>35.0</v>
      </c>
      <c r="F2" s="56" t="str">
        <f t="shared" ref="F2:F4" si="2">VLOOKUP(E2,$B$24:$C$32,2)</f>
        <v>F</v>
      </c>
      <c r="G2" s="73">
        <v>29.0</v>
      </c>
      <c r="H2" s="77" t="str">
        <f t="shared" ref="H2:H4" si="3">VLOOKUP(G2,$B$24:$C$32,2)</f>
        <v>G</v>
      </c>
      <c r="I2" s="72"/>
      <c r="J2" s="56"/>
      <c r="K2" s="73">
        <v>41.0</v>
      </c>
      <c r="L2" s="56" t="str">
        <f t="shared" ref="L2:L6" si="4">VLOOKUP(K2,$B$24:$C$32,2)</f>
        <v>E</v>
      </c>
      <c r="M2" s="73">
        <v>13.0</v>
      </c>
      <c r="N2" s="56" t="str">
        <f t="shared" ref="N2:N8" si="5">VLOOKUP(M2,$B$24:$C$32,2)</f>
        <v>U</v>
      </c>
      <c r="O2" s="72"/>
      <c r="P2" s="56"/>
      <c r="Q2" s="73">
        <v>9.0</v>
      </c>
      <c r="R2" s="56" t="str">
        <f t="shared" ref="R2:R3" si="6">VLOOKUP(Q2,$B$24:$C$32,2)</f>
        <v>U</v>
      </c>
      <c r="S2" s="73"/>
      <c r="T2" s="56"/>
      <c r="U2" s="241"/>
      <c r="V2" s="56"/>
      <c r="W2" s="72"/>
      <c r="X2" s="233">
        <f t="shared" ref="X2:X8" si="7">AVERAGE(C2,E2,G2,I2,K2,M2,O2,Q2,S2,U2)</f>
        <v>24.33333333</v>
      </c>
      <c r="Y2" s="72">
        <f t="shared" ref="Y2:Y8" si="8">RANK(X2,$X$2:$X$8)</f>
        <v>7</v>
      </c>
      <c r="Z2" s="134" t="s">
        <v>90</v>
      </c>
      <c r="AA2" s="134" t="s">
        <v>90</v>
      </c>
      <c r="AB2" s="134" t="s">
        <v>90</v>
      </c>
      <c r="AC2" s="134" t="s">
        <v>90</v>
      </c>
      <c r="AD2" s="134" t="s">
        <v>90</v>
      </c>
      <c r="AE2" s="242" t="s">
        <v>443</v>
      </c>
      <c r="AF2" s="113"/>
      <c r="AG2" s="113"/>
    </row>
    <row r="3" ht="15.75" customHeight="1">
      <c r="A3" s="42">
        <v>2.0</v>
      </c>
      <c r="B3" s="176" t="s">
        <v>444</v>
      </c>
      <c r="C3" s="63">
        <v>30.0</v>
      </c>
      <c r="D3" s="56" t="str">
        <f t="shared" si="1"/>
        <v>F</v>
      </c>
      <c r="E3" s="73">
        <v>28.0</v>
      </c>
      <c r="F3" s="56" t="str">
        <f t="shared" si="2"/>
        <v>G</v>
      </c>
      <c r="G3" s="73">
        <v>44.0</v>
      </c>
      <c r="H3" s="77" t="str">
        <f t="shared" si="3"/>
        <v>E</v>
      </c>
      <c r="I3" s="72"/>
      <c r="J3" s="56"/>
      <c r="K3" s="72"/>
      <c r="L3" s="56" t="str">
        <f t="shared" si="4"/>
        <v>U</v>
      </c>
      <c r="M3" s="73">
        <v>29.0</v>
      </c>
      <c r="N3" s="56" t="str">
        <f t="shared" si="5"/>
        <v>G</v>
      </c>
      <c r="O3" s="72"/>
      <c r="P3" s="56"/>
      <c r="Q3" s="73">
        <v>14.0</v>
      </c>
      <c r="R3" s="56" t="str">
        <f t="shared" si="6"/>
        <v>U</v>
      </c>
      <c r="S3" s="207">
        <v>31.0</v>
      </c>
      <c r="T3" s="56" t="str">
        <f>VLOOKUP(S3,$B$24:$C$32,2)</f>
        <v>F</v>
      </c>
      <c r="U3" s="42"/>
      <c r="V3" s="56"/>
      <c r="W3" s="42"/>
      <c r="X3" s="233">
        <f t="shared" si="7"/>
        <v>29.33333333</v>
      </c>
      <c r="Y3" s="72">
        <f t="shared" si="8"/>
        <v>6</v>
      </c>
      <c r="Z3" s="134" t="s">
        <v>90</v>
      </c>
      <c r="AA3" s="134" t="s">
        <v>90</v>
      </c>
      <c r="AB3" s="134" t="s">
        <v>90</v>
      </c>
      <c r="AC3" s="134" t="s">
        <v>87</v>
      </c>
      <c r="AD3" s="134" t="s">
        <v>87</v>
      </c>
      <c r="AE3" s="242" t="s">
        <v>445</v>
      </c>
      <c r="AF3" s="113"/>
      <c r="AG3" s="113"/>
    </row>
    <row r="4" ht="15.75" customHeight="1">
      <c r="A4" s="42">
        <v>3.0</v>
      </c>
      <c r="B4" s="176" t="s">
        <v>446</v>
      </c>
      <c r="C4" s="63">
        <v>48.0</v>
      </c>
      <c r="D4" s="56" t="str">
        <f t="shared" si="1"/>
        <v>E</v>
      </c>
      <c r="E4" s="73">
        <v>13.0</v>
      </c>
      <c r="F4" s="56" t="str">
        <f t="shared" si="2"/>
        <v>U</v>
      </c>
      <c r="G4" s="73">
        <v>42.0</v>
      </c>
      <c r="H4" s="77" t="str">
        <f t="shared" si="3"/>
        <v>E</v>
      </c>
      <c r="I4" s="72"/>
      <c r="J4" s="56"/>
      <c r="K4" s="73">
        <v>68.0</v>
      </c>
      <c r="L4" s="56" t="str">
        <f t="shared" si="4"/>
        <v>C</v>
      </c>
      <c r="M4" s="73">
        <v>39.0</v>
      </c>
      <c r="N4" s="56" t="str">
        <f t="shared" si="5"/>
        <v>F</v>
      </c>
      <c r="O4" s="72"/>
      <c r="P4" s="56"/>
      <c r="Q4" s="72"/>
      <c r="R4" s="56"/>
      <c r="S4" s="236"/>
      <c r="T4" s="56"/>
      <c r="U4" s="121">
        <v>45.0</v>
      </c>
      <c r="V4" s="56" t="str">
        <f t="shared" ref="V4:V6" si="9">VLOOKUP(U4,$B$24:$C$32,2)</f>
        <v>E</v>
      </c>
      <c r="W4" s="42"/>
      <c r="X4" s="233">
        <f t="shared" si="7"/>
        <v>42.5</v>
      </c>
      <c r="Y4" s="72">
        <f t="shared" si="8"/>
        <v>3</v>
      </c>
      <c r="Z4" s="134" t="s">
        <v>90</v>
      </c>
      <c r="AA4" s="134" t="s">
        <v>87</v>
      </c>
      <c r="AB4" s="134" t="s">
        <v>90</v>
      </c>
      <c r="AC4" s="134" t="s">
        <v>87</v>
      </c>
      <c r="AD4" s="134" t="s">
        <v>87</v>
      </c>
      <c r="AE4" s="242" t="s">
        <v>447</v>
      </c>
      <c r="AF4" s="113"/>
      <c r="AG4" s="113"/>
    </row>
    <row r="5" ht="15.75" customHeight="1">
      <c r="A5" s="121">
        <v>4.0</v>
      </c>
      <c r="B5" s="176" t="s">
        <v>448</v>
      </c>
      <c r="C5" s="88"/>
      <c r="D5" s="56"/>
      <c r="E5" s="72"/>
      <c r="F5" s="56"/>
      <c r="G5" s="72"/>
      <c r="H5" s="77"/>
      <c r="I5" s="72"/>
      <c r="J5" s="56"/>
      <c r="K5" s="73">
        <v>87.0</v>
      </c>
      <c r="L5" s="56" t="str">
        <f t="shared" si="4"/>
        <v>A</v>
      </c>
      <c r="M5" s="73">
        <v>48.0</v>
      </c>
      <c r="N5" s="56" t="str">
        <f t="shared" si="5"/>
        <v>E</v>
      </c>
      <c r="O5" s="72"/>
      <c r="P5" s="56"/>
      <c r="Q5" s="72"/>
      <c r="R5" s="56" t="str">
        <f>VLOOKUP(Q5,$B$24:$C$32,2)</f>
        <v>U</v>
      </c>
      <c r="S5" s="236"/>
      <c r="T5" s="56" t="str">
        <f>VLOOKUP(S5,$B$24:$C$32,2)</f>
        <v>U</v>
      </c>
      <c r="U5" s="121">
        <v>42.0</v>
      </c>
      <c r="V5" s="56" t="str">
        <f t="shared" si="9"/>
        <v>E</v>
      </c>
      <c r="W5" s="42"/>
      <c r="X5" s="233">
        <f t="shared" si="7"/>
        <v>59</v>
      </c>
      <c r="Y5" s="72">
        <f t="shared" si="8"/>
        <v>2</v>
      </c>
      <c r="Z5" s="176"/>
      <c r="AA5" s="176"/>
      <c r="AB5" s="176"/>
      <c r="AC5" s="176"/>
      <c r="AD5" s="176"/>
      <c r="AE5" s="192"/>
      <c r="AF5" s="113"/>
      <c r="AG5" s="113"/>
    </row>
    <row r="6" ht="15.75" customHeight="1">
      <c r="A6" s="42">
        <v>5.0</v>
      </c>
      <c r="B6" s="176" t="s">
        <v>449</v>
      </c>
      <c r="C6" s="63">
        <v>30.0</v>
      </c>
      <c r="D6" s="56" t="str">
        <f t="shared" ref="D6:D8" si="10">VLOOKUP(C6,$B$24:$C$32,2)</f>
        <v>F</v>
      </c>
      <c r="E6" s="73">
        <v>5.0</v>
      </c>
      <c r="F6" s="56" t="str">
        <f t="shared" ref="F6:F8" si="11">VLOOKUP(E6,$B$24:$C$32,2)</f>
        <v>U</v>
      </c>
      <c r="G6" s="73">
        <v>46.0</v>
      </c>
      <c r="H6" s="77" t="str">
        <f t="shared" ref="H6:H8" si="12">VLOOKUP(G6,$B$24:$C$32,2)</f>
        <v>E</v>
      </c>
      <c r="I6" s="72"/>
      <c r="J6" s="56"/>
      <c r="K6" s="73">
        <v>45.0</v>
      </c>
      <c r="L6" s="56" t="str">
        <f t="shared" si="4"/>
        <v>E</v>
      </c>
      <c r="M6" s="73">
        <v>15.0</v>
      </c>
      <c r="N6" s="56" t="str">
        <f t="shared" si="5"/>
        <v>U</v>
      </c>
      <c r="O6" s="72"/>
      <c r="P6" s="56"/>
      <c r="Q6" s="72"/>
      <c r="R6" s="56"/>
      <c r="S6" s="236"/>
      <c r="T6" s="56"/>
      <c r="U6" s="121">
        <v>39.0</v>
      </c>
      <c r="V6" s="56" t="str">
        <f t="shared" si="9"/>
        <v>F</v>
      </c>
      <c r="W6" s="42"/>
      <c r="X6" s="233">
        <f t="shared" si="7"/>
        <v>30</v>
      </c>
      <c r="Y6" s="72">
        <f t="shared" si="8"/>
        <v>5</v>
      </c>
      <c r="Z6" s="134" t="s">
        <v>90</v>
      </c>
      <c r="AA6" s="134" t="s">
        <v>90</v>
      </c>
      <c r="AB6" s="134" t="s">
        <v>90</v>
      </c>
      <c r="AC6" s="134" t="s">
        <v>87</v>
      </c>
      <c r="AD6" s="134" t="s">
        <v>87</v>
      </c>
      <c r="AE6" s="242" t="s">
        <v>450</v>
      </c>
      <c r="AF6" s="113"/>
      <c r="AG6" s="113"/>
    </row>
    <row r="7" ht="15.75" customHeight="1">
      <c r="A7" s="42">
        <v>6.0</v>
      </c>
      <c r="B7" s="176" t="s">
        <v>451</v>
      </c>
      <c r="C7" s="63">
        <v>43.0</v>
      </c>
      <c r="D7" s="56" t="str">
        <f t="shared" si="10"/>
        <v>E</v>
      </c>
      <c r="E7" s="73">
        <v>63.0</v>
      </c>
      <c r="F7" s="56" t="str">
        <f t="shared" si="11"/>
        <v>C</v>
      </c>
      <c r="G7" s="73">
        <v>67.0</v>
      </c>
      <c r="H7" s="56" t="str">
        <f t="shared" si="12"/>
        <v>C</v>
      </c>
      <c r="I7" s="72"/>
      <c r="J7" s="56"/>
      <c r="K7" s="72"/>
      <c r="L7" s="56"/>
      <c r="M7" s="73">
        <v>66.0</v>
      </c>
      <c r="N7" s="56" t="str">
        <f t="shared" si="5"/>
        <v>C</v>
      </c>
      <c r="O7" s="72"/>
      <c r="P7" s="56"/>
      <c r="Q7" s="73">
        <v>72.0</v>
      </c>
      <c r="R7" s="56" t="str">
        <f t="shared" ref="R7:R8" si="13">VLOOKUP(Q7,$B$24:$C$32,2)</f>
        <v>B</v>
      </c>
      <c r="S7" s="73">
        <v>78.0</v>
      </c>
      <c r="T7" s="56" t="str">
        <f>VLOOKUP(S7,$B$24:$C$32,2)</f>
        <v>B</v>
      </c>
      <c r="U7" s="42"/>
      <c r="V7" s="56"/>
      <c r="W7" s="42"/>
      <c r="X7" s="233">
        <f t="shared" si="7"/>
        <v>64.83333333</v>
      </c>
      <c r="Y7" s="72">
        <f t="shared" si="8"/>
        <v>1</v>
      </c>
      <c r="Z7" s="134" t="s">
        <v>87</v>
      </c>
      <c r="AA7" s="134" t="s">
        <v>87</v>
      </c>
      <c r="AB7" s="134" t="s">
        <v>85</v>
      </c>
      <c r="AC7" s="134" t="s">
        <v>87</v>
      </c>
      <c r="AD7" s="134" t="s">
        <v>85</v>
      </c>
      <c r="AE7" s="242" t="s">
        <v>452</v>
      </c>
      <c r="AF7" s="113"/>
      <c r="AG7" s="113"/>
    </row>
    <row r="8" ht="15.75" customHeight="1">
      <c r="A8" s="42">
        <v>7.0</v>
      </c>
      <c r="B8" s="176" t="s">
        <v>453</v>
      </c>
      <c r="C8" s="63">
        <v>30.0</v>
      </c>
      <c r="D8" s="56" t="str">
        <f t="shared" si="10"/>
        <v>F</v>
      </c>
      <c r="E8" s="73">
        <v>50.0</v>
      </c>
      <c r="F8" s="56" t="str">
        <f t="shared" si="11"/>
        <v>D</v>
      </c>
      <c r="G8" s="73">
        <v>38.0</v>
      </c>
      <c r="H8" s="77" t="str">
        <f t="shared" si="12"/>
        <v>F</v>
      </c>
      <c r="I8" s="72"/>
      <c r="J8" s="56"/>
      <c r="K8" s="73">
        <v>48.0</v>
      </c>
      <c r="L8" s="56" t="str">
        <f>VLOOKUP(K8,$B$24:$C$32,2)</f>
        <v>E</v>
      </c>
      <c r="M8" s="73">
        <v>31.0</v>
      </c>
      <c r="N8" s="56" t="str">
        <f t="shared" si="5"/>
        <v>F</v>
      </c>
      <c r="O8" s="72"/>
      <c r="P8" s="56"/>
      <c r="Q8" s="73">
        <v>14.0</v>
      </c>
      <c r="R8" s="56" t="str">
        <f t="shared" si="13"/>
        <v>U</v>
      </c>
      <c r="S8" s="72"/>
      <c r="T8" s="56"/>
      <c r="U8" s="42"/>
      <c r="V8" s="56"/>
      <c r="W8" s="42"/>
      <c r="X8" s="233">
        <f t="shared" si="7"/>
        <v>35.16666667</v>
      </c>
      <c r="Y8" s="72">
        <f t="shared" si="8"/>
        <v>4</v>
      </c>
      <c r="Z8" s="134" t="s">
        <v>90</v>
      </c>
      <c r="AA8" s="134" t="s">
        <v>90</v>
      </c>
      <c r="AB8" s="134" t="s">
        <v>90</v>
      </c>
      <c r="AC8" s="134" t="s">
        <v>90</v>
      </c>
      <c r="AD8" s="134" t="s">
        <v>90</v>
      </c>
      <c r="AE8" s="242" t="s">
        <v>454</v>
      </c>
      <c r="AF8" s="113"/>
      <c r="AG8" s="113"/>
    </row>
    <row r="9" ht="15.75" customHeight="1">
      <c r="A9" s="121">
        <v>8.0</v>
      </c>
      <c r="B9" s="176" t="s">
        <v>455</v>
      </c>
      <c r="C9" s="63">
        <v>40.0</v>
      </c>
      <c r="D9" s="56" t="str">
        <f>VLOOKUP(C9,'IGCSE 1C'!$B$32:$C$40,2)</f>
        <v>E</v>
      </c>
      <c r="E9" s="73">
        <v>48.0</v>
      </c>
      <c r="F9" s="56" t="str">
        <f>VLOOKUP(E9,'IGCSE 1C'!$B$32:$C$40,2)</f>
        <v>E</v>
      </c>
      <c r="G9" s="73">
        <v>51.0</v>
      </c>
      <c r="H9" s="56" t="str">
        <f>VLOOKUP(G9,'IGCSE 1C'!$B$32:$C$40,2)</f>
        <v>D</v>
      </c>
      <c r="I9" s="72"/>
      <c r="J9" s="56"/>
      <c r="K9" s="72"/>
      <c r="L9" s="56"/>
      <c r="M9" s="73">
        <v>29.0</v>
      </c>
      <c r="N9" s="56" t="str">
        <f>VLOOKUP(M9,'IGCSE 1C'!$B$32:$C$40,2)</f>
        <v>G</v>
      </c>
      <c r="O9" s="72"/>
      <c r="P9" s="56"/>
      <c r="Q9" s="73">
        <v>54.0</v>
      </c>
      <c r="R9" s="56" t="str">
        <f>VLOOKUP(Q9,'IGCSE 1C'!$B$32:$C$40,2)</f>
        <v>D</v>
      </c>
      <c r="S9" s="207">
        <v>55.0</v>
      </c>
      <c r="T9" s="56" t="str">
        <f>VLOOKUP(S9,'IGCSE 1C'!$B$32:$C$40,2)</f>
        <v>D</v>
      </c>
      <c r="U9" s="42"/>
      <c r="V9" s="56"/>
      <c r="W9" s="56"/>
      <c r="X9" s="56"/>
      <c r="Y9" s="121">
        <v>8.0</v>
      </c>
      <c r="Z9" s="134" t="s">
        <v>85</v>
      </c>
      <c r="AA9" s="134" t="s">
        <v>87</v>
      </c>
      <c r="AB9" s="134" t="s">
        <v>90</v>
      </c>
      <c r="AC9" s="134" t="s">
        <v>87</v>
      </c>
      <c r="AD9" s="134" t="s">
        <v>87</v>
      </c>
      <c r="AE9" s="134" t="s">
        <v>456</v>
      </c>
      <c r="AF9" s="134" t="s">
        <v>456</v>
      </c>
      <c r="AG9" s="192"/>
    </row>
    <row r="10" ht="30.75" customHeight="1">
      <c r="A10" s="42">
        <v>9.0</v>
      </c>
      <c r="B10" s="176"/>
      <c r="C10" s="88"/>
      <c r="D10" s="56" t="str">
        <f t="shared" ref="D10:D13" si="14">VLOOKUP(C10,$B$24:$C$32,2)</f>
        <v>U</v>
      </c>
      <c r="E10" s="72"/>
      <c r="F10" s="56" t="str">
        <f t="shared" ref="F10:F13" si="15">VLOOKUP(E10,$B$24:$C$32,2)</f>
        <v>U</v>
      </c>
      <c r="G10" s="72"/>
      <c r="H10" s="56" t="str">
        <f t="shared" ref="H10:H13" si="16">VLOOKUP(G10,$B$24:$C$32,2)</f>
        <v>U</v>
      </c>
      <c r="I10" s="72"/>
      <c r="J10" s="56" t="str">
        <f t="shared" ref="J10:J13" si="17">VLOOKUP(I10,$B$24:$C$32,2)</f>
        <v>U</v>
      </c>
      <c r="K10" s="72"/>
      <c r="L10" s="56" t="str">
        <f t="shared" ref="L10:L13" si="18">VLOOKUP(K10,$B$24:$C$32,2)</f>
        <v>U</v>
      </c>
      <c r="M10" s="72"/>
      <c r="N10" s="56" t="str">
        <f t="shared" ref="N10:N13" si="19">VLOOKUP(M10,$B$24:$C$32,2)</f>
        <v>U</v>
      </c>
      <c r="O10" s="72"/>
      <c r="P10" s="56" t="str">
        <f t="shared" ref="P10:P13" si="20">VLOOKUP(O10,$B$24:$C$32,2)</f>
        <v>U</v>
      </c>
      <c r="Q10" s="72"/>
      <c r="R10" s="56" t="str">
        <f t="shared" ref="R10:R13" si="21">VLOOKUP(Q10,$B$24:$C$32,2)</f>
        <v>U</v>
      </c>
      <c r="S10" s="236"/>
      <c r="T10" s="56" t="str">
        <f t="shared" ref="T10:T13" si="22">VLOOKUP(S10,$B$24:$C$32,2)</f>
        <v>U</v>
      </c>
      <c r="U10" s="42"/>
      <c r="V10" s="56" t="str">
        <f t="shared" ref="V10:V13" si="23">VLOOKUP(U10,$B$24:$C$32,2)</f>
        <v>U</v>
      </c>
      <c r="W10" s="42"/>
      <c r="X10" s="233"/>
      <c r="Y10" s="72" t="str">
        <f t="shared" ref="Y10:Y13" si="24">RANK(X10,$X$2:$X$13)</f>
        <v>#N/A</v>
      </c>
      <c r="Z10" s="176"/>
      <c r="AA10" s="176"/>
      <c r="AB10" s="176"/>
      <c r="AC10" s="176"/>
      <c r="AD10" s="176"/>
      <c r="AE10" s="193"/>
      <c r="AF10" s="174"/>
      <c r="AG10" s="174"/>
    </row>
    <row r="11" ht="17.25" customHeight="1">
      <c r="A11" s="42">
        <v>10.0</v>
      </c>
      <c r="B11" s="95"/>
      <c r="C11" s="88"/>
      <c r="D11" s="56" t="str">
        <f t="shared" si="14"/>
        <v>U</v>
      </c>
      <c r="E11" s="72"/>
      <c r="F11" s="56" t="str">
        <f t="shared" si="15"/>
        <v>U</v>
      </c>
      <c r="G11" s="72"/>
      <c r="H11" s="56" t="str">
        <f t="shared" si="16"/>
        <v>U</v>
      </c>
      <c r="I11" s="72"/>
      <c r="J11" s="56" t="str">
        <f t="shared" si="17"/>
        <v>U</v>
      </c>
      <c r="K11" s="72"/>
      <c r="L11" s="56" t="str">
        <f t="shared" si="18"/>
        <v>U</v>
      </c>
      <c r="M11" s="72"/>
      <c r="N11" s="56" t="str">
        <f t="shared" si="19"/>
        <v>U</v>
      </c>
      <c r="O11" s="72"/>
      <c r="P11" s="56" t="str">
        <f t="shared" si="20"/>
        <v>U</v>
      </c>
      <c r="Q11" s="72"/>
      <c r="R11" s="56" t="str">
        <f t="shared" si="21"/>
        <v>U</v>
      </c>
      <c r="S11" s="236"/>
      <c r="T11" s="56" t="str">
        <f t="shared" si="22"/>
        <v>U</v>
      </c>
      <c r="U11" s="42"/>
      <c r="V11" s="56" t="str">
        <f t="shared" si="23"/>
        <v>U</v>
      </c>
      <c r="W11" s="42"/>
      <c r="X11" s="233"/>
      <c r="Y11" s="72" t="str">
        <f t="shared" si="24"/>
        <v>#N/A</v>
      </c>
      <c r="Z11" s="176"/>
      <c r="AA11" s="176"/>
      <c r="AB11" s="176"/>
      <c r="AC11" s="176"/>
      <c r="AD11" s="176"/>
      <c r="AE11" s="193"/>
      <c r="AF11" s="174"/>
      <c r="AG11" s="174"/>
    </row>
    <row r="12" ht="21.75" customHeight="1">
      <c r="A12" s="42">
        <v>11.0</v>
      </c>
      <c r="B12" s="95"/>
      <c r="C12" s="88"/>
      <c r="D12" s="56" t="str">
        <f t="shared" si="14"/>
        <v>U</v>
      </c>
      <c r="E12" s="72"/>
      <c r="F12" s="56" t="str">
        <f t="shared" si="15"/>
        <v>U</v>
      </c>
      <c r="G12" s="72"/>
      <c r="H12" s="56" t="str">
        <f t="shared" si="16"/>
        <v>U</v>
      </c>
      <c r="I12" s="72"/>
      <c r="J12" s="56" t="str">
        <f t="shared" si="17"/>
        <v>U</v>
      </c>
      <c r="K12" s="72"/>
      <c r="L12" s="56" t="str">
        <f t="shared" si="18"/>
        <v>U</v>
      </c>
      <c r="M12" s="72"/>
      <c r="N12" s="56" t="str">
        <f t="shared" si="19"/>
        <v>U</v>
      </c>
      <c r="O12" s="72"/>
      <c r="P12" s="56" t="str">
        <f t="shared" si="20"/>
        <v>U</v>
      </c>
      <c r="Q12" s="72"/>
      <c r="R12" s="56" t="str">
        <f t="shared" si="21"/>
        <v>U</v>
      </c>
      <c r="S12" s="236"/>
      <c r="T12" s="56" t="str">
        <f t="shared" si="22"/>
        <v>U</v>
      </c>
      <c r="U12" s="43"/>
      <c r="V12" s="56" t="str">
        <f t="shared" si="23"/>
        <v>U</v>
      </c>
      <c r="W12" s="42"/>
      <c r="X12" s="233"/>
      <c r="Y12" s="72" t="str">
        <f t="shared" si="24"/>
        <v>#N/A</v>
      </c>
      <c r="Z12" s="176"/>
      <c r="AA12" s="176"/>
      <c r="AB12" s="176"/>
      <c r="AC12" s="176"/>
      <c r="AD12" s="176"/>
      <c r="AE12" s="193"/>
      <c r="AF12" s="174"/>
      <c r="AG12" s="174"/>
    </row>
    <row r="13" ht="21.0" customHeight="1">
      <c r="A13" s="42">
        <v>12.0</v>
      </c>
      <c r="B13" s="95"/>
      <c r="C13" s="88"/>
      <c r="D13" s="56" t="str">
        <f t="shared" si="14"/>
        <v>U</v>
      </c>
      <c r="E13" s="72"/>
      <c r="F13" s="56" t="str">
        <f t="shared" si="15"/>
        <v>U</v>
      </c>
      <c r="G13" s="72"/>
      <c r="H13" s="56" t="str">
        <f t="shared" si="16"/>
        <v>U</v>
      </c>
      <c r="I13" s="72"/>
      <c r="J13" s="56" t="str">
        <f t="shared" si="17"/>
        <v>U</v>
      </c>
      <c r="K13" s="72"/>
      <c r="L13" s="56" t="str">
        <f t="shared" si="18"/>
        <v>U</v>
      </c>
      <c r="M13" s="72"/>
      <c r="N13" s="56" t="str">
        <f t="shared" si="19"/>
        <v>U</v>
      </c>
      <c r="O13" s="72"/>
      <c r="P13" s="56" t="str">
        <f t="shared" si="20"/>
        <v>U</v>
      </c>
      <c r="Q13" s="72"/>
      <c r="R13" s="56" t="str">
        <f t="shared" si="21"/>
        <v>U</v>
      </c>
      <c r="S13" s="236"/>
      <c r="T13" s="56" t="str">
        <f t="shared" si="22"/>
        <v>U</v>
      </c>
      <c r="U13" s="43"/>
      <c r="V13" s="56" t="str">
        <f t="shared" si="23"/>
        <v>U</v>
      </c>
      <c r="W13" s="42"/>
      <c r="X13" s="233"/>
      <c r="Y13" s="72" t="str">
        <f t="shared" si="24"/>
        <v>#N/A</v>
      </c>
      <c r="Z13" s="176"/>
      <c r="AA13" s="176"/>
      <c r="AB13" s="176"/>
      <c r="AC13" s="176"/>
      <c r="AD13" s="176"/>
      <c r="AE13" s="193"/>
      <c r="AF13" s="174"/>
      <c r="AG13" s="174"/>
    </row>
    <row r="14" ht="15.75" customHeight="1">
      <c r="A14" s="113">
        <v>30.0</v>
      </c>
      <c r="B14" s="101"/>
      <c r="C14" s="147"/>
      <c r="D14" s="103"/>
      <c r="E14" s="33"/>
      <c r="F14" s="105"/>
      <c r="G14" s="33"/>
      <c r="H14" s="105"/>
      <c r="I14" s="33"/>
      <c r="J14" s="105"/>
      <c r="K14" s="33"/>
      <c r="L14" s="105"/>
      <c r="M14" s="33"/>
      <c r="N14" s="105"/>
      <c r="O14" s="33"/>
      <c r="P14" s="105"/>
      <c r="Q14" s="33"/>
      <c r="R14" s="105"/>
      <c r="S14" s="33"/>
      <c r="T14" s="101"/>
      <c r="U14" s="33"/>
      <c r="V14" s="101"/>
      <c r="W14" s="101"/>
      <c r="X14" s="101"/>
      <c r="Y14" s="101"/>
      <c r="Z14" s="101"/>
      <c r="AA14" s="101"/>
    </row>
    <row r="15" ht="15.75" customHeight="1">
      <c r="B15" s="101"/>
      <c r="C15" s="147"/>
      <c r="D15" s="103"/>
      <c r="E15" s="33"/>
      <c r="F15" s="105"/>
      <c r="G15" s="33"/>
      <c r="H15" s="105"/>
      <c r="I15" s="33"/>
      <c r="J15" s="105"/>
      <c r="K15" s="33"/>
      <c r="L15" s="105"/>
      <c r="M15" s="33"/>
      <c r="N15" s="105"/>
      <c r="O15" s="33"/>
      <c r="P15" s="105"/>
      <c r="Q15" s="33"/>
      <c r="R15" s="105"/>
      <c r="S15" s="33"/>
      <c r="T15" s="101"/>
      <c r="U15" s="33"/>
      <c r="V15" s="101"/>
      <c r="W15" s="101"/>
      <c r="X15" s="101"/>
      <c r="Y15" s="101"/>
      <c r="Z15" s="101"/>
      <c r="AA15" s="101"/>
      <c r="AE15" s="174"/>
      <c r="AF15" s="174"/>
      <c r="AG15" s="174"/>
    </row>
    <row r="16" ht="15.75" customHeight="1">
      <c r="B16" s="101"/>
      <c r="C16" s="147"/>
      <c r="D16" s="103"/>
      <c r="E16" s="33"/>
      <c r="F16" s="105"/>
      <c r="G16" s="33"/>
      <c r="H16" s="105"/>
      <c r="I16" s="33"/>
      <c r="J16" s="105"/>
      <c r="K16" s="33"/>
      <c r="L16" s="105"/>
      <c r="M16" s="33"/>
      <c r="N16" s="243" t="s">
        <v>457</v>
      </c>
      <c r="O16" s="33"/>
      <c r="P16" s="105"/>
      <c r="Q16" s="33"/>
      <c r="R16" s="105"/>
      <c r="S16" s="33"/>
      <c r="T16" s="101"/>
      <c r="U16" s="33"/>
      <c r="V16" s="101"/>
      <c r="W16" s="101"/>
      <c r="X16" s="101"/>
      <c r="Y16" s="101"/>
      <c r="Z16" s="101"/>
      <c r="AA16" s="101"/>
      <c r="AE16" s="174"/>
      <c r="AF16" s="174"/>
      <c r="AG16" s="174"/>
    </row>
    <row r="17" ht="15.75" customHeight="1">
      <c r="B17" s="101" t="s">
        <v>33</v>
      </c>
      <c r="C17" s="237">
        <f>AVERAGE(C2:C10)</f>
        <v>34.28571429</v>
      </c>
      <c r="D17" s="238"/>
      <c r="E17" s="237">
        <f>AVERAGE(E2:E10)</f>
        <v>34.57142857</v>
      </c>
      <c r="F17" s="105"/>
      <c r="G17" s="237">
        <f>AVERAGE(G2:G10)</f>
        <v>45.28571429</v>
      </c>
      <c r="H17" s="105"/>
      <c r="I17" s="237" t="str">
        <f>AVERAGE(I2:I10)</f>
        <v>#DIV/0!</v>
      </c>
      <c r="J17" s="105"/>
      <c r="K17" s="237">
        <f>AVERAGE(K2:K10)</f>
        <v>57.8</v>
      </c>
      <c r="L17" s="105"/>
      <c r="M17" s="237">
        <f>AVERAGE(M2:M10)</f>
        <v>33.75</v>
      </c>
      <c r="N17" s="105"/>
      <c r="O17" s="237" t="str">
        <f>AVERAGE(O2:O10)</f>
        <v>#DIV/0!</v>
      </c>
      <c r="P17" s="105"/>
      <c r="Q17" s="237">
        <f>AVERAGE(Q2:Q10)</f>
        <v>32.6</v>
      </c>
      <c r="R17" s="105"/>
      <c r="S17" s="237">
        <f>AVERAGE(S2:S10)</f>
        <v>54.66666667</v>
      </c>
      <c r="T17" s="101"/>
      <c r="U17" s="237">
        <f>AVERAGE(U2:U10)</f>
        <v>42</v>
      </c>
      <c r="V17" s="101"/>
      <c r="W17" s="101"/>
      <c r="X17" s="101"/>
      <c r="Y17" s="101"/>
      <c r="Z17" s="101"/>
      <c r="AA17" s="101"/>
      <c r="AE17" s="174"/>
      <c r="AF17" s="174"/>
      <c r="AG17" s="174"/>
    </row>
    <row r="18" ht="15.75" customHeight="1">
      <c r="B18" s="101" t="s">
        <v>34</v>
      </c>
      <c r="C18" s="104">
        <f>COUNT(C2:C10)</f>
        <v>7</v>
      </c>
      <c r="D18" s="104"/>
      <c r="E18" s="104">
        <f>COUNT(E2:E10)</f>
        <v>7</v>
      </c>
      <c r="F18" s="105"/>
      <c r="G18" s="104">
        <f>COUNT(G2:G10)</f>
        <v>7</v>
      </c>
      <c r="H18" s="105"/>
      <c r="I18" s="104">
        <f>COUNT(I2:I10)</f>
        <v>0</v>
      </c>
      <c r="J18" s="105"/>
      <c r="K18" s="104">
        <f>COUNT(K2:K10)</f>
        <v>5</v>
      </c>
      <c r="L18" s="105"/>
      <c r="M18" s="104">
        <f>COUNT(M2:M10)</f>
        <v>8</v>
      </c>
      <c r="N18" s="105"/>
      <c r="O18" s="104">
        <f>COUNT(O2:O10)</f>
        <v>0</v>
      </c>
      <c r="P18" s="105"/>
      <c r="Q18" s="104">
        <f>COUNT(Q2:Q10)</f>
        <v>5</v>
      </c>
      <c r="R18" s="105"/>
      <c r="S18" s="104">
        <f>COUNT(S2:S10)</f>
        <v>3</v>
      </c>
      <c r="T18" s="101"/>
      <c r="U18" s="104">
        <f>COUNT(U2:U10)</f>
        <v>3</v>
      </c>
      <c r="V18" s="101"/>
      <c r="W18" s="101"/>
      <c r="X18" s="101"/>
      <c r="Y18" s="101"/>
      <c r="Z18" s="101"/>
      <c r="AA18" s="101"/>
      <c r="AE18" s="174"/>
      <c r="AF18" s="174"/>
      <c r="AG18" s="174"/>
    </row>
    <row r="19" ht="15.75" customHeight="1">
      <c r="B19" s="101" t="s">
        <v>35</v>
      </c>
      <c r="C19" s="104">
        <f>COUNTIF(C2:C10,"&gt;49")</f>
        <v>0</v>
      </c>
      <c r="D19" s="104"/>
      <c r="E19" s="104">
        <f>COUNTIF(E2:E10,"&gt;49")</f>
        <v>2</v>
      </c>
      <c r="F19" s="105"/>
      <c r="G19" s="104">
        <f>COUNTIF(G2:G10,"&gt;49")</f>
        <v>2</v>
      </c>
      <c r="H19" s="105"/>
      <c r="I19" s="104">
        <f>COUNTIF(I2:I10,"&gt;49")</f>
        <v>0</v>
      </c>
      <c r="J19" s="105"/>
      <c r="K19" s="104">
        <f>COUNTIF(K2:K10,"&gt;49")</f>
        <v>2</v>
      </c>
      <c r="L19" s="105"/>
      <c r="M19" s="104">
        <f>COUNTIF(M2:M10,"&gt;49")</f>
        <v>1</v>
      </c>
      <c r="N19" s="105"/>
      <c r="O19" s="104">
        <f>COUNTIF(O2:O10,"&gt;49")</f>
        <v>0</v>
      </c>
      <c r="P19" s="105"/>
      <c r="Q19" s="104">
        <f>COUNTIF(Q2:Q10,"&gt;49")</f>
        <v>2</v>
      </c>
      <c r="R19" s="105"/>
      <c r="S19" s="104">
        <f>COUNTIF(S2:S10,"&gt;49")</f>
        <v>2</v>
      </c>
      <c r="T19" s="101"/>
      <c r="U19" s="104">
        <f>COUNTIF(U2:U10,"&gt;49")</f>
        <v>0</v>
      </c>
      <c r="V19" s="101"/>
      <c r="W19" s="101"/>
      <c r="X19" s="101"/>
      <c r="Y19" s="101"/>
      <c r="Z19" s="101"/>
      <c r="AA19" s="101"/>
      <c r="AE19" s="174"/>
      <c r="AF19" s="174"/>
      <c r="AG19" s="174"/>
    </row>
    <row r="20" ht="15.75" customHeight="1">
      <c r="B20" s="101" t="s">
        <v>36</v>
      </c>
      <c r="C20" s="104">
        <f>COUNTIF(C2:C10,"&lt;50")</f>
        <v>7</v>
      </c>
      <c r="D20" s="104"/>
      <c r="E20" s="104">
        <f>COUNTIF(E2:E10,"&lt;50")</f>
        <v>5</v>
      </c>
      <c r="F20" s="105"/>
      <c r="G20" s="104">
        <f>COUNTIF(G2:G10,"&lt;50")</f>
        <v>5</v>
      </c>
      <c r="H20" s="105"/>
      <c r="I20" s="104">
        <f>COUNTIF(I2:I10,"&lt;50")</f>
        <v>0</v>
      </c>
      <c r="J20" s="105"/>
      <c r="K20" s="104">
        <f>COUNTIF(K2:K10,"&lt;50")</f>
        <v>3</v>
      </c>
      <c r="L20" s="105"/>
      <c r="M20" s="104">
        <f>COUNTIF(M2:M10,"&lt;50")</f>
        <v>7</v>
      </c>
      <c r="N20" s="105"/>
      <c r="O20" s="104">
        <f>COUNTIF(O2:O10,"&lt;50")</f>
        <v>0</v>
      </c>
      <c r="P20" s="105"/>
      <c r="Q20" s="104">
        <f>COUNTIF(Q2:Q10,"&lt;50")</f>
        <v>3</v>
      </c>
      <c r="R20" s="105"/>
      <c r="S20" s="104">
        <f>COUNTIF(S2:S10,"&lt;50")</f>
        <v>1</v>
      </c>
      <c r="T20" s="101"/>
      <c r="U20" s="104">
        <f>COUNTIF(U2:U10,"&lt;50")</f>
        <v>3</v>
      </c>
      <c r="V20" s="101"/>
      <c r="W20" s="101"/>
      <c r="X20" s="101"/>
      <c r="Y20" s="101"/>
      <c r="Z20" s="101"/>
      <c r="AA20" s="101"/>
      <c r="AE20" s="174"/>
      <c r="AF20" s="174"/>
      <c r="AG20" s="174"/>
    </row>
    <row r="21" ht="15.75" customHeight="1">
      <c r="B21" s="31" t="s">
        <v>37</v>
      </c>
      <c r="C21" s="107">
        <f>C19*100/C18</f>
        <v>0</v>
      </c>
      <c r="D21" s="109"/>
      <c r="E21" s="107">
        <f>E19*100/E18</f>
        <v>28.57142857</v>
      </c>
      <c r="F21" s="110"/>
      <c r="G21" s="107">
        <f>G19*100/G18</f>
        <v>28.57142857</v>
      </c>
      <c r="H21" s="110"/>
      <c r="I21" s="107" t="str">
        <f>I19*100/I18</f>
        <v>#DIV/0!</v>
      </c>
      <c r="J21" s="110"/>
      <c r="K21" s="107">
        <f>K19*100/K18</f>
        <v>40</v>
      </c>
      <c r="L21" s="110"/>
      <c r="M21" s="107">
        <f>M19*100/M18</f>
        <v>12.5</v>
      </c>
      <c r="N21" s="110"/>
      <c r="O21" s="107" t="str">
        <f>O19*100/O18</f>
        <v>#DIV/0!</v>
      </c>
      <c r="P21" s="110"/>
      <c r="Q21" s="107">
        <f>Q19*100/Q18</f>
        <v>40</v>
      </c>
      <c r="R21" s="110"/>
      <c r="S21" s="107">
        <f>S19*100/S18</f>
        <v>66.66666667</v>
      </c>
      <c r="T21" s="31"/>
      <c r="U21" s="107">
        <f>U19*100/U18</f>
        <v>0</v>
      </c>
      <c r="V21" s="31"/>
      <c r="W21" s="31"/>
      <c r="X21" s="31"/>
      <c r="Y21" s="31"/>
      <c r="Z21" s="31"/>
      <c r="AA21" s="31"/>
      <c r="AE21" s="174"/>
      <c r="AF21" s="174"/>
      <c r="AG21" s="174"/>
    </row>
    <row r="22" ht="15.75" customHeight="1">
      <c r="C22" s="98"/>
      <c r="D22" s="98"/>
      <c r="E22" s="39"/>
      <c r="F22" s="39"/>
      <c r="G22" s="39"/>
      <c r="H22" s="39"/>
      <c r="I22" s="39"/>
      <c r="J22" s="39"/>
      <c r="K22" s="39"/>
      <c r="L22" s="39"/>
      <c r="M22" s="39"/>
      <c r="N22" s="39"/>
      <c r="O22" s="39"/>
      <c r="P22" s="39"/>
      <c r="Q22" s="39"/>
      <c r="R22" s="39"/>
      <c r="S22" s="239"/>
      <c r="AE22" s="174"/>
      <c r="AF22" s="174"/>
      <c r="AG22" s="174"/>
    </row>
    <row r="23" ht="15.75" customHeight="1">
      <c r="C23" s="98"/>
      <c r="D23" s="98"/>
      <c r="E23" s="39"/>
      <c r="F23" s="39"/>
      <c r="G23" s="39"/>
      <c r="H23" s="39"/>
      <c r="I23" s="39"/>
      <c r="J23" s="39"/>
      <c r="K23" s="39"/>
      <c r="L23" s="39"/>
      <c r="M23" s="39"/>
      <c r="N23" s="39"/>
      <c r="O23" s="39"/>
      <c r="P23" s="39"/>
      <c r="Q23" s="39"/>
      <c r="R23" s="39"/>
      <c r="S23" s="239"/>
      <c r="AE23" s="174"/>
      <c r="AF23" s="174"/>
      <c r="AG23" s="174"/>
    </row>
    <row r="24" ht="15.75" customHeight="1">
      <c r="A24" s="26" t="s">
        <v>139</v>
      </c>
      <c r="B24" s="26">
        <v>0.0</v>
      </c>
      <c r="C24" s="113" t="s">
        <v>140</v>
      </c>
      <c r="D24" s="98"/>
      <c r="E24" s="39"/>
      <c r="F24" s="39"/>
      <c r="G24" s="39"/>
      <c r="H24" s="39"/>
      <c r="I24" s="39"/>
      <c r="J24" s="39"/>
      <c r="K24" s="39"/>
      <c r="L24" s="39"/>
      <c r="M24" s="39"/>
      <c r="N24" s="39"/>
      <c r="O24" s="39"/>
      <c r="P24" s="39"/>
      <c r="Q24" s="39"/>
      <c r="R24" s="39"/>
      <c r="S24" s="239"/>
      <c r="AE24" s="174"/>
      <c r="AF24" s="174"/>
      <c r="AG24" s="174"/>
    </row>
    <row r="25" ht="15.75" customHeight="1">
      <c r="A25" s="26" t="s">
        <v>141</v>
      </c>
      <c r="B25" s="26">
        <v>20.0</v>
      </c>
      <c r="C25" s="113" t="s">
        <v>142</v>
      </c>
      <c r="D25" s="98"/>
      <c r="E25" s="39"/>
      <c r="F25" s="39"/>
      <c r="G25" s="39"/>
      <c r="H25" s="39"/>
      <c r="I25" s="39"/>
      <c r="J25" s="39"/>
      <c r="K25" s="39"/>
      <c r="L25" s="39"/>
      <c r="M25" s="39"/>
      <c r="N25" s="39"/>
      <c r="O25" s="39"/>
      <c r="P25" s="39"/>
      <c r="Q25" s="39"/>
      <c r="R25" s="39"/>
      <c r="S25" s="239"/>
      <c r="AE25" s="174"/>
      <c r="AF25" s="174"/>
      <c r="AG25" s="174"/>
    </row>
    <row r="26" ht="15.75" customHeight="1">
      <c r="A26" s="114" t="s">
        <v>143</v>
      </c>
      <c r="B26" s="115">
        <v>30.0</v>
      </c>
      <c r="C26" s="114" t="s">
        <v>144</v>
      </c>
      <c r="D26" s="98"/>
      <c r="E26" s="39"/>
      <c r="F26" s="39"/>
      <c r="G26" s="39"/>
      <c r="H26" s="39"/>
      <c r="I26" s="39"/>
      <c r="J26" s="39"/>
      <c r="K26" s="39"/>
      <c r="L26" s="39"/>
      <c r="M26" s="39"/>
      <c r="N26" s="39"/>
      <c r="O26" s="39"/>
      <c r="P26" s="39"/>
      <c r="Q26" s="39"/>
      <c r="R26" s="39"/>
      <c r="S26" s="239"/>
      <c r="AE26" s="174"/>
      <c r="AF26" s="174"/>
      <c r="AG26" s="174"/>
    </row>
    <row r="27" ht="15.75" customHeight="1">
      <c r="A27" s="114" t="s">
        <v>145</v>
      </c>
      <c r="B27" s="115">
        <v>40.0</v>
      </c>
      <c r="C27" s="114" t="s">
        <v>146</v>
      </c>
      <c r="D27" s="98"/>
      <c r="E27" s="39"/>
      <c r="F27" s="39"/>
      <c r="G27" s="39"/>
      <c r="H27" s="39"/>
      <c r="I27" s="39"/>
      <c r="J27" s="39"/>
      <c r="K27" s="39"/>
      <c r="L27" s="39"/>
      <c r="M27" s="39"/>
      <c r="N27" s="39"/>
      <c r="O27" s="39"/>
      <c r="P27" s="39"/>
      <c r="Q27" s="39"/>
      <c r="R27" s="39"/>
      <c r="S27" s="239"/>
      <c r="AE27" s="174"/>
      <c r="AF27" s="174"/>
      <c r="AG27" s="174"/>
    </row>
    <row r="28" ht="15.75" customHeight="1">
      <c r="A28" s="114" t="s">
        <v>147</v>
      </c>
      <c r="B28" s="115">
        <v>50.0</v>
      </c>
      <c r="C28" s="114" t="s">
        <v>93</v>
      </c>
      <c r="D28" s="98"/>
      <c r="E28" s="39"/>
      <c r="F28" s="39"/>
      <c r="G28" s="39"/>
      <c r="H28" s="39"/>
      <c r="I28" s="39"/>
      <c r="J28" s="39"/>
      <c r="K28" s="39"/>
      <c r="L28" s="39"/>
      <c r="M28" s="39"/>
      <c r="N28" s="39"/>
      <c r="O28" s="39"/>
      <c r="P28" s="39"/>
      <c r="Q28" s="39"/>
      <c r="R28" s="39"/>
      <c r="S28" s="239"/>
      <c r="AE28" s="174"/>
      <c r="AF28" s="174"/>
      <c r="AG28" s="174"/>
    </row>
    <row r="29" ht="15.75" customHeight="1">
      <c r="A29" s="114" t="s">
        <v>148</v>
      </c>
      <c r="B29" s="115">
        <v>60.0</v>
      </c>
      <c r="C29" s="114" t="s">
        <v>90</v>
      </c>
      <c r="D29" s="98"/>
      <c r="E29" s="39"/>
      <c r="F29" s="39"/>
      <c r="G29" s="39"/>
      <c r="H29" s="39"/>
      <c r="I29" s="39"/>
      <c r="J29" s="39"/>
      <c r="K29" s="39"/>
      <c r="L29" s="39"/>
      <c r="M29" s="39"/>
      <c r="N29" s="39"/>
      <c r="O29" s="39"/>
      <c r="P29" s="39"/>
      <c r="Q29" s="39"/>
      <c r="R29" s="39"/>
      <c r="S29" s="239"/>
      <c r="AE29" s="174"/>
      <c r="AF29" s="174"/>
      <c r="AG29" s="174"/>
    </row>
    <row r="30" ht="15.75" customHeight="1">
      <c r="A30" s="114" t="s">
        <v>149</v>
      </c>
      <c r="B30" s="115">
        <v>70.0</v>
      </c>
      <c r="C30" s="114" t="s">
        <v>87</v>
      </c>
      <c r="D30" s="98"/>
      <c r="E30" s="39"/>
      <c r="F30" s="39"/>
      <c r="G30" s="39"/>
      <c r="H30" s="39"/>
      <c r="I30" s="39"/>
      <c r="J30" s="39"/>
      <c r="K30" s="39"/>
      <c r="L30" s="39"/>
      <c r="M30" s="39"/>
      <c r="N30" s="39"/>
      <c r="O30" s="39"/>
      <c r="P30" s="39"/>
      <c r="Q30" s="39"/>
      <c r="R30" s="39"/>
      <c r="S30" s="239"/>
      <c r="AE30" s="174"/>
      <c r="AF30" s="174"/>
      <c r="AG30" s="174"/>
    </row>
    <row r="31" ht="15.75" customHeight="1">
      <c r="A31" s="116" t="s">
        <v>150</v>
      </c>
      <c r="B31" s="117">
        <v>80.0</v>
      </c>
      <c r="C31" s="116" t="s">
        <v>85</v>
      </c>
      <c r="D31" s="98"/>
      <c r="E31" s="39"/>
      <c r="F31" s="39"/>
      <c r="G31" s="39"/>
      <c r="H31" s="39"/>
      <c r="I31" s="39"/>
      <c r="J31" s="39"/>
      <c r="K31" s="39"/>
      <c r="L31" s="39"/>
      <c r="M31" s="39"/>
      <c r="N31" s="39"/>
      <c r="O31" s="39"/>
      <c r="P31" s="39"/>
      <c r="Q31" s="39"/>
      <c r="R31" s="39"/>
      <c r="S31" s="239"/>
      <c r="AE31" s="174"/>
      <c r="AF31" s="174"/>
      <c r="AG31" s="174"/>
    </row>
    <row r="32" ht="15.75" customHeight="1">
      <c r="A32" s="116" t="s">
        <v>151</v>
      </c>
      <c r="B32" s="117">
        <v>90.0</v>
      </c>
      <c r="C32" s="116" t="s">
        <v>152</v>
      </c>
      <c r="D32" s="98"/>
      <c r="E32" s="39"/>
      <c r="F32" s="39"/>
      <c r="G32" s="39"/>
      <c r="H32" s="39"/>
      <c r="I32" s="39"/>
      <c r="J32" s="39"/>
      <c r="K32" s="39"/>
      <c r="L32" s="39"/>
      <c r="M32" s="39"/>
      <c r="N32" s="39"/>
      <c r="O32" s="39"/>
      <c r="P32" s="39"/>
      <c r="Q32" s="39"/>
      <c r="R32" s="39"/>
      <c r="S32" s="239"/>
      <c r="AE32" s="174"/>
      <c r="AF32" s="174"/>
      <c r="AG32" s="174"/>
    </row>
    <row r="33" ht="15.75" customHeight="1">
      <c r="C33" s="98"/>
      <c r="D33" s="98"/>
      <c r="E33" s="39"/>
      <c r="F33" s="39"/>
      <c r="G33" s="39"/>
      <c r="H33" s="39"/>
      <c r="I33" s="39"/>
      <c r="J33" s="39"/>
      <c r="K33" s="39"/>
      <c r="L33" s="39"/>
      <c r="M33" s="39"/>
      <c r="N33" s="39"/>
      <c r="O33" s="39"/>
      <c r="P33" s="39"/>
      <c r="Q33" s="39"/>
      <c r="R33" s="39"/>
      <c r="S33" s="239"/>
      <c r="AE33" s="174"/>
      <c r="AF33" s="174"/>
      <c r="AG33" s="174"/>
    </row>
    <row r="34" ht="15.75" customHeight="1">
      <c r="C34" s="98"/>
      <c r="D34" s="98"/>
      <c r="E34" s="39"/>
      <c r="F34" s="39"/>
      <c r="G34" s="39"/>
      <c r="H34" s="39"/>
      <c r="I34" s="39"/>
      <c r="J34" s="39"/>
      <c r="K34" s="39"/>
      <c r="L34" s="39"/>
      <c r="M34" s="39"/>
      <c r="N34" s="39"/>
      <c r="O34" s="39"/>
      <c r="P34" s="39"/>
      <c r="Q34" s="39"/>
      <c r="R34" s="39"/>
      <c r="S34" s="239"/>
      <c r="AE34" s="174"/>
      <c r="AF34" s="174"/>
      <c r="AG34" s="174"/>
    </row>
    <row r="35" ht="15.75" customHeight="1">
      <c r="C35" s="98"/>
      <c r="D35" s="98"/>
      <c r="E35" s="39"/>
      <c r="F35" s="39"/>
      <c r="G35" s="39"/>
      <c r="H35" s="39"/>
      <c r="I35" s="39"/>
      <c r="J35" s="39"/>
      <c r="K35" s="39"/>
      <c r="L35" s="39"/>
      <c r="M35" s="39"/>
      <c r="N35" s="39"/>
      <c r="O35" s="39"/>
      <c r="P35" s="39"/>
      <c r="Q35" s="39"/>
      <c r="R35" s="39"/>
      <c r="S35" s="239"/>
      <c r="AE35" s="174"/>
      <c r="AF35" s="174"/>
      <c r="AG35" s="174"/>
    </row>
    <row r="36" ht="15.75" customHeight="1">
      <c r="C36" s="98"/>
      <c r="D36" s="98"/>
      <c r="E36" s="39"/>
      <c r="F36" s="39"/>
      <c r="G36" s="39"/>
      <c r="H36" s="39"/>
      <c r="I36" s="39"/>
      <c r="J36" s="39"/>
      <c r="K36" s="39"/>
      <c r="L36" s="39"/>
      <c r="M36" s="39"/>
      <c r="N36" s="39"/>
      <c r="O36" s="39"/>
      <c r="P36" s="39"/>
      <c r="Q36" s="39"/>
      <c r="R36" s="39"/>
      <c r="S36" s="239"/>
      <c r="AE36" s="174"/>
      <c r="AF36" s="174"/>
      <c r="AG36" s="174"/>
    </row>
    <row r="37" ht="15.75" customHeight="1">
      <c r="C37" s="98"/>
      <c r="D37" s="98"/>
      <c r="E37" s="39"/>
      <c r="F37" s="39"/>
      <c r="G37" s="39"/>
      <c r="H37" s="39"/>
      <c r="I37" s="39"/>
      <c r="J37" s="39"/>
      <c r="K37" s="39"/>
      <c r="L37" s="39"/>
      <c r="M37" s="39"/>
      <c r="N37" s="39"/>
      <c r="O37" s="39"/>
      <c r="P37" s="39"/>
      <c r="Q37" s="39"/>
      <c r="R37" s="39"/>
      <c r="S37" s="239"/>
      <c r="AE37" s="174"/>
      <c r="AF37" s="174"/>
      <c r="AG37" s="174"/>
    </row>
    <row r="38" ht="15.75" customHeight="1">
      <c r="C38" s="98"/>
      <c r="D38" s="98"/>
      <c r="E38" s="39"/>
      <c r="F38" s="39"/>
      <c r="G38" s="39"/>
      <c r="H38" s="39"/>
      <c r="I38" s="39"/>
      <c r="J38" s="39"/>
      <c r="K38" s="39"/>
      <c r="L38" s="39"/>
      <c r="M38" s="39"/>
      <c r="N38" s="39"/>
      <c r="O38" s="39"/>
      <c r="P38" s="39"/>
      <c r="Q38" s="39"/>
      <c r="R38" s="39"/>
      <c r="S38" s="239"/>
      <c r="AE38" s="174"/>
      <c r="AF38" s="174"/>
      <c r="AG38" s="174"/>
    </row>
    <row r="39" ht="15.75" customHeight="1">
      <c r="C39" s="98"/>
      <c r="D39" s="98"/>
      <c r="E39" s="39"/>
      <c r="F39" s="39"/>
      <c r="G39" s="39"/>
      <c r="H39" s="39"/>
      <c r="I39" s="39"/>
      <c r="J39" s="39"/>
      <c r="K39" s="39"/>
      <c r="L39" s="39"/>
      <c r="M39" s="39"/>
      <c r="N39" s="39"/>
      <c r="O39" s="39"/>
      <c r="P39" s="39"/>
      <c r="Q39" s="39"/>
      <c r="R39" s="39"/>
      <c r="S39" s="239"/>
      <c r="AE39" s="174"/>
      <c r="AF39" s="174"/>
      <c r="AG39" s="174"/>
    </row>
    <row r="40" ht="15.75" customHeight="1">
      <c r="C40" s="98"/>
      <c r="D40" s="98"/>
      <c r="E40" s="39"/>
      <c r="F40" s="39"/>
      <c r="G40" s="39"/>
      <c r="H40" s="39"/>
      <c r="I40" s="39"/>
      <c r="J40" s="39"/>
      <c r="K40" s="39"/>
      <c r="L40" s="39"/>
      <c r="M40" s="39"/>
      <c r="N40" s="39"/>
      <c r="O40" s="39"/>
      <c r="P40" s="39"/>
      <c r="Q40" s="39"/>
      <c r="R40" s="39"/>
      <c r="S40" s="239"/>
      <c r="AE40" s="174"/>
      <c r="AF40" s="174"/>
      <c r="AG40" s="174"/>
    </row>
    <row r="41" ht="15.75" customHeight="1">
      <c r="C41" s="98"/>
      <c r="D41" s="98"/>
      <c r="E41" s="39"/>
      <c r="F41" s="39"/>
      <c r="G41" s="39"/>
      <c r="H41" s="39"/>
      <c r="I41" s="39"/>
      <c r="J41" s="39"/>
      <c r="K41" s="39"/>
      <c r="L41" s="39"/>
      <c r="M41" s="39"/>
      <c r="N41" s="39"/>
      <c r="O41" s="39"/>
      <c r="P41" s="39"/>
      <c r="Q41" s="39"/>
      <c r="R41" s="39"/>
      <c r="S41" s="239"/>
      <c r="AE41" s="174"/>
      <c r="AF41" s="174"/>
      <c r="AG41" s="174"/>
    </row>
    <row r="42" ht="15.75" customHeight="1">
      <c r="C42" s="98"/>
      <c r="D42" s="98"/>
      <c r="E42" s="39"/>
      <c r="F42" s="39"/>
      <c r="G42" s="39"/>
      <c r="H42" s="39"/>
      <c r="I42" s="39"/>
      <c r="J42" s="39"/>
      <c r="K42" s="39"/>
      <c r="L42" s="39"/>
      <c r="M42" s="39"/>
      <c r="N42" s="39"/>
      <c r="O42" s="39"/>
      <c r="P42" s="39"/>
      <c r="Q42" s="39"/>
      <c r="R42" s="39"/>
      <c r="S42" s="239"/>
      <c r="AE42" s="174"/>
      <c r="AF42" s="174"/>
      <c r="AG42" s="174"/>
    </row>
    <row r="43" ht="15.75" customHeight="1">
      <c r="C43" s="98"/>
      <c r="D43" s="98"/>
      <c r="E43" s="39"/>
      <c r="F43" s="39"/>
      <c r="G43" s="39"/>
      <c r="H43" s="39"/>
      <c r="I43" s="39"/>
      <c r="J43" s="39"/>
      <c r="K43" s="39"/>
      <c r="L43" s="39"/>
      <c r="M43" s="39"/>
      <c r="N43" s="39"/>
      <c r="O43" s="39"/>
      <c r="P43" s="39"/>
      <c r="Q43" s="39"/>
      <c r="R43" s="39"/>
      <c r="S43" s="239"/>
      <c r="AE43" s="174"/>
      <c r="AF43" s="174"/>
      <c r="AG43" s="174"/>
    </row>
    <row r="44" ht="15.75" customHeight="1">
      <c r="C44" s="98"/>
      <c r="D44" s="98"/>
      <c r="E44" s="39"/>
      <c r="F44" s="39"/>
      <c r="G44" s="39"/>
      <c r="H44" s="39"/>
      <c r="I44" s="39"/>
      <c r="J44" s="39"/>
      <c r="K44" s="39"/>
      <c r="L44" s="39"/>
      <c r="M44" s="39"/>
      <c r="N44" s="39"/>
      <c r="O44" s="39"/>
      <c r="P44" s="39"/>
      <c r="Q44" s="39"/>
      <c r="R44" s="39"/>
      <c r="S44" s="239"/>
      <c r="AE44" s="174"/>
      <c r="AF44" s="174"/>
      <c r="AG44" s="174"/>
    </row>
    <row r="45" ht="15.75" customHeight="1">
      <c r="C45" s="98"/>
      <c r="D45" s="98"/>
      <c r="E45" s="39"/>
      <c r="F45" s="39"/>
      <c r="G45" s="39"/>
      <c r="H45" s="39"/>
      <c r="I45" s="39"/>
      <c r="J45" s="39"/>
      <c r="K45" s="39"/>
      <c r="L45" s="39"/>
      <c r="M45" s="39"/>
      <c r="N45" s="39"/>
      <c r="O45" s="39"/>
      <c r="P45" s="39"/>
      <c r="Q45" s="39"/>
      <c r="R45" s="39"/>
      <c r="S45" s="239"/>
      <c r="AE45" s="174"/>
      <c r="AF45" s="174"/>
      <c r="AG45" s="174"/>
    </row>
    <row r="46" ht="15.75" customHeight="1">
      <c r="C46" s="98"/>
      <c r="D46" s="98"/>
      <c r="E46" s="39"/>
      <c r="F46" s="39"/>
      <c r="G46" s="39"/>
      <c r="H46" s="39"/>
      <c r="I46" s="39"/>
      <c r="J46" s="39"/>
      <c r="K46" s="39"/>
      <c r="L46" s="39"/>
      <c r="M46" s="39"/>
      <c r="N46" s="39"/>
      <c r="O46" s="39"/>
      <c r="P46" s="39"/>
      <c r="Q46" s="39"/>
      <c r="R46" s="39"/>
      <c r="S46" s="239"/>
      <c r="AE46" s="174"/>
      <c r="AF46" s="174"/>
      <c r="AG46" s="174"/>
    </row>
    <row r="47" ht="15.75" customHeight="1">
      <c r="C47" s="98"/>
      <c r="D47" s="98"/>
      <c r="E47" s="39"/>
      <c r="F47" s="39"/>
      <c r="G47" s="39"/>
      <c r="H47" s="39"/>
      <c r="I47" s="39"/>
      <c r="J47" s="39"/>
      <c r="K47" s="39"/>
      <c r="L47" s="39"/>
      <c r="M47" s="39"/>
      <c r="N47" s="39"/>
      <c r="O47" s="39"/>
      <c r="P47" s="39"/>
      <c r="Q47" s="39"/>
      <c r="R47" s="39"/>
      <c r="S47" s="239"/>
      <c r="AE47" s="174"/>
      <c r="AF47" s="174"/>
      <c r="AG47" s="174"/>
    </row>
    <row r="48" ht="15.75" customHeight="1">
      <c r="C48" s="98"/>
      <c r="D48" s="98"/>
      <c r="E48" s="39"/>
      <c r="F48" s="39"/>
      <c r="G48" s="39"/>
      <c r="H48" s="39"/>
      <c r="I48" s="39"/>
      <c r="J48" s="39"/>
      <c r="K48" s="39"/>
      <c r="L48" s="39"/>
      <c r="M48" s="39"/>
      <c r="N48" s="39"/>
      <c r="O48" s="39"/>
      <c r="P48" s="39"/>
      <c r="Q48" s="39"/>
      <c r="R48" s="39"/>
      <c r="S48" s="239"/>
      <c r="AE48" s="174"/>
      <c r="AF48" s="174"/>
      <c r="AG48" s="174"/>
    </row>
    <row r="49" ht="15.75" customHeight="1">
      <c r="C49" s="98"/>
      <c r="D49" s="98"/>
      <c r="E49" s="39"/>
      <c r="F49" s="39"/>
      <c r="G49" s="39"/>
      <c r="H49" s="39"/>
      <c r="I49" s="39"/>
      <c r="J49" s="39"/>
      <c r="K49" s="39"/>
      <c r="L49" s="39"/>
      <c r="M49" s="39"/>
      <c r="N49" s="39"/>
      <c r="O49" s="39"/>
      <c r="P49" s="39"/>
      <c r="Q49" s="39"/>
      <c r="R49" s="39"/>
      <c r="S49" s="239"/>
      <c r="AE49" s="174"/>
      <c r="AF49" s="174"/>
      <c r="AG49" s="174"/>
    </row>
    <row r="50" ht="15.75" customHeight="1">
      <c r="C50" s="98"/>
      <c r="D50" s="98"/>
      <c r="E50" s="39"/>
      <c r="F50" s="39"/>
      <c r="G50" s="39"/>
      <c r="H50" s="39"/>
      <c r="I50" s="39"/>
      <c r="J50" s="39"/>
      <c r="K50" s="39"/>
      <c r="L50" s="39"/>
      <c r="M50" s="39"/>
      <c r="N50" s="39"/>
      <c r="O50" s="39"/>
      <c r="P50" s="39"/>
      <c r="Q50" s="39"/>
      <c r="R50" s="39"/>
      <c r="S50" s="239"/>
      <c r="AE50" s="174"/>
      <c r="AF50" s="174"/>
      <c r="AG50" s="174"/>
    </row>
    <row r="51" ht="15.75" customHeight="1">
      <c r="C51" s="98"/>
      <c r="D51" s="98"/>
      <c r="E51" s="39"/>
      <c r="F51" s="39"/>
      <c r="G51" s="39"/>
      <c r="H51" s="39"/>
      <c r="I51" s="39"/>
      <c r="J51" s="39"/>
      <c r="K51" s="39"/>
      <c r="L51" s="39"/>
      <c r="M51" s="39"/>
      <c r="N51" s="39"/>
      <c r="O51" s="39"/>
      <c r="P51" s="39"/>
      <c r="Q51" s="39"/>
      <c r="R51" s="39"/>
      <c r="S51" s="239"/>
      <c r="AE51" s="174"/>
      <c r="AF51" s="174"/>
      <c r="AG51" s="174"/>
    </row>
    <row r="52" ht="15.75" customHeight="1">
      <c r="C52" s="98"/>
      <c r="D52" s="98"/>
      <c r="E52" s="39"/>
      <c r="F52" s="39"/>
      <c r="G52" s="39"/>
      <c r="H52" s="39"/>
      <c r="I52" s="39"/>
      <c r="J52" s="39"/>
      <c r="K52" s="39"/>
      <c r="L52" s="39"/>
      <c r="M52" s="39"/>
      <c r="N52" s="39"/>
      <c r="O52" s="39"/>
      <c r="P52" s="39"/>
      <c r="Q52" s="39"/>
      <c r="R52" s="39"/>
      <c r="S52" s="239"/>
      <c r="AE52" s="174"/>
      <c r="AF52" s="174"/>
      <c r="AG52" s="174"/>
    </row>
    <row r="53" ht="15.75" customHeight="1">
      <c r="C53" s="98"/>
      <c r="D53" s="98"/>
      <c r="E53" s="39"/>
      <c r="F53" s="39"/>
      <c r="G53" s="39"/>
      <c r="H53" s="39"/>
      <c r="I53" s="39"/>
      <c r="J53" s="39"/>
      <c r="K53" s="39"/>
      <c r="L53" s="39"/>
      <c r="M53" s="39"/>
      <c r="N53" s="39"/>
      <c r="O53" s="39"/>
      <c r="P53" s="39"/>
      <c r="Q53" s="39"/>
      <c r="R53" s="39"/>
      <c r="S53" s="239"/>
      <c r="AE53" s="174"/>
      <c r="AF53" s="174"/>
      <c r="AG53" s="174"/>
    </row>
    <row r="54" ht="15.75" customHeight="1">
      <c r="C54" s="98"/>
      <c r="D54" s="98"/>
      <c r="E54" s="39"/>
      <c r="F54" s="39"/>
      <c r="G54" s="39"/>
      <c r="H54" s="39"/>
      <c r="I54" s="39"/>
      <c r="J54" s="39"/>
      <c r="K54" s="39"/>
      <c r="L54" s="39"/>
      <c r="M54" s="39"/>
      <c r="N54" s="39"/>
      <c r="O54" s="39"/>
      <c r="P54" s="39"/>
      <c r="Q54" s="39"/>
      <c r="R54" s="39"/>
      <c r="S54" s="239"/>
      <c r="AE54" s="174"/>
      <c r="AF54" s="174"/>
      <c r="AG54" s="174"/>
    </row>
    <row r="55" ht="15.75" customHeight="1">
      <c r="C55" s="98"/>
      <c r="D55" s="98"/>
      <c r="E55" s="39"/>
      <c r="F55" s="39"/>
      <c r="G55" s="39"/>
      <c r="H55" s="39"/>
      <c r="I55" s="39"/>
      <c r="J55" s="39"/>
      <c r="K55" s="39"/>
      <c r="L55" s="39"/>
      <c r="M55" s="39"/>
      <c r="N55" s="39"/>
      <c r="O55" s="39"/>
      <c r="P55" s="39"/>
      <c r="Q55" s="39"/>
      <c r="R55" s="39"/>
      <c r="S55" s="239"/>
      <c r="AE55" s="174"/>
      <c r="AF55" s="174"/>
      <c r="AG55" s="174"/>
    </row>
    <row r="56" ht="15.75" customHeight="1">
      <c r="C56" s="98"/>
      <c r="D56" s="98"/>
      <c r="E56" s="39"/>
      <c r="F56" s="39"/>
      <c r="G56" s="39"/>
      <c r="H56" s="39"/>
      <c r="I56" s="39"/>
      <c r="J56" s="39"/>
      <c r="K56" s="39"/>
      <c r="L56" s="39"/>
      <c r="M56" s="39"/>
      <c r="N56" s="39"/>
      <c r="O56" s="39"/>
      <c r="P56" s="39"/>
      <c r="Q56" s="39"/>
      <c r="R56" s="39"/>
      <c r="S56" s="239"/>
      <c r="AE56" s="174"/>
      <c r="AF56" s="174"/>
      <c r="AG56" s="174"/>
    </row>
    <row r="57" ht="15.75" customHeight="1">
      <c r="C57" s="98"/>
      <c r="D57" s="98"/>
      <c r="E57" s="39"/>
      <c r="F57" s="39"/>
      <c r="G57" s="39"/>
      <c r="H57" s="39"/>
      <c r="I57" s="39"/>
      <c r="J57" s="39"/>
      <c r="K57" s="39"/>
      <c r="L57" s="39"/>
      <c r="M57" s="39"/>
      <c r="N57" s="39"/>
      <c r="O57" s="39"/>
      <c r="P57" s="39"/>
      <c r="Q57" s="39"/>
      <c r="R57" s="39"/>
      <c r="S57" s="239"/>
      <c r="AE57" s="174"/>
      <c r="AF57" s="174"/>
      <c r="AG57" s="174"/>
    </row>
    <row r="58" ht="15.75" customHeight="1">
      <c r="C58" s="98"/>
      <c r="D58" s="98"/>
      <c r="E58" s="39"/>
      <c r="F58" s="39"/>
      <c r="G58" s="39"/>
      <c r="H58" s="39"/>
      <c r="I58" s="39"/>
      <c r="J58" s="39"/>
      <c r="K58" s="39"/>
      <c r="L58" s="39"/>
      <c r="M58" s="39"/>
      <c r="N58" s="39"/>
      <c r="O58" s="39"/>
      <c r="P58" s="39"/>
      <c r="Q58" s="39"/>
      <c r="R58" s="39"/>
      <c r="S58" s="239"/>
      <c r="AE58" s="174"/>
      <c r="AF58" s="174"/>
      <c r="AG58" s="174"/>
    </row>
    <row r="59" ht="15.75" customHeight="1">
      <c r="C59" s="98"/>
      <c r="D59" s="98"/>
      <c r="E59" s="39"/>
      <c r="F59" s="39"/>
      <c r="G59" s="39"/>
      <c r="H59" s="39"/>
      <c r="I59" s="39"/>
      <c r="J59" s="39"/>
      <c r="K59" s="39"/>
      <c r="L59" s="39"/>
      <c r="M59" s="39"/>
      <c r="N59" s="39"/>
      <c r="O59" s="39"/>
      <c r="P59" s="39"/>
      <c r="Q59" s="39"/>
      <c r="R59" s="39"/>
      <c r="S59" s="239"/>
      <c r="AE59" s="174"/>
      <c r="AF59" s="174"/>
      <c r="AG59" s="174"/>
    </row>
    <row r="60" ht="15.75" customHeight="1">
      <c r="C60" s="98"/>
      <c r="D60" s="98"/>
      <c r="E60" s="39"/>
      <c r="F60" s="39"/>
      <c r="G60" s="39"/>
      <c r="H60" s="39"/>
      <c r="I60" s="39"/>
      <c r="J60" s="39"/>
      <c r="K60" s="39"/>
      <c r="L60" s="39"/>
      <c r="M60" s="39"/>
      <c r="N60" s="39"/>
      <c r="O60" s="39"/>
      <c r="P60" s="39"/>
      <c r="Q60" s="39"/>
      <c r="R60" s="39"/>
      <c r="S60" s="239"/>
      <c r="AE60" s="174"/>
      <c r="AF60" s="174"/>
      <c r="AG60" s="174"/>
    </row>
    <row r="61" ht="15.75" customHeight="1">
      <c r="C61" s="98"/>
      <c r="D61" s="98"/>
      <c r="E61" s="39"/>
      <c r="F61" s="39"/>
      <c r="G61" s="39"/>
      <c r="H61" s="39"/>
      <c r="I61" s="39"/>
      <c r="J61" s="39"/>
      <c r="K61" s="39"/>
      <c r="L61" s="39"/>
      <c r="M61" s="39"/>
      <c r="N61" s="39"/>
      <c r="O61" s="39"/>
      <c r="P61" s="39"/>
      <c r="Q61" s="39"/>
      <c r="R61" s="39"/>
      <c r="S61" s="239"/>
      <c r="AE61" s="174"/>
      <c r="AF61" s="174"/>
      <c r="AG61" s="174"/>
    </row>
    <row r="62" ht="15.75" customHeight="1">
      <c r="C62" s="98"/>
      <c r="D62" s="98"/>
      <c r="E62" s="39"/>
      <c r="F62" s="39"/>
      <c r="G62" s="39"/>
      <c r="H62" s="39"/>
      <c r="I62" s="39"/>
      <c r="J62" s="39"/>
      <c r="K62" s="39"/>
      <c r="L62" s="39"/>
      <c r="M62" s="39"/>
      <c r="N62" s="39"/>
      <c r="O62" s="39"/>
      <c r="P62" s="39"/>
      <c r="Q62" s="39"/>
      <c r="R62" s="39"/>
      <c r="S62" s="239"/>
      <c r="AE62" s="174"/>
      <c r="AF62" s="174"/>
      <c r="AG62" s="174"/>
    </row>
    <row r="63" ht="15.75" customHeight="1">
      <c r="C63" s="98"/>
      <c r="D63" s="98"/>
      <c r="E63" s="39"/>
      <c r="F63" s="39"/>
      <c r="G63" s="39"/>
      <c r="H63" s="39"/>
      <c r="I63" s="39"/>
      <c r="J63" s="39"/>
      <c r="K63" s="39"/>
      <c r="L63" s="39"/>
      <c r="M63" s="39"/>
      <c r="N63" s="39"/>
      <c r="O63" s="39"/>
      <c r="P63" s="39"/>
      <c r="Q63" s="39"/>
      <c r="R63" s="39"/>
      <c r="S63" s="239"/>
      <c r="AE63" s="174"/>
      <c r="AF63" s="174"/>
      <c r="AG63" s="174"/>
    </row>
    <row r="64" ht="15.75" customHeight="1">
      <c r="C64" s="98"/>
      <c r="D64" s="98"/>
      <c r="E64" s="39"/>
      <c r="F64" s="39"/>
      <c r="G64" s="39"/>
      <c r="H64" s="39"/>
      <c r="I64" s="39"/>
      <c r="J64" s="39"/>
      <c r="K64" s="39"/>
      <c r="L64" s="39"/>
      <c r="M64" s="39"/>
      <c r="N64" s="39"/>
      <c r="O64" s="39"/>
      <c r="P64" s="39"/>
      <c r="Q64" s="39"/>
      <c r="R64" s="39"/>
      <c r="S64" s="239"/>
      <c r="AE64" s="174"/>
      <c r="AF64" s="174"/>
      <c r="AG64" s="174"/>
    </row>
    <row r="65" ht="15.75" customHeight="1">
      <c r="C65" s="98"/>
      <c r="D65" s="98"/>
      <c r="E65" s="39"/>
      <c r="F65" s="39"/>
      <c r="G65" s="39"/>
      <c r="H65" s="39"/>
      <c r="I65" s="39"/>
      <c r="J65" s="39"/>
      <c r="K65" s="39"/>
      <c r="L65" s="39"/>
      <c r="M65" s="39"/>
      <c r="N65" s="39"/>
      <c r="O65" s="39"/>
      <c r="P65" s="39"/>
      <c r="Q65" s="39"/>
      <c r="R65" s="39"/>
      <c r="S65" s="239"/>
      <c r="AE65" s="174"/>
      <c r="AF65" s="174"/>
      <c r="AG65" s="174"/>
    </row>
    <row r="66" ht="15.75" customHeight="1">
      <c r="C66" s="98"/>
      <c r="D66" s="98"/>
      <c r="E66" s="39"/>
      <c r="F66" s="39"/>
      <c r="G66" s="39"/>
      <c r="H66" s="39"/>
      <c r="I66" s="39"/>
      <c r="J66" s="39"/>
      <c r="K66" s="39"/>
      <c r="L66" s="39"/>
      <c r="M66" s="39"/>
      <c r="N66" s="39"/>
      <c r="O66" s="39"/>
      <c r="P66" s="39"/>
      <c r="Q66" s="39"/>
      <c r="R66" s="39"/>
      <c r="S66" s="239"/>
      <c r="AE66" s="174"/>
      <c r="AF66" s="174"/>
      <c r="AG66" s="174"/>
    </row>
    <row r="67" ht="15.75" customHeight="1">
      <c r="C67" s="98"/>
      <c r="D67" s="98"/>
      <c r="E67" s="39"/>
      <c r="F67" s="39"/>
      <c r="G67" s="39"/>
      <c r="H67" s="39"/>
      <c r="I67" s="39"/>
      <c r="J67" s="39"/>
      <c r="K67" s="39"/>
      <c r="L67" s="39"/>
      <c r="M67" s="39"/>
      <c r="N67" s="39"/>
      <c r="O67" s="39"/>
      <c r="P67" s="39"/>
      <c r="Q67" s="39"/>
      <c r="R67" s="39"/>
      <c r="S67" s="239"/>
      <c r="AE67" s="174"/>
      <c r="AF67" s="174"/>
      <c r="AG67" s="174"/>
    </row>
    <row r="68" ht="15.75" customHeight="1">
      <c r="C68" s="98"/>
      <c r="D68" s="98"/>
      <c r="E68" s="39"/>
      <c r="F68" s="39"/>
      <c r="G68" s="39"/>
      <c r="H68" s="39"/>
      <c r="I68" s="39"/>
      <c r="J68" s="39"/>
      <c r="K68" s="39"/>
      <c r="L68" s="39"/>
      <c r="M68" s="39"/>
      <c r="N68" s="39"/>
      <c r="O68" s="39"/>
      <c r="P68" s="39"/>
      <c r="Q68" s="39"/>
      <c r="R68" s="39"/>
      <c r="S68" s="239"/>
      <c r="AE68" s="174"/>
      <c r="AF68" s="174"/>
      <c r="AG68" s="174"/>
    </row>
    <row r="69" ht="15.75" customHeight="1">
      <c r="C69" s="98"/>
      <c r="D69" s="98"/>
      <c r="E69" s="39"/>
      <c r="F69" s="39"/>
      <c r="G69" s="39"/>
      <c r="H69" s="39"/>
      <c r="I69" s="39"/>
      <c r="J69" s="39"/>
      <c r="K69" s="39"/>
      <c r="L69" s="39"/>
      <c r="M69" s="39"/>
      <c r="N69" s="39"/>
      <c r="O69" s="39"/>
      <c r="P69" s="39"/>
      <c r="Q69" s="39"/>
      <c r="R69" s="39"/>
      <c r="S69" s="239"/>
      <c r="AE69" s="174"/>
      <c r="AF69" s="174"/>
      <c r="AG69" s="174"/>
    </row>
    <row r="70" ht="15.75" customHeight="1">
      <c r="C70" s="98"/>
      <c r="D70" s="98"/>
      <c r="E70" s="39"/>
      <c r="F70" s="39"/>
      <c r="G70" s="39"/>
      <c r="H70" s="39"/>
      <c r="I70" s="39"/>
      <c r="J70" s="39"/>
      <c r="K70" s="39"/>
      <c r="L70" s="39"/>
      <c r="M70" s="39"/>
      <c r="N70" s="39"/>
      <c r="O70" s="39"/>
      <c r="P70" s="39"/>
      <c r="Q70" s="39"/>
      <c r="R70" s="39"/>
      <c r="S70" s="239"/>
      <c r="AE70" s="174"/>
      <c r="AF70" s="174"/>
      <c r="AG70" s="174"/>
    </row>
    <row r="71" ht="15.75" customHeight="1">
      <c r="C71" s="98"/>
      <c r="D71" s="98"/>
      <c r="E71" s="39"/>
      <c r="F71" s="39"/>
      <c r="G71" s="39"/>
      <c r="H71" s="39"/>
      <c r="I71" s="39"/>
      <c r="J71" s="39"/>
      <c r="K71" s="39"/>
      <c r="L71" s="39"/>
      <c r="M71" s="39"/>
      <c r="N71" s="39"/>
      <c r="O71" s="39"/>
      <c r="P71" s="39"/>
      <c r="Q71" s="39"/>
      <c r="R71" s="39"/>
      <c r="S71" s="239"/>
      <c r="AE71" s="174"/>
      <c r="AF71" s="174"/>
      <c r="AG71" s="174"/>
    </row>
    <row r="72" ht="15.75" customHeight="1">
      <c r="C72" s="98"/>
      <c r="D72" s="98"/>
      <c r="E72" s="39"/>
      <c r="F72" s="39"/>
      <c r="G72" s="39"/>
      <c r="H72" s="39"/>
      <c r="I72" s="39"/>
      <c r="J72" s="39"/>
      <c r="K72" s="39"/>
      <c r="L72" s="39"/>
      <c r="M72" s="39"/>
      <c r="N72" s="39"/>
      <c r="O72" s="39"/>
      <c r="P72" s="39"/>
      <c r="Q72" s="39"/>
      <c r="R72" s="39"/>
      <c r="S72" s="239"/>
      <c r="AE72" s="174"/>
      <c r="AF72" s="174"/>
      <c r="AG72" s="174"/>
    </row>
    <row r="73" ht="15.75" customHeight="1">
      <c r="C73" s="98"/>
      <c r="D73" s="98"/>
      <c r="E73" s="39"/>
      <c r="F73" s="39"/>
      <c r="G73" s="39"/>
      <c r="H73" s="39"/>
      <c r="I73" s="39"/>
      <c r="J73" s="39"/>
      <c r="K73" s="39"/>
      <c r="L73" s="39"/>
      <c r="M73" s="39"/>
      <c r="N73" s="39"/>
      <c r="O73" s="39"/>
      <c r="P73" s="39"/>
      <c r="Q73" s="39"/>
      <c r="R73" s="39"/>
      <c r="S73" s="239"/>
      <c r="AE73" s="174"/>
      <c r="AF73" s="174"/>
      <c r="AG73" s="174"/>
    </row>
    <row r="74" ht="15.75" customHeight="1">
      <c r="C74" s="98"/>
      <c r="D74" s="98"/>
      <c r="E74" s="39"/>
      <c r="F74" s="39"/>
      <c r="G74" s="39"/>
      <c r="H74" s="39"/>
      <c r="I74" s="39"/>
      <c r="J74" s="39"/>
      <c r="K74" s="39"/>
      <c r="L74" s="39"/>
      <c r="M74" s="39"/>
      <c r="N74" s="39"/>
      <c r="O74" s="39"/>
      <c r="P74" s="39"/>
      <c r="Q74" s="39"/>
      <c r="R74" s="39"/>
      <c r="S74" s="239"/>
      <c r="AE74" s="174"/>
      <c r="AF74" s="174"/>
      <c r="AG74" s="174"/>
    </row>
    <row r="75" ht="15.75" customHeight="1">
      <c r="C75" s="98"/>
      <c r="D75" s="98"/>
      <c r="E75" s="39"/>
      <c r="F75" s="39"/>
      <c r="G75" s="39"/>
      <c r="H75" s="39"/>
      <c r="I75" s="39"/>
      <c r="J75" s="39"/>
      <c r="K75" s="39"/>
      <c r="L75" s="39"/>
      <c r="M75" s="39"/>
      <c r="N75" s="39"/>
      <c r="O75" s="39"/>
      <c r="P75" s="39"/>
      <c r="Q75" s="39"/>
      <c r="R75" s="39"/>
      <c r="S75" s="239"/>
      <c r="AE75" s="174"/>
      <c r="AF75" s="174"/>
      <c r="AG75" s="174"/>
    </row>
    <row r="76" ht="15.75" customHeight="1">
      <c r="C76" s="98"/>
      <c r="D76" s="98"/>
      <c r="E76" s="39"/>
      <c r="F76" s="39"/>
      <c r="G76" s="39"/>
      <c r="H76" s="39"/>
      <c r="I76" s="39"/>
      <c r="J76" s="39"/>
      <c r="K76" s="39"/>
      <c r="L76" s="39"/>
      <c r="M76" s="39"/>
      <c r="N76" s="39"/>
      <c r="O76" s="39"/>
      <c r="P76" s="39"/>
      <c r="Q76" s="39"/>
      <c r="R76" s="39"/>
      <c r="S76" s="239"/>
      <c r="AE76" s="174"/>
      <c r="AF76" s="174"/>
      <c r="AG76" s="174"/>
    </row>
    <row r="77" ht="15.75" customHeight="1">
      <c r="C77" s="98"/>
      <c r="D77" s="98"/>
      <c r="E77" s="39"/>
      <c r="F77" s="39"/>
      <c r="G77" s="39"/>
      <c r="H77" s="39"/>
      <c r="I77" s="39"/>
      <c r="J77" s="39"/>
      <c r="K77" s="39"/>
      <c r="L77" s="39"/>
      <c r="M77" s="39"/>
      <c r="N77" s="39"/>
      <c r="O77" s="39"/>
      <c r="P77" s="39"/>
      <c r="Q77" s="39"/>
      <c r="R77" s="39"/>
      <c r="S77" s="239"/>
      <c r="AE77" s="174"/>
      <c r="AF77" s="174"/>
      <c r="AG77" s="174"/>
    </row>
    <row r="78" ht="15.75" customHeight="1">
      <c r="C78" s="98"/>
      <c r="D78" s="98"/>
      <c r="E78" s="39"/>
      <c r="F78" s="39"/>
      <c r="G78" s="39"/>
      <c r="H78" s="39"/>
      <c r="I78" s="39"/>
      <c r="J78" s="39"/>
      <c r="K78" s="39"/>
      <c r="L78" s="39"/>
      <c r="M78" s="39"/>
      <c r="N78" s="39"/>
      <c r="O78" s="39"/>
      <c r="P78" s="39"/>
      <c r="Q78" s="39"/>
      <c r="R78" s="39"/>
      <c r="S78" s="239"/>
      <c r="AE78" s="174"/>
      <c r="AF78" s="174"/>
      <c r="AG78" s="174"/>
    </row>
    <row r="79" ht="15.75" customHeight="1">
      <c r="C79" s="98"/>
      <c r="D79" s="98"/>
      <c r="E79" s="39"/>
      <c r="F79" s="39"/>
      <c r="G79" s="39"/>
      <c r="H79" s="39"/>
      <c r="I79" s="39"/>
      <c r="J79" s="39"/>
      <c r="K79" s="39"/>
      <c r="L79" s="39"/>
      <c r="M79" s="39"/>
      <c r="N79" s="39"/>
      <c r="O79" s="39"/>
      <c r="P79" s="39"/>
      <c r="Q79" s="39"/>
      <c r="R79" s="39"/>
      <c r="S79" s="239"/>
      <c r="AE79" s="174"/>
      <c r="AF79" s="174"/>
      <c r="AG79" s="174"/>
    </row>
    <row r="80" ht="15.75" customHeight="1">
      <c r="C80" s="98"/>
      <c r="D80" s="98"/>
      <c r="E80" s="39"/>
      <c r="F80" s="39"/>
      <c r="G80" s="39"/>
      <c r="H80" s="39"/>
      <c r="I80" s="39"/>
      <c r="J80" s="39"/>
      <c r="K80" s="39"/>
      <c r="L80" s="39"/>
      <c r="M80" s="39"/>
      <c r="N80" s="39"/>
      <c r="O80" s="39"/>
      <c r="P80" s="39"/>
      <c r="Q80" s="39"/>
      <c r="R80" s="39"/>
      <c r="S80" s="239"/>
      <c r="AE80" s="174"/>
      <c r="AF80" s="174"/>
      <c r="AG80" s="174"/>
    </row>
    <row r="81" ht="15.75" customHeight="1">
      <c r="C81" s="98"/>
      <c r="D81" s="98"/>
      <c r="E81" s="39"/>
      <c r="F81" s="39"/>
      <c r="G81" s="39"/>
      <c r="H81" s="39"/>
      <c r="I81" s="39"/>
      <c r="J81" s="39"/>
      <c r="K81" s="39"/>
      <c r="L81" s="39"/>
      <c r="M81" s="39"/>
      <c r="N81" s="39"/>
      <c r="O81" s="39"/>
      <c r="P81" s="39"/>
      <c r="Q81" s="39"/>
      <c r="R81" s="39"/>
      <c r="S81" s="239"/>
      <c r="AE81" s="174"/>
      <c r="AF81" s="174"/>
      <c r="AG81" s="174"/>
    </row>
    <row r="82" ht="15.75" customHeight="1">
      <c r="C82" s="98"/>
      <c r="D82" s="98"/>
      <c r="E82" s="39"/>
      <c r="F82" s="39"/>
      <c r="G82" s="39"/>
      <c r="H82" s="39"/>
      <c r="I82" s="39"/>
      <c r="J82" s="39"/>
      <c r="K82" s="39"/>
      <c r="L82" s="39"/>
      <c r="M82" s="39"/>
      <c r="N82" s="39"/>
      <c r="O82" s="39"/>
      <c r="P82" s="39"/>
      <c r="Q82" s="39"/>
      <c r="R82" s="39"/>
      <c r="S82" s="239"/>
      <c r="AE82" s="174"/>
      <c r="AF82" s="174"/>
      <c r="AG82" s="174"/>
    </row>
    <row r="83" ht="15.75" customHeight="1">
      <c r="C83" s="98"/>
      <c r="D83" s="98"/>
      <c r="E83" s="39"/>
      <c r="F83" s="39"/>
      <c r="G83" s="39"/>
      <c r="H83" s="39"/>
      <c r="I83" s="39"/>
      <c r="J83" s="39"/>
      <c r="K83" s="39"/>
      <c r="L83" s="39"/>
      <c r="M83" s="39"/>
      <c r="N83" s="39"/>
      <c r="O83" s="39"/>
      <c r="P83" s="39"/>
      <c r="Q83" s="39"/>
      <c r="R83" s="39"/>
      <c r="S83" s="239"/>
      <c r="AE83" s="174"/>
      <c r="AF83" s="174"/>
      <c r="AG83" s="174"/>
    </row>
    <row r="84" ht="15.75" customHeight="1">
      <c r="C84" s="98"/>
      <c r="D84" s="98"/>
      <c r="E84" s="39"/>
      <c r="F84" s="39"/>
      <c r="G84" s="39"/>
      <c r="H84" s="39"/>
      <c r="I84" s="39"/>
      <c r="J84" s="39"/>
      <c r="K84" s="39"/>
      <c r="L84" s="39"/>
      <c r="M84" s="39"/>
      <c r="N84" s="39"/>
      <c r="O84" s="39"/>
      <c r="P84" s="39"/>
      <c r="Q84" s="39"/>
      <c r="R84" s="39"/>
      <c r="S84" s="239"/>
      <c r="AE84" s="174"/>
      <c r="AF84" s="174"/>
      <c r="AG84" s="174"/>
    </row>
    <row r="85" ht="15.75" customHeight="1">
      <c r="C85" s="98"/>
      <c r="D85" s="98"/>
      <c r="E85" s="39"/>
      <c r="F85" s="39"/>
      <c r="G85" s="39"/>
      <c r="H85" s="39"/>
      <c r="I85" s="39"/>
      <c r="J85" s="39"/>
      <c r="K85" s="39"/>
      <c r="L85" s="39"/>
      <c r="M85" s="39"/>
      <c r="N85" s="39"/>
      <c r="O85" s="39"/>
      <c r="P85" s="39"/>
      <c r="Q85" s="39"/>
      <c r="R85" s="39"/>
      <c r="S85" s="239"/>
      <c r="AE85" s="174"/>
      <c r="AF85" s="174"/>
      <c r="AG85" s="174"/>
    </row>
    <row r="86" ht="15.75" customHeight="1">
      <c r="C86" s="98"/>
      <c r="D86" s="98"/>
      <c r="E86" s="39"/>
      <c r="F86" s="39"/>
      <c r="G86" s="39"/>
      <c r="H86" s="39"/>
      <c r="I86" s="39"/>
      <c r="J86" s="39"/>
      <c r="K86" s="39"/>
      <c r="L86" s="39"/>
      <c r="M86" s="39"/>
      <c r="N86" s="39"/>
      <c r="O86" s="39"/>
      <c r="P86" s="39"/>
      <c r="Q86" s="39"/>
      <c r="R86" s="39"/>
      <c r="S86" s="239"/>
      <c r="AE86" s="174"/>
      <c r="AF86" s="174"/>
      <c r="AG86" s="174"/>
    </row>
    <row r="87" ht="15.75" customHeight="1">
      <c r="C87" s="98"/>
      <c r="D87" s="98"/>
      <c r="E87" s="39"/>
      <c r="F87" s="39"/>
      <c r="G87" s="39"/>
      <c r="H87" s="39"/>
      <c r="I87" s="39"/>
      <c r="J87" s="39"/>
      <c r="K87" s="39"/>
      <c r="L87" s="39"/>
      <c r="M87" s="39"/>
      <c r="N87" s="39"/>
      <c r="O87" s="39"/>
      <c r="P87" s="39"/>
      <c r="Q87" s="39"/>
      <c r="R87" s="39"/>
      <c r="S87" s="239"/>
      <c r="AE87" s="174"/>
      <c r="AF87" s="174"/>
      <c r="AG87" s="174"/>
    </row>
    <row r="88" ht="15.75" customHeight="1">
      <c r="C88" s="98"/>
      <c r="D88" s="98"/>
      <c r="E88" s="39"/>
      <c r="F88" s="39"/>
      <c r="G88" s="39"/>
      <c r="H88" s="39"/>
      <c r="I88" s="39"/>
      <c r="J88" s="39"/>
      <c r="K88" s="39"/>
      <c r="L88" s="39"/>
      <c r="M88" s="39"/>
      <c r="N88" s="39"/>
      <c r="O88" s="39"/>
      <c r="P88" s="39"/>
      <c r="Q88" s="39"/>
      <c r="R88" s="39"/>
      <c r="S88" s="239"/>
      <c r="AE88" s="174"/>
      <c r="AF88" s="174"/>
      <c r="AG88" s="174"/>
    </row>
    <row r="89" ht="15.75" customHeight="1">
      <c r="C89" s="98"/>
      <c r="D89" s="98"/>
      <c r="E89" s="39"/>
      <c r="F89" s="39"/>
      <c r="G89" s="39"/>
      <c r="H89" s="39"/>
      <c r="I89" s="39"/>
      <c r="J89" s="39"/>
      <c r="K89" s="39"/>
      <c r="L89" s="39"/>
      <c r="M89" s="39"/>
      <c r="N89" s="39"/>
      <c r="O89" s="39"/>
      <c r="P89" s="39"/>
      <c r="Q89" s="39"/>
      <c r="R89" s="39"/>
      <c r="S89" s="239"/>
      <c r="AE89" s="174"/>
      <c r="AF89" s="174"/>
      <c r="AG89" s="174"/>
    </row>
    <row r="90" ht="15.75" customHeight="1">
      <c r="C90" s="98"/>
      <c r="D90" s="98"/>
      <c r="E90" s="39"/>
      <c r="F90" s="39"/>
      <c r="G90" s="39"/>
      <c r="H90" s="39"/>
      <c r="I90" s="39"/>
      <c r="J90" s="39"/>
      <c r="K90" s="39"/>
      <c r="L90" s="39"/>
      <c r="M90" s="39"/>
      <c r="N90" s="39"/>
      <c r="O90" s="39"/>
      <c r="P90" s="39"/>
      <c r="Q90" s="39"/>
      <c r="R90" s="39"/>
      <c r="S90" s="239"/>
      <c r="AE90" s="174"/>
      <c r="AF90" s="174"/>
      <c r="AG90" s="174"/>
    </row>
    <row r="91" ht="15.75" customHeight="1">
      <c r="C91" s="98"/>
      <c r="D91" s="98"/>
      <c r="E91" s="39"/>
      <c r="F91" s="39"/>
      <c r="G91" s="39"/>
      <c r="H91" s="39"/>
      <c r="I91" s="39"/>
      <c r="J91" s="39"/>
      <c r="K91" s="39"/>
      <c r="L91" s="39"/>
      <c r="M91" s="39"/>
      <c r="N91" s="39"/>
      <c r="O91" s="39"/>
      <c r="P91" s="39"/>
      <c r="Q91" s="39"/>
      <c r="R91" s="39"/>
      <c r="S91" s="239"/>
      <c r="AE91" s="174"/>
      <c r="AF91" s="174"/>
      <c r="AG91" s="174"/>
    </row>
    <row r="92" ht="15.75" customHeight="1">
      <c r="C92" s="98"/>
      <c r="D92" s="98"/>
      <c r="E92" s="39"/>
      <c r="F92" s="39"/>
      <c r="G92" s="39"/>
      <c r="H92" s="39"/>
      <c r="I92" s="39"/>
      <c r="J92" s="39"/>
      <c r="K92" s="39"/>
      <c r="L92" s="39"/>
      <c r="M92" s="39"/>
      <c r="N92" s="39"/>
      <c r="O92" s="39"/>
      <c r="P92" s="39"/>
      <c r="Q92" s="39"/>
      <c r="R92" s="39"/>
      <c r="S92" s="239"/>
      <c r="AE92" s="174"/>
      <c r="AF92" s="174"/>
      <c r="AG92" s="174"/>
    </row>
    <row r="93" ht="15.75" customHeight="1">
      <c r="C93" s="98"/>
      <c r="D93" s="98"/>
      <c r="E93" s="39"/>
      <c r="F93" s="39"/>
      <c r="G93" s="39"/>
      <c r="H93" s="39"/>
      <c r="I93" s="39"/>
      <c r="J93" s="39"/>
      <c r="K93" s="39"/>
      <c r="L93" s="39"/>
      <c r="M93" s="39"/>
      <c r="N93" s="39"/>
      <c r="O93" s="39"/>
      <c r="P93" s="39"/>
      <c r="Q93" s="39"/>
      <c r="R93" s="39"/>
      <c r="S93" s="239"/>
      <c r="AE93" s="174"/>
      <c r="AF93" s="174"/>
      <c r="AG93" s="174"/>
    </row>
    <row r="94" ht="15.75" customHeight="1">
      <c r="C94" s="98"/>
      <c r="D94" s="98"/>
      <c r="E94" s="39"/>
      <c r="F94" s="39"/>
      <c r="G94" s="39"/>
      <c r="H94" s="39"/>
      <c r="I94" s="39"/>
      <c r="J94" s="39"/>
      <c r="K94" s="39"/>
      <c r="L94" s="39"/>
      <c r="M94" s="39"/>
      <c r="N94" s="39"/>
      <c r="O94" s="39"/>
      <c r="P94" s="39"/>
      <c r="Q94" s="39"/>
      <c r="R94" s="39"/>
      <c r="S94" s="239"/>
      <c r="AE94" s="174"/>
      <c r="AF94" s="174"/>
      <c r="AG94" s="174"/>
    </row>
    <row r="95" ht="15.75" customHeight="1">
      <c r="C95" s="98"/>
      <c r="D95" s="98"/>
      <c r="E95" s="39"/>
      <c r="F95" s="39"/>
      <c r="G95" s="39"/>
      <c r="H95" s="39"/>
      <c r="I95" s="39"/>
      <c r="J95" s="39"/>
      <c r="K95" s="39"/>
      <c r="L95" s="39"/>
      <c r="M95" s="39"/>
      <c r="N95" s="39"/>
      <c r="O95" s="39"/>
      <c r="P95" s="39"/>
      <c r="Q95" s="39"/>
      <c r="R95" s="39"/>
      <c r="S95" s="239"/>
      <c r="AE95" s="174"/>
      <c r="AF95" s="174"/>
      <c r="AG95" s="174"/>
    </row>
    <row r="96" ht="15.75" customHeight="1">
      <c r="C96" s="98"/>
      <c r="D96" s="98"/>
      <c r="E96" s="39"/>
      <c r="F96" s="39"/>
      <c r="G96" s="39"/>
      <c r="H96" s="39"/>
      <c r="I96" s="39"/>
      <c r="J96" s="39"/>
      <c r="K96" s="39"/>
      <c r="L96" s="39"/>
      <c r="M96" s="39"/>
      <c r="N96" s="39"/>
      <c r="O96" s="39"/>
      <c r="P96" s="39"/>
      <c r="Q96" s="39"/>
      <c r="R96" s="39"/>
      <c r="S96" s="239"/>
      <c r="AE96" s="174"/>
      <c r="AF96" s="174"/>
      <c r="AG96" s="174"/>
    </row>
    <row r="97" ht="15.75" customHeight="1">
      <c r="C97" s="98"/>
      <c r="D97" s="98"/>
      <c r="E97" s="39"/>
      <c r="F97" s="39"/>
      <c r="G97" s="39"/>
      <c r="H97" s="39"/>
      <c r="I97" s="39"/>
      <c r="J97" s="39"/>
      <c r="K97" s="39"/>
      <c r="L97" s="39"/>
      <c r="M97" s="39"/>
      <c r="N97" s="39"/>
      <c r="O97" s="39"/>
      <c r="P97" s="39"/>
      <c r="Q97" s="39"/>
      <c r="R97" s="39"/>
      <c r="S97" s="239"/>
      <c r="AE97" s="174"/>
      <c r="AF97" s="174"/>
      <c r="AG97" s="174"/>
    </row>
    <row r="98" ht="15.75" customHeight="1">
      <c r="C98" s="98"/>
      <c r="D98" s="98"/>
      <c r="E98" s="39"/>
      <c r="F98" s="39"/>
      <c r="G98" s="39"/>
      <c r="H98" s="39"/>
      <c r="I98" s="39"/>
      <c r="J98" s="39"/>
      <c r="K98" s="39"/>
      <c r="L98" s="39"/>
      <c r="M98" s="39"/>
      <c r="N98" s="39"/>
      <c r="O98" s="39"/>
      <c r="P98" s="39"/>
      <c r="Q98" s="39"/>
      <c r="R98" s="39"/>
      <c r="S98" s="239"/>
      <c r="AE98" s="174"/>
      <c r="AF98" s="174"/>
      <c r="AG98" s="174"/>
    </row>
    <row r="99" ht="15.75" customHeight="1">
      <c r="C99" s="98"/>
      <c r="D99" s="98"/>
      <c r="E99" s="39"/>
      <c r="F99" s="39"/>
      <c r="G99" s="39"/>
      <c r="H99" s="39"/>
      <c r="I99" s="39"/>
      <c r="J99" s="39"/>
      <c r="K99" s="39"/>
      <c r="L99" s="39"/>
      <c r="M99" s="39"/>
      <c r="N99" s="39"/>
      <c r="O99" s="39"/>
      <c r="P99" s="39"/>
      <c r="Q99" s="39"/>
      <c r="R99" s="39"/>
      <c r="S99" s="239"/>
      <c r="AE99" s="174"/>
      <c r="AF99" s="174"/>
      <c r="AG99" s="174"/>
    </row>
    <row r="100" ht="15.75" customHeight="1">
      <c r="C100" s="98"/>
      <c r="D100" s="98"/>
      <c r="E100" s="39"/>
      <c r="F100" s="39"/>
      <c r="G100" s="39"/>
      <c r="H100" s="39"/>
      <c r="I100" s="39"/>
      <c r="J100" s="39"/>
      <c r="K100" s="39"/>
      <c r="L100" s="39"/>
      <c r="M100" s="39"/>
      <c r="N100" s="39"/>
      <c r="O100" s="39"/>
      <c r="P100" s="39"/>
      <c r="Q100" s="39"/>
      <c r="R100" s="39"/>
      <c r="S100" s="239"/>
      <c r="AE100" s="174"/>
      <c r="AF100" s="174"/>
      <c r="AG100" s="174"/>
    </row>
    <row r="101" ht="15.75" customHeight="1">
      <c r="C101" s="98"/>
      <c r="D101" s="98"/>
      <c r="E101" s="39"/>
      <c r="F101" s="39"/>
      <c r="G101" s="39"/>
      <c r="H101" s="39"/>
      <c r="I101" s="39"/>
      <c r="J101" s="39"/>
      <c r="K101" s="39"/>
      <c r="L101" s="39"/>
      <c r="M101" s="39"/>
      <c r="N101" s="39"/>
      <c r="O101" s="39"/>
      <c r="P101" s="39"/>
      <c r="Q101" s="39"/>
      <c r="R101" s="39"/>
      <c r="S101" s="239"/>
      <c r="AE101" s="174"/>
      <c r="AF101" s="174"/>
      <c r="AG101" s="174"/>
    </row>
    <row r="102" ht="15.75" customHeight="1">
      <c r="C102" s="98"/>
      <c r="D102" s="98"/>
      <c r="E102" s="39"/>
      <c r="F102" s="39"/>
      <c r="G102" s="39"/>
      <c r="H102" s="39"/>
      <c r="I102" s="39"/>
      <c r="J102" s="39"/>
      <c r="K102" s="39"/>
      <c r="L102" s="39"/>
      <c r="M102" s="39"/>
      <c r="N102" s="39"/>
      <c r="O102" s="39"/>
      <c r="P102" s="39"/>
      <c r="Q102" s="39"/>
      <c r="R102" s="39"/>
      <c r="S102" s="239"/>
      <c r="AE102" s="174"/>
      <c r="AF102" s="174"/>
      <c r="AG102" s="174"/>
    </row>
    <row r="103" ht="15.75" customHeight="1">
      <c r="C103" s="98"/>
      <c r="D103" s="98"/>
      <c r="E103" s="39"/>
      <c r="F103" s="39"/>
      <c r="G103" s="39"/>
      <c r="H103" s="39"/>
      <c r="I103" s="39"/>
      <c r="J103" s="39"/>
      <c r="K103" s="39"/>
      <c r="L103" s="39"/>
      <c r="M103" s="39"/>
      <c r="N103" s="39"/>
      <c r="O103" s="39"/>
      <c r="P103" s="39"/>
      <c r="Q103" s="39"/>
      <c r="R103" s="39"/>
      <c r="S103" s="239"/>
      <c r="AE103" s="174"/>
      <c r="AF103" s="174"/>
      <c r="AG103" s="174"/>
    </row>
    <row r="104" ht="15.75" customHeight="1">
      <c r="C104" s="98"/>
      <c r="D104" s="98"/>
      <c r="E104" s="39"/>
      <c r="F104" s="39"/>
      <c r="G104" s="39"/>
      <c r="H104" s="39"/>
      <c r="I104" s="39"/>
      <c r="J104" s="39"/>
      <c r="K104" s="39"/>
      <c r="L104" s="39"/>
      <c r="M104" s="39"/>
      <c r="N104" s="39"/>
      <c r="O104" s="39"/>
      <c r="P104" s="39"/>
      <c r="Q104" s="39"/>
      <c r="R104" s="39"/>
      <c r="S104" s="239"/>
      <c r="AE104" s="174"/>
      <c r="AF104" s="174"/>
      <c r="AG104" s="174"/>
    </row>
    <row r="105" ht="15.75" customHeight="1">
      <c r="C105" s="98"/>
      <c r="D105" s="98"/>
      <c r="E105" s="39"/>
      <c r="F105" s="39"/>
      <c r="G105" s="39"/>
      <c r="H105" s="39"/>
      <c r="I105" s="39"/>
      <c r="J105" s="39"/>
      <c r="K105" s="39"/>
      <c r="L105" s="39"/>
      <c r="M105" s="39"/>
      <c r="N105" s="39"/>
      <c r="O105" s="39"/>
      <c r="P105" s="39"/>
      <c r="Q105" s="39"/>
      <c r="R105" s="39"/>
      <c r="S105" s="239"/>
      <c r="AE105" s="174"/>
      <c r="AF105" s="174"/>
      <c r="AG105" s="174"/>
    </row>
    <row r="106" ht="15.75" customHeight="1">
      <c r="C106" s="98"/>
      <c r="D106" s="98"/>
      <c r="E106" s="39"/>
      <c r="F106" s="39"/>
      <c r="G106" s="39"/>
      <c r="H106" s="39"/>
      <c r="I106" s="39"/>
      <c r="J106" s="39"/>
      <c r="K106" s="39"/>
      <c r="L106" s="39"/>
      <c r="M106" s="39"/>
      <c r="N106" s="39"/>
      <c r="O106" s="39"/>
      <c r="P106" s="39"/>
      <c r="Q106" s="39"/>
      <c r="R106" s="39"/>
      <c r="S106" s="239"/>
      <c r="AE106" s="174"/>
      <c r="AF106" s="174"/>
      <c r="AG106" s="174"/>
    </row>
    <row r="107" ht="15.75" customHeight="1">
      <c r="C107" s="98"/>
      <c r="D107" s="98"/>
      <c r="E107" s="39"/>
      <c r="F107" s="39"/>
      <c r="G107" s="39"/>
      <c r="H107" s="39"/>
      <c r="I107" s="39"/>
      <c r="J107" s="39"/>
      <c r="K107" s="39"/>
      <c r="L107" s="39"/>
      <c r="M107" s="39"/>
      <c r="N107" s="39"/>
      <c r="O107" s="39"/>
      <c r="P107" s="39"/>
      <c r="Q107" s="39"/>
      <c r="R107" s="39"/>
      <c r="S107" s="239"/>
      <c r="AE107" s="174"/>
      <c r="AF107" s="174"/>
      <c r="AG107" s="174"/>
    </row>
    <row r="108" ht="15.75" customHeight="1">
      <c r="C108" s="98"/>
      <c r="D108" s="98"/>
      <c r="E108" s="39"/>
      <c r="F108" s="39"/>
      <c r="G108" s="39"/>
      <c r="H108" s="39"/>
      <c r="I108" s="39"/>
      <c r="J108" s="39"/>
      <c r="K108" s="39"/>
      <c r="L108" s="39"/>
      <c r="M108" s="39"/>
      <c r="N108" s="39"/>
      <c r="O108" s="39"/>
      <c r="P108" s="39"/>
      <c r="Q108" s="39"/>
      <c r="R108" s="39"/>
      <c r="S108" s="239"/>
      <c r="AE108" s="174"/>
      <c r="AF108" s="174"/>
      <c r="AG108" s="174"/>
    </row>
    <row r="109" ht="15.75" customHeight="1">
      <c r="C109" s="98"/>
      <c r="D109" s="98"/>
      <c r="E109" s="39"/>
      <c r="F109" s="39"/>
      <c r="G109" s="39"/>
      <c r="H109" s="39"/>
      <c r="I109" s="39"/>
      <c r="J109" s="39"/>
      <c r="K109" s="39"/>
      <c r="L109" s="39"/>
      <c r="M109" s="39"/>
      <c r="N109" s="39"/>
      <c r="O109" s="39"/>
      <c r="P109" s="39"/>
      <c r="Q109" s="39"/>
      <c r="R109" s="39"/>
      <c r="S109" s="239"/>
      <c r="AE109" s="174"/>
      <c r="AF109" s="174"/>
      <c r="AG109" s="174"/>
    </row>
    <row r="110" ht="15.75" customHeight="1">
      <c r="C110" s="98"/>
      <c r="D110" s="98"/>
      <c r="E110" s="39"/>
      <c r="F110" s="39"/>
      <c r="G110" s="39"/>
      <c r="H110" s="39"/>
      <c r="I110" s="39"/>
      <c r="J110" s="39"/>
      <c r="K110" s="39"/>
      <c r="L110" s="39"/>
      <c r="M110" s="39"/>
      <c r="N110" s="39"/>
      <c r="O110" s="39"/>
      <c r="P110" s="39"/>
      <c r="Q110" s="39"/>
      <c r="R110" s="39"/>
      <c r="S110" s="239"/>
      <c r="AE110" s="174"/>
      <c r="AF110" s="174"/>
      <c r="AG110" s="174"/>
    </row>
    <row r="111" ht="15.75" customHeight="1">
      <c r="C111" s="98"/>
      <c r="D111" s="98"/>
      <c r="E111" s="39"/>
      <c r="F111" s="39"/>
      <c r="G111" s="39"/>
      <c r="H111" s="39"/>
      <c r="I111" s="39"/>
      <c r="J111" s="39"/>
      <c r="K111" s="39"/>
      <c r="L111" s="39"/>
      <c r="M111" s="39"/>
      <c r="N111" s="39"/>
      <c r="O111" s="39"/>
      <c r="P111" s="39"/>
      <c r="Q111" s="39"/>
      <c r="R111" s="39"/>
      <c r="S111" s="239"/>
      <c r="AE111" s="174"/>
      <c r="AF111" s="174"/>
      <c r="AG111" s="174"/>
    </row>
    <row r="112" ht="15.75" customHeight="1">
      <c r="C112" s="98"/>
      <c r="D112" s="98"/>
      <c r="E112" s="39"/>
      <c r="F112" s="39"/>
      <c r="G112" s="39"/>
      <c r="H112" s="39"/>
      <c r="I112" s="39"/>
      <c r="J112" s="39"/>
      <c r="K112" s="39"/>
      <c r="L112" s="39"/>
      <c r="M112" s="39"/>
      <c r="N112" s="39"/>
      <c r="O112" s="39"/>
      <c r="P112" s="39"/>
      <c r="Q112" s="39"/>
      <c r="R112" s="39"/>
      <c r="S112" s="239"/>
      <c r="AE112" s="174"/>
      <c r="AF112" s="174"/>
      <c r="AG112" s="174"/>
    </row>
    <row r="113" ht="15.75" customHeight="1">
      <c r="C113" s="98"/>
      <c r="D113" s="98"/>
      <c r="E113" s="39"/>
      <c r="F113" s="39"/>
      <c r="G113" s="39"/>
      <c r="H113" s="39"/>
      <c r="I113" s="39"/>
      <c r="J113" s="39"/>
      <c r="K113" s="39"/>
      <c r="L113" s="39"/>
      <c r="M113" s="39"/>
      <c r="N113" s="39"/>
      <c r="O113" s="39"/>
      <c r="P113" s="39"/>
      <c r="Q113" s="39"/>
      <c r="R113" s="39"/>
      <c r="S113" s="239"/>
      <c r="AE113" s="174"/>
      <c r="AF113" s="174"/>
      <c r="AG113" s="174"/>
    </row>
    <row r="114" ht="15.75" customHeight="1">
      <c r="C114" s="98"/>
      <c r="D114" s="98"/>
      <c r="E114" s="39"/>
      <c r="F114" s="39"/>
      <c r="G114" s="39"/>
      <c r="H114" s="39"/>
      <c r="I114" s="39"/>
      <c r="J114" s="39"/>
      <c r="K114" s="39"/>
      <c r="L114" s="39"/>
      <c r="M114" s="39"/>
      <c r="N114" s="39"/>
      <c r="O114" s="39"/>
      <c r="P114" s="39"/>
      <c r="Q114" s="39"/>
      <c r="R114" s="39"/>
      <c r="S114" s="239"/>
      <c r="AE114" s="174"/>
      <c r="AF114" s="174"/>
      <c r="AG114" s="174"/>
    </row>
    <row r="115" ht="15.75" customHeight="1">
      <c r="C115" s="98"/>
      <c r="D115" s="98"/>
      <c r="E115" s="39"/>
      <c r="F115" s="39"/>
      <c r="G115" s="39"/>
      <c r="H115" s="39"/>
      <c r="I115" s="39"/>
      <c r="J115" s="39"/>
      <c r="K115" s="39"/>
      <c r="L115" s="39"/>
      <c r="M115" s="39"/>
      <c r="N115" s="39"/>
      <c r="O115" s="39"/>
      <c r="P115" s="39"/>
      <c r="Q115" s="39"/>
      <c r="R115" s="39"/>
      <c r="S115" s="239"/>
      <c r="AE115" s="174"/>
      <c r="AF115" s="174"/>
      <c r="AG115" s="174"/>
    </row>
    <row r="116" ht="15.75" customHeight="1">
      <c r="C116" s="98"/>
      <c r="D116" s="98"/>
      <c r="E116" s="39"/>
      <c r="F116" s="39"/>
      <c r="G116" s="39"/>
      <c r="H116" s="39"/>
      <c r="I116" s="39"/>
      <c r="J116" s="39"/>
      <c r="K116" s="39"/>
      <c r="L116" s="39"/>
      <c r="M116" s="39"/>
      <c r="N116" s="39"/>
      <c r="O116" s="39"/>
      <c r="P116" s="39"/>
      <c r="Q116" s="39"/>
      <c r="R116" s="39"/>
      <c r="S116" s="239"/>
      <c r="AE116" s="174"/>
      <c r="AF116" s="174"/>
      <c r="AG116" s="174"/>
    </row>
    <row r="117" ht="15.75" customHeight="1">
      <c r="C117" s="98"/>
      <c r="D117" s="98"/>
      <c r="E117" s="39"/>
      <c r="F117" s="39"/>
      <c r="G117" s="39"/>
      <c r="H117" s="39"/>
      <c r="I117" s="39"/>
      <c r="J117" s="39"/>
      <c r="K117" s="39"/>
      <c r="L117" s="39"/>
      <c r="M117" s="39"/>
      <c r="N117" s="39"/>
      <c r="O117" s="39"/>
      <c r="P117" s="39"/>
      <c r="Q117" s="39"/>
      <c r="R117" s="39"/>
      <c r="S117" s="239"/>
      <c r="AE117" s="174"/>
      <c r="AF117" s="174"/>
      <c r="AG117" s="174"/>
    </row>
    <row r="118" ht="15.75" customHeight="1">
      <c r="C118" s="98"/>
      <c r="D118" s="98"/>
      <c r="E118" s="39"/>
      <c r="F118" s="39"/>
      <c r="G118" s="39"/>
      <c r="H118" s="39"/>
      <c r="I118" s="39"/>
      <c r="J118" s="39"/>
      <c r="K118" s="39"/>
      <c r="L118" s="39"/>
      <c r="M118" s="39"/>
      <c r="N118" s="39"/>
      <c r="O118" s="39"/>
      <c r="P118" s="39"/>
      <c r="Q118" s="39"/>
      <c r="R118" s="39"/>
      <c r="S118" s="239"/>
      <c r="AE118" s="174"/>
      <c r="AF118" s="174"/>
      <c r="AG118" s="174"/>
    </row>
    <row r="119" ht="15.75" customHeight="1">
      <c r="C119" s="98"/>
      <c r="D119" s="98"/>
      <c r="E119" s="39"/>
      <c r="F119" s="39"/>
      <c r="G119" s="39"/>
      <c r="H119" s="39"/>
      <c r="I119" s="39"/>
      <c r="J119" s="39"/>
      <c r="K119" s="39"/>
      <c r="L119" s="39"/>
      <c r="M119" s="39"/>
      <c r="N119" s="39"/>
      <c r="O119" s="39"/>
      <c r="P119" s="39"/>
      <c r="Q119" s="39"/>
      <c r="R119" s="39"/>
      <c r="S119" s="239"/>
      <c r="AE119" s="174"/>
      <c r="AF119" s="174"/>
      <c r="AG119" s="174"/>
    </row>
    <row r="120" ht="15.75" customHeight="1">
      <c r="C120" s="98"/>
      <c r="D120" s="98"/>
      <c r="E120" s="39"/>
      <c r="F120" s="39"/>
      <c r="G120" s="39"/>
      <c r="H120" s="39"/>
      <c r="I120" s="39"/>
      <c r="J120" s="39"/>
      <c r="K120" s="39"/>
      <c r="L120" s="39"/>
      <c r="M120" s="39"/>
      <c r="N120" s="39"/>
      <c r="O120" s="39"/>
      <c r="P120" s="39"/>
      <c r="Q120" s="39"/>
      <c r="R120" s="39"/>
      <c r="S120" s="239"/>
      <c r="AE120" s="174"/>
      <c r="AF120" s="174"/>
      <c r="AG120" s="174"/>
    </row>
    <row r="121" ht="15.75" customHeight="1">
      <c r="C121" s="98"/>
      <c r="D121" s="98"/>
      <c r="E121" s="39"/>
      <c r="F121" s="39"/>
      <c r="G121" s="39"/>
      <c r="H121" s="39"/>
      <c r="I121" s="39"/>
      <c r="J121" s="39"/>
      <c r="K121" s="39"/>
      <c r="L121" s="39"/>
      <c r="M121" s="39"/>
      <c r="N121" s="39"/>
      <c r="O121" s="39"/>
      <c r="P121" s="39"/>
      <c r="Q121" s="39"/>
      <c r="R121" s="39"/>
      <c r="S121" s="239"/>
      <c r="AE121" s="174"/>
      <c r="AF121" s="174"/>
      <c r="AG121" s="174"/>
    </row>
    <row r="122" ht="15.75" customHeight="1">
      <c r="C122" s="98"/>
      <c r="D122" s="98"/>
      <c r="E122" s="39"/>
      <c r="F122" s="39"/>
      <c r="G122" s="39"/>
      <c r="H122" s="39"/>
      <c r="I122" s="39"/>
      <c r="J122" s="39"/>
      <c r="K122" s="39"/>
      <c r="L122" s="39"/>
      <c r="M122" s="39"/>
      <c r="N122" s="39"/>
      <c r="O122" s="39"/>
      <c r="P122" s="39"/>
      <c r="Q122" s="39"/>
      <c r="R122" s="39"/>
      <c r="S122" s="239"/>
      <c r="AE122" s="174"/>
      <c r="AF122" s="174"/>
      <c r="AG122" s="174"/>
    </row>
    <row r="123" ht="15.75" customHeight="1">
      <c r="C123" s="98"/>
      <c r="D123" s="98"/>
      <c r="E123" s="39"/>
      <c r="F123" s="39"/>
      <c r="G123" s="39"/>
      <c r="H123" s="39"/>
      <c r="I123" s="39"/>
      <c r="J123" s="39"/>
      <c r="K123" s="39"/>
      <c r="L123" s="39"/>
      <c r="M123" s="39"/>
      <c r="N123" s="39"/>
      <c r="O123" s="39"/>
      <c r="P123" s="39"/>
      <c r="Q123" s="39"/>
      <c r="R123" s="39"/>
      <c r="S123" s="239"/>
      <c r="AE123" s="174"/>
      <c r="AF123" s="174"/>
      <c r="AG123" s="174"/>
    </row>
    <row r="124" ht="15.75" customHeight="1">
      <c r="C124" s="98"/>
      <c r="D124" s="98"/>
      <c r="E124" s="39"/>
      <c r="F124" s="39"/>
      <c r="G124" s="39"/>
      <c r="H124" s="39"/>
      <c r="I124" s="39"/>
      <c r="J124" s="39"/>
      <c r="K124" s="39"/>
      <c r="L124" s="39"/>
      <c r="M124" s="39"/>
      <c r="N124" s="39"/>
      <c r="O124" s="39"/>
      <c r="P124" s="39"/>
      <c r="Q124" s="39"/>
      <c r="R124" s="39"/>
      <c r="S124" s="239"/>
      <c r="AE124" s="174"/>
      <c r="AF124" s="174"/>
      <c r="AG124" s="174"/>
    </row>
    <row r="125" ht="15.75" customHeight="1">
      <c r="C125" s="98"/>
      <c r="D125" s="98"/>
      <c r="E125" s="39"/>
      <c r="F125" s="39"/>
      <c r="G125" s="39"/>
      <c r="H125" s="39"/>
      <c r="I125" s="39"/>
      <c r="J125" s="39"/>
      <c r="K125" s="39"/>
      <c r="L125" s="39"/>
      <c r="M125" s="39"/>
      <c r="N125" s="39"/>
      <c r="O125" s="39"/>
      <c r="P125" s="39"/>
      <c r="Q125" s="39"/>
      <c r="R125" s="39"/>
      <c r="S125" s="239"/>
      <c r="AE125" s="174"/>
      <c r="AF125" s="174"/>
      <c r="AG125" s="174"/>
    </row>
    <row r="126" ht="15.75" customHeight="1">
      <c r="C126" s="98"/>
      <c r="D126" s="98"/>
      <c r="E126" s="39"/>
      <c r="F126" s="39"/>
      <c r="G126" s="39"/>
      <c r="H126" s="39"/>
      <c r="I126" s="39"/>
      <c r="J126" s="39"/>
      <c r="K126" s="39"/>
      <c r="L126" s="39"/>
      <c r="M126" s="39"/>
      <c r="N126" s="39"/>
      <c r="O126" s="39"/>
      <c r="P126" s="39"/>
      <c r="Q126" s="39"/>
      <c r="R126" s="39"/>
      <c r="S126" s="239"/>
      <c r="AE126" s="174"/>
      <c r="AF126" s="174"/>
      <c r="AG126" s="174"/>
    </row>
    <row r="127" ht="15.75" customHeight="1">
      <c r="C127" s="98"/>
      <c r="D127" s="98"/>
      <c r="E127" s="39"/>
      <c r="F127" s="39"/>
      <c r="G127" s="39"/>
      <c r="H127" s="39"/>
      <c r="I127" s="39"/>
      <c r="J127" s="39"/>
      <c r="K127" s="39"/>
      <c r="L127" s="39"/>
      <c r="M127" s="39"/>
      <c r="N127" s="39"/>
      <c r="O127" s="39"/>
      <c r="P127" s="39"/>
      <c r="Q127" s="39"/>
      <c r="R127" s="39"/>
      <c r="S127" s="239"/>
      <c r="AE127" s="174"/>
      <c r="AF127" s="174"/>
      <c r="AG127" s="174"/>
    </row>
    <row r="128" ht="15.75" customHeight="1">
      <c r="C128" s="98"/>
      <c r="D128" s="98"/>
      <c r="E128" s="39"/>
      <c r="F128" s="39"/>
      <c r="G128" s="39"/>
      <c r="H128" s="39"/>
      <c r="I128" s="39"/>
      <c r="J128" s="39"/>
      <c r="K128" s="39"/>
      <c r="L128" s="39"/>
      <c r="M128" s="39"/>
      <c r="N128" s="39"/>
      <c r="O128" s="39"/>
      <c r="P128" s="39"/>
      <c r="Q128" s="39"/>
      <c r="R128" s="39"/>
      <c r="S128" s="239"/>
      <c r="AE128" s="174"/>
      <c r="AF128" s="174"/>
      <c r="AG128" s="174"/>
    </row>
    <row r="129" ht="15.75" customHeight="1">
      <c r="C129" s="98"/>
      <c r="D129" s="98"/>
      <c r="E129" s="39"/>
      <c r="F129" s="39"/>
      <c r="G129" s="39"/>
      <c r="H129" s="39"/>
      <c r="I129" s="39"/>
      <c r="J129" s="39"/>
      <c r="K129" s="39"/>
      <c r="L129" s="39"/>
      <c r="M129" s="39"/>
      <c r="N129" s="39"/>
      <c r="O129" s="39"/>
      <c r="P129" s="39"/>
      <c r="Q129" s="39"/>
      <c r="R129" s="39"/>
      <c r="S129" s="239"/>
      <c r="AE129" s="174"/>
      <c r="AF129" s="174"/>
      <c r="AG129" s="174"/>
    </row>
    <row r="130" ht="15.75" customHeight="1">
      <c r="C130" s="98"/>
      <c r="D130" s="98"/>
      <c r="E130" s="39"/>
      <c r="F130" s="39"/>
      <c r="G130" s="39"/>
      <c r="H130" s="39"/>
      <c r="I130" s="39"/>
      <c r="J130" s="39"/>
      <c r="K130" s="39"/>
      <c r="L130" s="39"/>
      <c r="M130" s="39"/>
      <c r="N130" s="39"/>
      <c r="O130" s="39"/>
      <c r="P130" s="39"/>
      <c r="Q130" s="39"/>
      <c r="R130" s="39"/>
      <c r="S130" s="239"/>
      <c r="AE130" s="174"/>
      <c r="AF130" s="174"/>
      <c r="AG130" s="174"/>
    </row>
    <row r="131" ht="15.75" customHeight="1">
      <c r="C131" s="98"/>
      <c r="D131" s="98"/>
      <c r="E131" s="39"/>
      <c r="F131" s="39"/>
      <c r="G131" s="39"/>
      <c r="H131" s="39"/>
      <c r="I131" s="39"/>
      <c r="J131" s="39"/>
      <c r="K131" s="39"/>
      <c r="L131" s="39"/>
      <c r="M131" s="39"/>
      <c r="N131" s="39"/>
      <c r="O131" s="39"/>
      <c r="P131" s="39"/>
      <c r="Q131" s="39"/>
      <c r="R131" s="39"/>
      <c r="S131" s="239"/>
      <c r="AE131" s="174"/>
      <c r="AF131" s="174"/>
      <c r="AG131" s="174"/>
    </row>
    <row r="132" ht="15.75" customHeight="1">
      <c r="C132" s="98"/>
      <c r="D132" s="98"/>
      <c r="E132" s="39"/>
      <c r="F132" s="39"/>
      <c r="G132" s="39"/>
      <c r="H132" s="39"/>
      <c r="I132" s="39"/>
      <c r="J132" s="39"/>
      <c r="K132" s="39"/>
      <c r="L132" s="39"/>
      <c r="M132" s="39"/>
      <c r="N132" s="39"/>
      <c r="O132" s="39"/>
      <c r="P132" s="39"/>
      <c r="Q132" s="39"/>
      <c r="R132" s="39"/>
      <c r="S132" s="239"/>
      <c r="AE132" s="174"/>
      <c r="AF132" s="174"/>
      <c r="AG132" s="174"/>
    </row>
    <row r="133" ht="15.75" customHeight="1">
      <c r="C133" s="98"/>
      <c r="D133" s="98"/>
      <c r="E133" s="39"/>
      <c r="F133" s="39"/>
      <c r="G133" s="39"/>
      <c r="H133" s="39"/>
      <c r="I133" s="39"/>
      <c r="J133" s="39"/>
      <c r="K133" s="39"/>
      <c r="L133" s="39"/>
      <c r="M133" s="39"/>
      <c r="N133" s="39"/>
      <c r="O133" s="39"/>
      <c r="P133" s="39"/>
      <c r="Q133" s="39"/>
      <c r="R133" s="39"/>
      <c r="S133" s="239"/>
      <c r="AE133" s="174"/>
      <c r="AF133" s="174"/>
      <c r="AG133" s="174"/>
    </row>
    <row r="134" ht="15.75" customHeight="1">
      <c r="C134" s="98"/>
      <c r="D134" s="98"/>
      <c r="E134" s="39"/>
      <c r="F134" s="39"/>
      <c r="G134" s="39"/>
      <c r="H134" s="39"/>
      <c r="I134" s="39"/>
      <c r="J134" s="39"/>
      <c r="K134" s="39"/>
      <c r="L134" s="39"/>
      <c r="M134" s="39"/>
      <c r="N134" s="39"/>
      <c r="O134" s="39"/>
      <c r="P134" s="39"/>
      <c r="Q134" s="39"/>
      <c r="R134" s="39"/>
      <c r="S134" s="239"/>
      <c r="AE134" s="174"/>
      <c r="AF134" s="174"/>
      <c r="AG134" s="174"/>
    </row>
    <row r="135" ht="15.75" customHeight="1">
      <c r="C135" s="98"/>
      <c r="D135" s="98"/>
      <c r="E135" s="39"/>
      <c r="F135" s="39"/>
      <c r="G135" s="39"/>
      <c r="H135" s="39"/>
      <c r="I135" s="39"/>
      <c r="J135" s="39"/>
      <c r="K135" s="39"/>
      <c r="L135" s="39"/>
      <c r="M135" s="39"/>
      <c r="N135" s="39"/>
      <c r="O135" s="39"/>
      <c r="P135" s="39"/>
      <c r="Q135" s="39"/>
      <c r="R135" s="39"/>
      <c r="S135" s="239"/>
      <c r="AE135" s="174"/>
      <c r="AF135" s="174"/>
      <c r="AG135" s="174"/>
    </row>
    <row r="136" ht="15.75" customHeight="1">
      <c r="C136" s="98"/>
      <c r="D136" s="98"/>
      <c r="E136" s="39"/>
      <c r="F136" s="39"/>
      <c r="G136" s="39"/>
      <c r="H136" s="39"/>
      <c r="I136" s="39"/>
      <c r="J136" s="39"/>
      <c r="K136" s="39"/>
      <c r="L136" s="39"/>
      <c r="M136" s="39"/>
      <c r="N136" s="39"/>
      <c r="O136" s="39"/>
      <c r="P136" s="39"/>
      <c r="Q136" s="39"/>
      <c r="R136" s="39"/>
      <c r="S136" s="239"/>
      <c r="AE136" s="174"/>
      <c r="AF136" s="174"/>
      <c r="AG136" s="174"/>
    </row>
    <row r="137" ht="15.75" customHeight="1">
      <c r="C137" s="98"/>
      <c r="D137" s="98"/>
      <c r="E137" s="39"/>
      <c r="F137" s="39"/>
      <c r="G137" s="39"/>
      <c r="H137" s="39"/>
      <c r="I137" s="39"/>
      <c r="J137" s="39"/>
      <c r="K137" s="39"/>
      <c r="L137" s="39"/>
      <c r="M137" s="39"/>
      <c r="N137" s="39"/>
      <c r="O137" s="39"/>
      <c r="P137" s="39"/>
      <c r="Q137" s="39"/>
      <c r="R137" s="39"/>
      <c r="S137" s="239"/>
      <c r="AE137" s="174"/>
      <c r="AF137" s="174"/>
      <c r="AG137" s="174"/>
    </row>
    <row r="138" ht="15.75" customHeight="1">
      <c r="C138" s="98"/>
      <c r="D138" s="98"/>
      <c r="E138" s="39"/>
      <c r="F138" s="39"/>
      <c r="G138" s="39"/>
      <c r="H138" s="39"/>
      <c r="I138" s="39"/>
      <c r="J138" s="39"/>
      <c r="K138" s="39"/>
      <c r="L138" s="39"/>
      <c r="M138" s="39"/>
      <c r="N138" s="39"/>
      <c r="O138" s="39"/>
      <c r="P138" s="39"/>
      <c r="Q138" s="39"/>
      <c r="R138" s="39"/>
      <c r="S138" s="239"/>
      <c r="AE138" s="174"/>
      <c r="AF138" s="174"/>
      <c r="AG138" s="174"/>
    </row>
    <row r="139" ht="15.75" customHeight="1">
      <c r="C139" s="98"/>
      <c r="D139" s="98"/>
      <c r="E139" s="39"/>
      <c r="F139" s="39"/>
      <c r="G139" s="39"/>
      <c r="H139" s="39"/>
      <c r="I139" s="39"/>
      <c r="J139" s="39"/>
      <c r="K139" s="39"/>
      <c r="L139" s="39"/>
      <c r="M139" s="39"/>
      <c r="N139" s="39"/>
      <c r="O139" s="39"/>
      <c r="P139" s="39"/>
      <c r="Q139" s="39"/>
      <c r="R139" s="39"/>
      <c r="S139" s="239"/>
      <c r="AE139" s="174"/>
      <c r="AF139" s="174"/>
      <c r="AG139" s="174"/>
    </row>
    <row r="140" ht="15.75" customHeight="1">
      <c r="C140" s="98"/>
      <c r="D140" s="98"/>
      <c r="E140" s="39"/>
      <c r="F140" s="39"/>
      <c r="G140" s="39"/>
      <c r="H140" s="39"/>
      <c r="I140" s="39"/>
      <c r="J140" s="39"/>
      <c r="K140" s="39"/>
      <c r="L140" s="39"/>
      <c r="M140" s="39"/>
      <c r="N140" s="39"/>
      <c r="O140" s="39"/>
      <c r="P140" s="39"/>
      <c r="Q140" s="39"/>
      <c r="R140" s="39"/>
      <c r="S140" s="239"/>
      <c r="AE140" s="174"/>
      <c r="AF140" s="174"/>
      <c r="AG140" s="174"/>
    </row>
    <row r="141" ht="15.75" customHeight="1">
      <c r="C141" s="98"/>
      <c r="D141" s="98"/>
      <c r="E141" s="39"/>
      <c r="F141" s="39"/>
      <c r="G141" s="39"/>
      <c r="H141" s="39"/>
      <c r="I141" s="39"/>
      <c r="J141" s="39"/>
      <c r="K141" s="39"/>
      <c r="L141" s="39"/>
      <c r="M141" s="39"/>
      <c r="N141" s="39"/>
      <c r="O141" s="39"/>
      <c r="P141" s="39"/>
      <c r="Q141" s="39"/>
      <c r="R141" s="39"/>
      <c r="S141" s="239"/>
      <c r="AE141" s="174"/>
      <c r="AF141" s="174"/>
      <c r="AG141" s="174"/>
    </row>
    <row r="142" ht="15.75" customHeight="1">
      <c r="C142" s="98"/>
      <c r="D142" s="98"/>
      <c r="E142" s="39"/>
      <c r="F142" s="39"/>
      <c r="G142" s="39"/>
      <c r="H142" s="39"/>
      <c r="I142" s="39"/>
      <c r="J142" s="39"/>
      <c r="K142" s="39"/>
      <c r="L142" s="39"/>
      <c r="M142" s="39"/>
      <c r="N142" s="39"/>
      <c r="O142" s="39"/>
      <c r="P142" s="39"/>
      <c r="Q142" s="39"/>
      <c r="R142" s="39"/>
      <c r="S142" s="239"/>
      <c r="AE142" s="174"/>
      <c r="AF142" s="174"/>
      <c r="AG142" s="174"/>
    </row>
    <row r="143" ht="15.75" customHeight="1">
      <c r="C143" s="98"/>
      <c r="D143" s="98"/>
      <c r="E143" s="39"/>
      <c r="F143" s="39"/>
      <c r="G143" s="39"/>
      <c r="H143" s="39"/>
      <c r="I143" s="39"/>
      <c r="J143" s="39"/>
      <c r="K143" s="39"/>
      <c r="L143" s="39"/>
      <c r="M143" s="39"/>
      <c r="N143" s="39"/>
      <c r="O143" s="39"/>
      <c r="P143" s="39"/>
      <c r="Q143" s="39"/>
      <c r="R143" s="39"/>
      <c r="S143" s="239"/>
      <c r="AE143" s="174"/>
      <c r="AF143" s="174"/>
      <c r="AG143" s="174"/>
    </row>
    <row r="144" ht="15.75" customHeight="1">
      <c r="C144" s="98"/>
      <c r="D144" s="98"/>
      <c r="E144" s="39"/>
      <c r="F144" s="39"/>
      <c r="G144" s="39"/>
      <c r="H144" s="39"/>
      <c r="I144" s="39"/>
      <c r="J144" s="39"/>
      <c r="K144" s="39"/>
      <c r="L144" s="39"/>
      <c r="M144" s="39"/>
      <c r="N144" s="39"/>
      <c r="O144" s="39"/>
      <c r="P144" s="39"/>
      <c r="Q144" s="39"/>
      <c r="R144" s="39"/>
      <c r="S144" s="239"/>
      <c r="AE144" s="174"/>
      <c r="AF144" s="174"/>
      <c r="AG144" s="174"/>
    </row>
    <row r="145" ht="15.75" customHeight="1">
      <c r="C145" s="98"/>
      <c r="D145" s="98"/>
      <c r="E145" s="39"/>
      <c r="F145" s="39"/>
      <c r="G145" s="39"/>
      <c r="H145" s="39"/>
      <c r="I145" s="39"/>
      <c r="J145" s="39"/>
      <c r="K145" s="39"/>
      <c r="L145" s="39"/>
      <c r="M145" s="39"/>
      <c r="N145" s="39"/>
      <c r="O145" s="39"/>
      <c r="P145" s="39"/>
      <c r="Q145" s="39"/>
      <c r="R145" s="39"/>
      <c r="S145" s="239"/>
      <c r="AE145" s="174"/>
      <c r="AF145" s="174"/>
      <c r="AG145" s="174"/>
    </row>
    <row r="146" ht="15.75" customHeight="1">
      <c r="C146" s="98"/>
      <c r="D146" s="98"/>
      <c r="E146" s="39"/>
      <c r="F146" s="39"/>
      <c r="G146" s="39"/>
      <c r="H146" s="39"/>
      <c r="I146" s="39"/>
      <c r="J146" s="39"/>
      <c r="K146" s="39"/>
      <c r="L146" s="39"/>
      <c r="M146" s="39"/>
      <c r="N146" s="39"/>
      <c r="O146" s="39"/>
      <c r="P146" s="39"/>
      <c r="Q146" s="39"/>
      <c r="R146" s="39"/>
      <c r="S146" s="239"/>
      <c r="AE146" s="174"/>
      <c r="AF146" s="174"/>
      <c r="AG146" s="174"/>
    </row>
    <row r="147" ht="15.75" customHeight="1">
      <c r="C147" s="98"/>
      <c r="D147" s="98"/>
      <c r="E147" s="39"/>
      <c r="F147" s="39"/>
      <c r="G147" s="39"/>
      <c r="H147" s="39"/>
      <c r="I147" s="39"/>
      <c r="J147" s="39"/>
      <c r="K147" s="39"/>
      <c r="L147" s="39"/>
      <c r="M147" s="39"/>
      <c r="N147" s="39"/>
      <c r="O147" s="39"/>
      <c r="P147" s="39"/>
      <c r="Q147" s="39"/>
      <c r="R147" s="39"/>
      <c r="S147" s="239"/>
      <c r="AE147" s="174"/>
      <c r="AF147" s="174"/>
      <c r="AG147" s="174"/>
    </row>
    <row r="148" ht="15.75" customHeight="1">
      <c r="C148" s="98"/>
      <c r="D148" s="98"/>
      <c r="E148" s="39"/>
      <c r="F148" s="39"/>
      <c r="G148" s="39"/>
      <c r="H148" s="39"/>
      <c r="I148" s="39"/>
      <c r="J148" s="39"/>
      <c r="K148" s="39"/>
      <c r="L148" s="39"/>
      <c r="M148" s="39"/>
      <c r="N148" s="39"/>
      <c r="O148" s="39"/>
      <c r="P148" s="39"/>
      <c r="Q148" s="39"/>
      <c r="R148" s="39"/>
      <c r="S148" s="239"/>
      <c r="AE148" s="174"/>
      <c r="AF148" s="174"/>
      <c r="AG148" s="174"/>
    </row>
    <row r="149" ht="15.75" customHeight="1">
      <c r="C149" s="98"/>
      <c r="D149" s="98"/>
      <c r="E149" s="39"/>
      <c r="F149" s="39"/>
      <c r="G149" s="39"/>
      <c r="H149" s="39"/>
      <c r="I149" s="39"/>
      <c r="J149" s="39"/>
      <c r="K149" s="39"/>
      <c r="L149" s="39"/>
      <c r="M149" s="39"/>
      <c r="N149" s="39"/>
      <c r="O149" s="39"/>
      <c r="P149" s="39"/>
      <c r="Q149" s="39"/>
      <c r="R149" s="39"/>
      <c r="S149" s="239"/>
      <c r="AE149" s="174"/>
      <c r="AF149" s="174"/>
      <c r="AG149" s="174"/>
    </row>
    <row r="150" ht="15.75" customHeight="1">
      <c r="C150" s="98"/>
      <c r="D150" s="98"/>
      <c r="E150" s="39"/>
      <c r="F150" s="39"/>
      <c r="G150" s="39"/>
      <c r="H150" s="39"/>
      <c r="I150" s="39"/>
      <c r="J150" s="39"/>
      <c r="K150" s="39"/>
      <c r="L150" s="39"/>
      <c r="M150" s="39"/>
      <c r="N150" s="39"/>
      <c r="O150" s="39"/>
      <c r="P150" s="39"/>
      <c r="Q150" s="39"/>
      <c r="R150" s="39"/>
      <c r="S150" s="239"/>
      <c r="AE150" s="174"/>
      <c r="AF150" s="174"/>
      <c r="AG150" s="174"/>
    </row>
    <row r="151" ht="15.75" customHeight="1">
      <c r="C151" s="98"/>
      <c r="D151" s="98"/>
      <c r="E151" s="39"/>
      <c r="F151" s="39"/>
      <c r="G151" s="39"/>
      <c r="H151" s="39"/>
      <c r="I151" s="39"/>
      <c r="J151" s="39"/>
      <c r="K151" s="39"/>
      <c r="L151" s="39"/>
      <c r="M151" s="39"/>
      <c r="N151" s="39"/>
      <c r="O151" s="39"/>
      <c r="P151" s="39"/>
      <c r="Q151" s="39"/>
      <c r="R151" s="39"/>
      <c r="S151" s="239"/>
      <c r="AE151" s="174"/>
      <c r="AF151" s="174"/>
      <c r="AG151" s="174"/>
    </row>
    <row r="152" ht="15.75" customHeight="1">
      <c r="C152" s="98"/>
      <c r="D152" s="98"/>
      <c r="E152" s="39"/>
      <c r="F152" s="39"/>
      <c r="G152" s="39"/>
      <c r="H152" s="39"/>
      <c r="I152" s="39"/>
      <c r="J152" s="39"/>
      <c r="K152" s="39"/>
      <c r="L152" s="39"/>
      <c r="M152" s="39"/>
      <c r="N152" s="39"/>
      <c r="O152" s="39"/>
      <c r="P152" s="39"/>
      <c r="Q152" s="39"/>
      <c r="R152" s="39"/>
      <c r="S152" s="239"/>
      <c r="AE152" s="174"/>
      <c r="AF152" s="174"/>
      <c r="AG152" s="174"/>
    </row>
    <row r="153" ht="15.75" customHeight="1">
      <c r="C153" s="98"/>
      <c r="D153" s="98"/>
      <c r="E153" s="39"/>
      <c r="F153" s="39"/>
      <c r="G153" s="39"/>
      <c r="H153" s="39"/>
      <c r="I153" s="39"/>
      <c r="J153" s="39"/>
      <c r="K153" s="39"/>
      <c r="L153" s="39"/>
      <c r="M153" s="39"/>
      <c r="N153" s="39"/>
      <c r="O153" s="39"/>
      <c r="P153" s="39"/>
      <c r="Q153" s="39"/>
      <c r="R153" s="39"/>
      <c r="S153" s="239"/>
      <c r="AE153" s="174"/>
      <c r="AF153" s="174"/>
      <c r="AG153" s="174"/>
    </row>
    <row r="154" ht="15.75" customHeight="1">
      <c r="C154" s="98"/>
      <c r="D154" s="98"/>
      <c r="E154" s="39"/>
      <c r="F154" s="39"/>
      <c r="G154" s="39"/>
      <c r="H154" s="39"/>
      <c r="I154" s="39"/>
      <c r="J154" s="39"/>
      <c r="K154" s="39"/>
      <c r="L154" s="39"/>
      <c r="M154" s="39"/>
      <c r="N154" s="39"/>
      <c r="O154" s="39"/>
      <c r="P154" s="39"/>
      <c r="Q154" s="39"/>
      <c r="R154" s="39"/>
      <c r="S154" s="239"/>
      <c r="AE154" s="174"/>
      <c r="AF154" s="174"/>
      <c r="AG154" s="174"/>
    </row>
    <row r="155" ht="15.75" customHeight="1">
      <c r="C155" s="98"/>
      <c r="D155" s="98"/>
      <c r="E155" s="39"/>
      <c r="F155" s="39"/>
      <c r="G155" s="39"/>
      <c r="H155" s="39"/>
      <c r="I155" s="39"/>
      <c r="J155" s="39"/>
      <c r="K155" s="39"/>
      <c r="L155" s="39"/>
      <c r="M155" s="39"/>
      <c r="N155" s="39"/>
      <c r="O155" s="39"/>
      <c r="P155" s="39"/>
      <c r="Q155" s="39"/>
      <c r="R155" s="39"/>
      <c r="S155" s="239"/>
      <c r="AE155" s="174"/>
      <c r="AF155" s="174"/>
      <c r="AG155" s="174"/>
    </row>
    <row r="156" ht="15.75" customHeight="1">
      <c r="C156" s="98"/>
      <c r="D156" s="98"/>
      <c r="E156" s="39"/>
      <c r="F156" s="39"/>
      <c r="G156" s="39"/>
      <c r="H156" s="39"/>
      <c r="I156" s="39"/>
      <c r="J156" s="39"/>
      <c r="K156" s="39"/>
      <c r="L156" s="39"/>
      <c r="M156" s="39"/>
      <c r="N156" s="39"/>
      <c r="O156" s="39"/>
      <c r="P156" s="39"/>
      <c r="Q156" s="39"/>
      <c r="R156" s="39"/>
      <c r="S156" s="239"/>
      <c r="AE156" s="174"/>
      <c r="AF156" s="174"/>
      <c r="AG156" s="174"/>
    </row>
    <row r="157" ht="15.75" customHeight="1">
      <c r="C157" s="98"/>
      <c r="D157" s="98"/>
      <c r="E157" s="39"/>
      <c r="F157" s="39"/>
      <c r="G157" s="39"/>
      <c r="H157" s="39"/>
      <c r="I157" s="39"/>
      <c r="J157" s="39"/>
      <c r="K157" s="39"/>
      <c r="L157" s="39"/>
      <c r="M157" s="39"/>
      <c r="N157" s="39"/>
      <c r="O157" s="39"/>
      <c r="P157" s="39"/>
      <c r="Q157" s="39"/>
      <c r="R157" s="39"/>
      <c r="S157" s="239"/>
      <c r="AE157" s="174"/>
      <c r="AF157" s="174"/>
      <c r="AG157" s="174"/>
    </row>
    <row r="158" ht="15.75" customHeight="1">
      <c r="C158" s="98"/>
      <c r="D158" s="98"/>
      <c r="E158" s="39"/>
      <c r="F158" s="39"/>
      <c r="G158" s="39"/>
      <c r="H158" s="39"/>
      <c r="I158" s="39"/>
      <c r="J158" s="39"/>
      <c r="K158" s="39"/>
      <c r="L158" s="39"/>
      <c r="M158" s="39"/>
      <c r="N158" s="39"/>
      <c r="O158" s="39"/>
      <c r="P158" s="39"/>
      <c r="Q158" s="39"/>
      <c r="R158" s="39"/>
      <c r="S158" s="239"/>
      <c r="AE158" s="174"/>
      <c r="AF158" s="174"/>
      <c r="AG158" s="174"/>
    </row>
    <row r="159" ht="15.75" customHeight="1">
      <c r="C159" s="98"/>
      <c r="D159" s="98"/>
      <c r="E159" s="39"/>
      <c r="F159" s="39"/>
      <c r="G159" s="39"/>
      <c r="H159" s="39"/>
      <c r="I159" s="39"/>
      <c r="J159" s="39"/>
      <c r="K159" s="39"/>
      <c r="L159" s="39"/>
      <c r="M159" s="39"/>
      <c r="N159" s="39"/>
      <c r="O159" s="39"/>
      <c r="P159" s="39"/>
      <c r="Q159" s="39"/>
      <c r="R159" s="39"/>
      <c r="S159" s="239"/>
      <c r="AE159" s="174"/>
      <c r="AF159" s="174"/>
      <c r="AG159" s="174"/>
    </row>
    <row r="160" ht="15.75" customHeight="1">
      <c r="C160" s="98"/>
      <c r="D160" s="98"/>
      <c r="E160" s="39"/>
      <c r="F160" s="39"/>
      <c r="G160" s="39"/>
      <c r="H160" s="39"/>
      <c r="I160" s="39"/>
      <c r="J160" s="39"/>
      <c r="K160" s="39"/>
      <c r="L160" s="39"/>
      <c r="M160" s="39"/>
      <c r="N160" s="39"/>
      <c r="O160" s="39"/>
      <c r="P160" s="39"/>
      <c r="Q160" s="39"/>
      <c r="R160" s="39"/>
      <c r="S160" s="239"/>
      <c r="AE160" s="174"/>
      <c r="AF160" s="174"/>
      <c r="AG160" s="174"/>
    </row>
    <row r="161" ht="15.75" customHeight="1">
      <c r="C161" s="98"/>
      <c r="D161" s="98"/>
      <c r="E161" s="39"/>
      <c r="F161" s="39"/>
      <c r="G161" s="39"/>
      <c r="H161" s="39"/>
      <c r="I161" s="39"/>
      <c r="J161" s="39"/>
      <c r="K161" s="39"/>
      <c r="L161" s="39"/>
      <c r="M161" s="39"/>
      <c r="N161" s="39"/>
      <c r="O161" s="39"/>
      <c r="P161" s="39"/>
      <c r="Q161" s="39"/>
      <c r="R161" s="39"/>
      <c r="S161" s="239"/>
      <c r="AE161" s="174"/>
      <c r="AF161" s="174"/>
      <c r="AG161" s="174"/>
    </row>
    <row r="162" ht="15.75" customHeight="1">
      <c r="C162" s="98"/>
      <c r="D162" s="98"/>
      <c r="E162" s="39"/>
      <c r="F162" s="39"/>
      <c r="G162" s="39"/>
      <c r="H162" s="39"/>
      <c r="I162" s="39"/>
      <c r="J162" s="39"/>
      <c r="K162" s="39"/>
      <c r="L162" s="39"/>
      <c r="M162" s="39"/>
      <c r="N162" s="39"/>
      <c r="O162" s="39"/>
      <c r="P162" s="39"/>
      <c r="Q162" s="39"/>
      <c r="R162" s="39"/>
      <c r="S162" s="239"/>
      <c r="AE162" s="174"/>
      <c r="AF162" s="174"/>
      <c r="AG162" s="174"/>
    </row>
    <row r="163" ht="15.75" customHeight="1">
      <c r="C163" s="98"/>
      <c r="D163" s="98"/>
      <c r="E163" s="39"/>
      <c r="F163" s="39"/>
      <c r="G163" s="39"/>
      <c r="H163" s="39"/>
      <c r="I163" s="39"/>
      <c r="J163" s="39"/>
      <c r="K163" s="39"/>
      <c r="L163" s="39"/>
      <c r="M163" s="39"/>
      <c r="N163" s="39"/>
      <c r="O163" s="39"/>
      <c r="P163" s="39"/>
      <c r="Q163" s="39"/>
      <c r="R163" s="39"/>
      <c r="S163" s="239"/>
      <c r="AE163" s="174"/>
      <c r="AF163" s="174"/>
      <c r="AG163" s="174"/>
    </row>
    <row r="164" ht="15.75" customHeight="1">
      <c r="C164" s="98"/>
      <c r="D164" s="98"/>
      <c r="E164" s="39"/>
      <c r="F164" s="39"/>
      <c r="G164" s="39"/>
      <c r="H164" s="39"/>
      <c r="I164" s="39"/>
      <c r="J164" s="39"/>
      <c r="K164" s="39"/>
      <c r="L164" s="39"/>
      <c r="M164" s="39"/>
      <c r="N164" s="39"/>
      <c r="O164" s="39"/>
      <c r="P164" s="39"/>
      <c r="Q164" s="39"/>
      <c r="R164" s="39"/>
      <c r="S164" s="239"/>
      <c r="AE164" s="174"/>
      <c r="AF164" s="174"/>
      <c r="AG164" s="174"/>
    </row>
    <row r="165" ht="15.75" customHeight="1">
      <c r="C165" s="98"/>
      <c r="D165" s="98"/>
      <c r="E165" s="39"/>
      <c r="F165" s="39"/>
      <c r="G165" s="39"/>
      <c r="H165" s="39"/>
      <c r="I165" s="39"/>
      <c r="J165" s="39"/>
      <c r="K165" s="39"/>
      <c r="L165" s="39"/>
      <c r="M165" s="39"/>
      <c r="N165" s="39"/>
      <c r="O165" s="39"/>
      <c r="P165" s="39"/>
      <c r="Q165" s="39"/>
      <c r="R165" s="39"/>
      <c r="S165" s="239"/>
      <c r="AE165" s="174"/>
      <c r="AF165" s="174"/>
      <c r="AG165" s="174"/>
    </row>
    <row r="166" ht="15.75" customHeight="1">
      <c r="C166" s="98"/>
      <c r="D166" s="98"/>
      <c r="E166" s="39"/>
      <c r="F166" s="39"/>
      <c r="G166" s="39"/>
      <c r="H166" s="39"/>
      <c r="I166" s="39"/>
      <c r="J166" s="39"/>
      <c r="K166" s="39"/>
      <c r="L166" s="39"/>
      <c r="M166" s="39"/>
      <c r="N166" s="39"/>
      <c r="O166" s="39"/>
      <c r="P166" s="39"/>
      <c r="Q166" s="39"/>
      <c r="R166" s="39"/>
      <c r="S166" s="239"/>
      <c r="AE166" s="174"/>
      <c r="AF166" s="174"/>
      <c r="AG166" s="174"/>
    </row>
    <row r="167" ht="15.75" customHeight="1">
      <c r="C167" s="98"/>
      <c r="D167" s="98"/>
      <c r="E167" s="39"/>
      <c r="F167" s="39"/>
      <c r="G167" s="39"/>
      <c r="H167" s="39"/>
      <c r="I167" s="39"/>
      <c r="J167" s="39"/>
      <c r="K167" s="39"/>
      <c r="L167" s="39"/>
      <c r="M167" s="39"/>
      <c r="N167" s="39"/>
      <c r="O167" s="39"/>
      <c r="P167" s="39"/>
      <c r="Q167" s="39"/>
      <c r="R167" s="39"/>
      <c r="S167" s="239"/>
      <c r="AE167" s="174"/>
      <c r="AF167" s="174"/>
      <c r="AG167" s="174"/>
    </row>
    <row r="168" ht="15.75" customHeight="1">
      <c r="C168" s="98"/>
      <c r="D168" s="98"/>
      <c r="E168" s="39"/>
      <c r="F168" s="39"/>
      <c r="G168" s="39"/>
      <c r="H168" s="39"/>
      <c r="I168" s="39"/>
      <c r="J168" s="39"/>
      <c r="K168" s="39"/>
      <c r="L168" s="39"/>
      <c r="M168" s="39"/>
      <c r="N168" s="39"/>
      <c r="O168" s="39"/>
      <c r="P168" s="39"/>
      <c r="Q168" s="39"/>
      <c r="R168" s="39"/>
      <c r="S168" s="239"/>
      <c r="AE168" s="174"/>
      <c r="AF168" s="174"/>
      <c r="AG168" s="174"/>
    </row>
    <row r="169" ht="15.75" customHeight="1">
      <c r="C169" s="98"/>
      <c r="D169" s="98"/>
      <c r="E169" s="39"/>
      <c r="F169" s="39"/>
      <c r="G169" s="39"/>
      <c r="H169" s="39"/>
      <c r="I169" s="39"/>
      <c r="J169" s="39"/>
      <c r="K169" s="39"/>
      <c r="L169" s="39"/>
      <c r="M169" s="39"/>
      <c r="N169" s="39"/>
      <c r="O169" s="39"/>
      <c r="P169" s="39"/>
      <c r="Q169" s="39"/>
      <c r="R169" s="39"/>
      <c r="S169" s="239"/>
      <c r="AE169" s="174"/>
      <c r="AF169" s="174"/>
      <c r="AG169" s="174"/>
    </row>
    <row r="170" ht="15.75" customHeight="1">
      <c r="C170" s="98"/>
      <c r="D170" s="98"/>
      <c r="E170" s="39"/>
      <c r="F170" s="39"/>
      <c r="G170" s="39"/>
      <c r="H170" s="39"/>
      <c r="I170" s="39"/>
      <c r="J170" s="39"/>
      <c r="K170" s="39"/>
      <c r="L170" s="39"/>
      <c r="M170" s="39"/>
      <c r="N170" s="39"/>
      <c r="O170" s="39"/>
      <c r="P170" s="39"/>
      <c r="Q170" s="39"/>
      <c r="R170" s="39"/>
      <c r="S170" s="239"/>
      <c r="AE170" s="174"/>
      <c r="AF170" s="174"/>
      <c r="AG170" s="174"/>
    </row>
    <row r="171" ht="15.75" customHeight="1">
      <c r="C171" s="98"/>
      <c r="D171" s="98"/>
      <c r="E171" s="39"/>
      <c r="F171" s="39"/>
      <c r="G171" s="39"/>
      <c r="H171" s="39"/>
      <c r="I171" s="39"/>
      <c r="J171" s="39"/>
      <c r="K171" s="39"/>
      <c r="L171" s="39"/>
      <c r="M171" s="39"/>
      <c r="N171" s="39"/>
      <c r="O171" s="39"/>
      <c r="P171" s="39"/>
      <c r="Q171" s="39"/>
      <c r="R171" s="39"/>
      <c r="S171" s="239"/>
      <c r="AE171" s="174"/>
      <c r="AF171" s="174"/>
      <c r="AG171" s="174"/>
    </row>
    <row r="172" ht="15.75" customHeight="1">
      <c r="C172" s="98"/>
      <c r="D172" s="98"/>
      <c r="E172" s="39"/>
      <c r="F172" s="39"/>
      <c r="G172" s="39"/>
      <c r="H172" s="39"/>
      <c r="I172" s="39"/>
      <c r="J172" s="39"/>
      <c r="K172" s="39"/>
      <c r="L172" s="39"/>
      <c r="M172" s="39"/>
      <c r="N172" s="39"/>
      <c r="O172" s="39"/>
      <c r="P172" s="39"/>
      <c r="Q172" s="39"/>
      <c r="R172" s="39"/>
      <c r="S172" s="239"/>
      <c r="AE172" s="174"/>
      <c r="AF172" s="174"/>
      <c r="AG172" s="174"/>
    </row>
    <row r="173" ht="15.75" customHeight="1">
      <c r="C173" s="98"/>
      <c r="D173" s="98"/>
      <c r="E173" s="39"/>
      <c r="F173" s="39"/>
      <c r="G173" s="39"/>
      <c r="H173" s="39"/>
      <c r="I173" s="39"/>
      <c r="J173" s="39"/>
      <c r="K173" s="39"/>
      <c r="L173" s="39"/>
      <c r="M173" s="39"/>
      <c r="N173" s="39"/>
      <c r="O173" s="39"/>
      <c r="P173" s="39"/>
      <c r="Q173" s="39"/>
      <c r="R173" s="39"/>
      <c r="S173" s="239"/>
      <c r="AE173" s="174"/>
      <c r="AF173" s="174"/>
      <c r="AG173" s="174"/>
    </row>
    <row r="174" ht="15.75" customHeight="1">
      <c r="C174" s="98"/>
      <c r="D174" s="98"/>
      <c r="E174" s="39"/>
      <c r="F174" s="39"/>
      <c r="G174" s="39"/>
      <c r="H174" s="39"/>
      <c r="I174" s="39"/>
      <c r="J174" s="39"/>
      <c r="K174" s="39"/>
      <c r="L174" s="39"/>
      <c r="M174" s="39"/>
      <c r="N174" s="39"/>
      <c r="O174" s="39"/>
      <c r="P174" s="39"/>
      <c r="Q174" s="39"/>
      <c r="R174" s="39"/>
      <c r="S174" s="239"/>
      <c r="AE174" s="174"/>
      <c r="AF174" s="174"/>
      <c r="AG174" s="174"/>
    </row>
    <row r="175" ht="15.75" customHeight="1">
      <c r="C175" s="98"/>
      <c r="D175" s="98"/>
      <c r="E175" s="39"/>
      <c r="F175" s="39"/>
      <c r="G175" s="39"/>
      <c r="H175" s="39"/>
      <c r="I175" s="39"/>
      <c r="J175" s="39"/>
      <c r="K175" s="39"/>
      <c r="L175" s="39"/>
      <c r="M175" s="39"/>
      <c r="N175" s="39"/>
      <c r="O175" s="39"/>
      <c r="P175" s="39"/>
      <c r="Q175" s="39"/>
      <c r="R175" s="39"/>
      <c r="S175" s="239"/>
      <c r="AE175" s="174"/>
      <c r="AF175" s="174"/>
      <c r="AG175" s="174"/>
    </row>
    <row r="176" ht="15.75" customHeight="1">
      <c r="C176" s="98"/>
      <c r="D176" s="98"/>
      <c r="E176" s="39"/>
      <c r="F176" s="39"/>
      <c r="G176" s="39"/>
      <c r="H176" s="39"/>
      <c r="I176" s="39"/>
      <c r="J176" s="39"/>
      <c r="K176" s="39"/>
      <c r="L176" s="39"/>
      <c r="M176" s="39"/>
      <c r="N176" s="39"/>
      <c r="O176" s="39"/>
      <c r="P176" s="39"/>
      <c r="Q176" s="39"/>
      <c r="R176" s="39"/>
      <c r="S176" s="239"/>
      <c r="AE176" s="174"/>
      <c r="AF176" s="174"/>
      <c r="AG176" s="174"/>
    </row>
    <row r="177" ht="15.75" customHeight="1">
      <c r="C177" s="98"/>
      <c r="D177" s="98"/>
      <c r="E177" s="39"/>
      <c r="F177" s="39"/>
      <c r="G177" s="39"/>
      <c r="H177" s="39"/>
      <c r="I177" s="39"/>
      <c r="J177" s="39"/>
      <c r="K177" s="39"/>
      <c r="L177" s="39"/>
      <c r="M177" s="39"/>
      <c r="N177" s="39"/>
      <c r="O177" s="39"/>
      <c r="P177" s="39"/>
      <c r="Q177" s="39"/>
      <c r="R177" s="39"/>
      <c r="S177" s="239"/>
      <c r="AE177" s="174"/>
      <c r="AF177" s="174"/>
      <c r="AG177" s="174"/>
    </row>
    <row r="178" ht="15.75" customHeight="1">
      <c r="C178" s="98"/>
      <c r="D178" s="98"/>
      <c r="E178" s="39"/>
      <c r="F178" s="39"/>
      <c r="G178" s="39"/>
      <c r="H178" s="39"/>
      <c r="I178" s="39"/>
      <c r="J178" s="39"/>
      <c r="K178" s="39"/>
      <c r="L178" s="39"/>
      <c r="M178" s="39"/>
      <c r="N178" s="39"/>
      <c r="O178" s="39"/>
      <c r="P178" s="39"/>
      <c r="Q178" s="39"/>
      <c r="R178" s="39"/>
      <c r="S178" s="239"/>
      <c r="AE178" s="174"/>
      <c r="AF178" s="174"/>
      <c r="AG178" s="174"/>
    </row>
    <row r="179" ht="15.75" customHeight="1">
      <c r="C179" s="98"/>
      <c r="D179" s="98"/>
      <c r="E179" s="39"/>
      <c r="F179" s="39"/>
      <c r="G179" s="39"/>
      <c r="H179" s="39"/>
      <c r="I179" s="39"/>
      <c r="J179" s="39"/>
      <c r="K179" s="39"/>
      <c r="L179" s="39"/>
      <c r="M179" s="39"/>
      <c r="N179" s="39"/>
      <c r="O179" s="39"/>
      <c r="P179" s="39"/>
      <c r="Q179" s="39"/>
      <c r="R179" s="39"/>
      <c r="S179" s="239"/>
      <c r="AE179" s="174"/>
      <c r="AF179" s="174"/>
      <c r="AG179" s="174"/>
    </row>
    <row r="180" ht="15.75" customHeight="1">
      <c r="C180" s="98"/>
      <c r="D180" s="98"/>
      <c r="E180" s="39"/>
      <c r="F180" s="39"/>
      <c r="G180" s="39"/>
      <c r="H180" s="39"/>
      <c r="I180" s="39"/>
      <c r="J180" s="39"/>
      <c r="K180" s="39"/>
      <c r="L180" s="39"/>
      <c r="M180" s="39"/>
      <c r="N180" s="39"/>
      <c r="O180" s="39"/>
      <c r="P180" s="39"/>
      <c r="Q180" s="39"/>
      <c r="R180" s="39"/>
      <c r="S180" s="239"/>
      <c r="AE180" s="174"/>
      <c r="AF180" s="174"/>
      <c r="AG180" s="174"/>
    </row>
    <row r="181" ht="15.75" customHeight="1">
      <c r="C181" s="98"/>
      <c r="D181" s="98"/>
      <c r="E181" s="39"/>
      <c r="F181" s="39"/>
      <c r="G181" s="39"/>
      <c r="H181" s="39"/>
      <c r="I181" s="39"/>
      <c r="J181" s="39"/>
      <c r="K181" s="39"/>
      <c r="L181" s="39"/>
      <c r="M181" s="39"/>
      <c r="N181" s="39"/>
      <c r="O181" s="39"/>
      <c r="P181" s="39"/>
      <c r="Q181" s="39"/>
      <c r="R181" s="39"/>
      <c r="S181" s="239"/>
      <c r="AE181" s="174"/>
      <c r="AF181" s="174"/>
      <c r="AG181" s="174"/>
    </row>
    <row r="182" ht="15.75" customHeight="1">
      <c r="C182" s="98"/>
      <c r="D182" s="98"/>
      <c r="E182" s="39"/>
      <c r="F182" s="39"/>
      <c r="G182" s="39"/>
      <c r="H182" s="39"/>
      <c r="I182" s="39"/>
      <c r="J182" s="39"/>
      <c r="K182" s="39"/>
      <c r="L182" s="39"/>
      <c r="M182" s="39"/>
      <c r="N182" s="39"/>
      <c r="O182" s="39"/>
      <c r="P182" s="39"/>
      <c r="Q182" s="39"/>
      <c r="R182" s="39"/>
      <c r="S182" s="239"/>
      <c r="AE182" s="174"/>
      <c r="AF182" s="174"/>
      <c r="AG182" s="174"/>
    </row>
    <row r="183" ht="15.75" customHeight="1">
      <c r="C183" s="98"/>
      <c r="D183" s="98"/>
      <c r="E183" s="39"/>
      <c r="F183" s="39"/>
      <c r="G183" s="39"/>
      <c r="H183" s="39"/>
      <c r="I183" s="39"/>
      <c r="J183" s="39"/>
      <c r="K183" s="39"/>
      <c r="L183" s="39"/>
      <c r="M183" s="39"/>
      <c r="N183" s="39"/>
      <c r="O183" s="39"/>
      <c r="P183" s="39"/>
      <c r="Q183" s="39"/>
      <c r="R183" s="39"/>
      <c r="S183" s="239"/>
      <c r="AE183" s="174"/>
      <c r="AF183" s="174"/>
      <c r="AG183" s="174"/>
    </row>
    <row r="184" ht="15.75" customHeight="1">
      <c r="C184" s="98"/>
      <c r="D184" s="98"/>
      <c r="E184" s="39"/>
      <c r="F184" s="39"/>
      <c r="G184" s="39"/>
      <c r="H184" s="39"/>
      <c r="I184" s="39"/>
      <c r="J184" s="39"/>
      <c r="K184" s="39"/>
      <c r="L184" s="39"/>
      <c r="M184" s="39"/>
      <c r="N184" s="39"/>
      <c r="O184" s="39"/>
      <c r="P184" s="39"/>
      <c r="Q184" s="39"/>
      <c r="R184" s="39"/>
      <c r="S184" s="239"/>
      <c r="AE184" s="174"/>
      <c r="AF184" s="174"/>
      <c r="AG184" s="174"/>
    </row>
    <row r="185" ht="15.75" customHeight="1">
      <c r="C185" s="98"/>
      <c r="D185" s="98"/>
      <c r="E185" s="39"/>
      <c r="F185" s="39"/>
      <c r="G185" s="39"/>
      <c r="H185" s="39"/>
      <c r="I185" s="39"/>
      <c r="J185" s="39"/>
      <c r="K185" s="39"/>
      <c r="L185" s="39"/>
      <c r="M185" s="39"/>
      <c r="N185" s="39"/>
      <c r="O185" s="39"/>
      <c r="P185" s="39"/>
      <c r="Q185" s="39"/>
      <c r="R185" s="39"/>
      <c r="S185" s="239"/>
      <c r="AE185" s="174"/>
      <c r="AF185" s="174"/>
      <c r="AG185" s="174"/>
    </row>
    <row r="186" ht="15.75" customHeight="1">
      <c r="C186" s="98"/>
      <c r="D186" s="98"/>
      <c r="E186" s="39"/>
      <c r="F186" s="39"/>
      <c r="G186" s="39"/>
      <c r="H186" s="39"/>
      <c r="I186" s="39"/>
      <c r="J186" s="39"/>
      <c r="K186" s="39"/>
      <c r="L186" s="39"/>
      <c r="M186" s="39"/>
      <c r="N186" s="39"/>
      <c r="O186" s="39"/>
      <c r="P186" s="39"/>
      <c r="Q186" s="39"/>
      <c r="R186" s="39"/>
      <c r="S186" s="239"/>
      <c r="AE186" s="174"/>
      <c r="AF186" s="174"/>
      <c r="AG186" s="174"/>
    </row>
    <row r="187" ht="15.75" customHeight="1">
      <c r="C187" s="98"/>
      <c r="D187" s="98"/>
      <c r="E187" s="39"/>
      <c r="F187" s="39"/>
      <c r="G187" s="39"/>
      <c r="H187" s="39"/>
      <c r="I187" s="39"/>
      <c r="J187" s="39"/>
      <c r="K187" s="39"/>
      <c r="L187" s="39"/>
      <c r="M187" s="39"/>
      <c r="N187" s="39"/>
      <c r="O187" s="39"/>
      <c r="P187" s="39"/>
      <c r="Q187" s="39"/>
      <c r="R187" s="39"/>
      <c r="S187" s="239"/>
      <c r="AE187" s="174"/>
      <c r="AF187" s="174"/>
      <c r="AG187" s="174"/>
    </row>
    <row r="188" ht="15.75" customHeight="1">
      <c r="C188" s="98"/>
      <c r="D188" s="98"/>
      <c r="E188" s="39"/>
      <c r="F188" s="39"/>
      <c r="G188" s="39"/>
      <c r="H188" s="39"/>
      <c r="I188" s="39"/>
      <c r="J188" s="39"/>
      <c r="K188" s="39"/>
      <c r="L188" s="39"/>
      <c r="M188" s="39"/>
      <c r="N188" s="39"/>
      <c r="O188" s="39"/>
      <c r="P188" s="39"/>
      <c r="Q188" s="39"/>
      <c r="R188" s="39"/>
      <c r="S188" s="239"/>
      <c r="AE188" s="174"/>
      <c r="AF188" s="174"/>
      <c r="AG188" s="174"/>
    </row>
    <row r="189" ht="15.75" customHeight="1">
      <c r="C189" s="98"/>
      <c r="D189" s="98"/>
      <c r="E189" s="39"/>
      <c r="F189" s="39"/>
      <c r="G189" s="39"/>
      <c r="H189" s="39"/>
      <c r="I189" s="39"/>
      <c r="J189" s="39"/>
      <c r="K189" s="39"/>
      <c r="L189" s="39"/>
      <c r="M189" s="39"/>
      <c r="N189" s="39"/>
      <c r="O189" s="39"/>
      <c r="P189" s="39"/>
      <c r="Q189" s="39"/>
      <c r="R189" s="39"/>
      <c r="S189" s="239"/>
      <c r="AE189" s="174"/>
      <c r="AF189" s="174"/>
      <c r="AG189" s="174"/>
    </row>
    <row r="190" ht="15.75" customHeight="1">
      <c r="C190" s="98"/>
      <c r="D190" s="98"/>
      <c r="E190" s="39"/>
      <c r="F190" s="39"/>
      <c r="G190" s="39"/>
      <c r="H190" s="39"/>
      <c r="I190" s="39"/>
      <c r="J190" s="39"/>
      <c r="K190" s="39"/>
      <c r="L190" s="39"/>
      <c r="M190" s="39"/>
      <c r="N190" s="39"/>
      <c r="O190" s="39"/>
      <c r="P190" s="39"/>
      <c r="Q190" s="39"/>
      <c r="R190" s="39"/>
      <c r="S190" s="239"/>
      <c r="AE190" s="174"/>
      <c r="AF190" s="174"/>
      <c r="AG190" s="174"/>
    </row>
    <row r="191" ht="15.75" customHeight="1">
      <c r="C191" s="98"/>
      <c r="D191" s="98"/>
      <c r="E191" s="39"/>
      <c r="F191" s="39"/>
      <c r="G191" s="39"/>
      <c r="H191" s="39"/>
      <c r="I191" s="39"/>
      <c r="J191" s="39"/>
      <c r="K191" s="39"/>
      <c r="L191" s="39"/>
      <c r="M191" s="39"/>
      <c r="N191" s="39"/>
      <c r="O191" s="39"/>
      <c r="P191" s="39"/>
      <c r="Q191" s="39"/>
      <c r="R191" s="39"/>
      <c r="S191" s="239"/>
      <c r="AE191" s="174"/>
      <c r="AF191" s="174"/>
      <c r="AG191" s="174"/>
    </row>
    <row r="192" ht="15.75" customHeight="1">
      <c r="C192" s="98"/>
      <c r="D192" s="98"/>
      <c r="E192" s="39"/>
      <c r="F192" s="39"/>
      <c r="G192" s="39"/>
      <c r="H192" s="39"/>
      <c r="I192" s="39"/>
      <c r="J192" s="39"/>
      <c r="K192" s="39"/>
      <c r="L192" s="39"/>
      <c r="M192" s="39"/>
      <c r="N192" s="39"/>
      <c r="O192" s="39"/>
      <c r="P192" s="39"/>
      <c r="Q192" s="39"/>
      <c r="R192" s="39"/>
      <c r="S192" s="239"/>
      <c r="AE192" s="174"/>
      <c r="AF192" s="174"/>
      <c r="AG192" s="174"/>
    </row>
    <row r="193" ht="15.75" customHeight="1">
      <c r="C193" s="98"/>
      <c r="D193" s="98"/>
      <c r="E193" s="39"/>
      <c r="F193" s="39"/>
      <c r="G193" s="39"/>
      <c r="H193" s="39"/>
      <c r="I193" s="39"/>
      <c r="J193" s="39"/>
      <c r="K193" s="39"/>
      <c r="L193" s="39"/>
      <c r="M193" s="39"/>
      <c r="N193" s="39"/>
      <c r="O193" s="39"/>
      <c r="P193" s="39"/>
      <c r="Q193" s="39"/>
      <c r="R193" s="39"/>
      <c r="S193" s="239"/>
      <c r="AE193" s="174"/>
      <c r="AF193" s="174"/>
      <c r="AG193" s="174"/>
    </row>
    <row r="194" ht="15.75" customHeight="1">
      <c r="C194" s="98"/>
      <c r="D194" s="98"/>
      <c r="E194" s="39"/>
      <c r="F194" s="39"/>
      <c r="G194" s="39"/>
      <c r="H194" s="39"/>
      <c r="I194" s="39"/>
      <c r="J194" s="39"/>
      <c r="K194" s="39"/>
      <c r="L194" s="39"/>
      <c r="M194" s="39"/>
      <c r="N194" s="39"/>
      <c r="O194" s="39"/>
      <c r="P194" s="39"/>
      <c r="Q194" s="39"/>
      <c r="R194" s="39"/>
      <c r="S194" s="239"/>
      <c r="AE194" s="174"/>
      <c r="AF194" s="174"/>
      <c r="AG194" s="174"/>
    </row>
    <row r="195" ht="15.75" customHeight="1">
      <c r="C195" s="98"/>
      <c r="D195" s="98"/>
      <c r="E195" s="39"/>
      <c r="F195" s="39"/>
      <c r="G195" s="39"/>
      <c r="H195" s="39"/>
      <c r="I195" s="39"/>
      <c r="J195" s="39"/>
      <c r="K195" s="39"/>
      <c r="L195" s="39"/>
      <c r="M195" s="39"/>
      <c r="N195" s="39"/>
      <c r="O195" s="39"/>
      <c r="P195" s="39"/>
      <c r="Q195" s="39"/>
      <c r="R195" s="39"/>
      <c r="S195" s="239"/>
      <c r="AE195" s="174"/>
      <c r="AF195" s="174"/>
      <c r="AG195" s="174"/>
    </row>
    <row r="196" ht="15.75" customHeight="1">
      <c r="C196" s="98"/>
      <c r="D196" s="98"/>
      <c r="E196" s="39"/>
      <c r="F196" s="39"/>
      <c r="G196" s="39"/>
      <c r="H196" s="39"/>
      <c r="I196" s="39"/>
      <c r="J196" s="39"/>
      <c r="K196" s="39"/>
      <c r="L196" s="39"/>
      <c r="M196" s="39"/>
      <c r="N196" s="39"/>
      <c r="O196" s="39"/>
      <c r="P196" s="39"/>
      <c r="Q196" s="39"/>
      <c r="R196" s="39"/>
      <c r="S196" s="239"/>
      <c r="AE196" s="174"/>
      <c r="AF196" s="174"/>
      <c r="AG196" s="174"/>
    </row>
    <row r="197" ht="15.75" customHeight="1">
      <c r="C197" s="98"/>
      <c r="D197" s="98"/>
      <c r="E197" s="39"/>
      <c r="F197" s="39"/>
      <c r="G197" s="39"/>
      <c r="H197" s="39"/>
      <c r="I197" s="39"/>
      <c r="J197" s="39"/>
      <c r="K197" s="39"/>
      <c r="L197" s="39"/>
      <c r="M197" s="39"/>
      <c r="N197" s="39"/>
      <c r="O197" s="39"/>
      <c r="P197" s="39"/>
      <c r="Q197" s="39"/>
      <c r="R197" s="39"/>
      <c r="S197" s="239"/>
      <c r="AE197" s="174"/>
      <c r="AF197" s="174"/>
      <c r="AG197" s="174"/>
    </row>
    <row r="198" ht="15.75" customHeight="1">
      <c r="C198" s="98"/>
      <c r="D198" s="98"/>
      <c r="E198" s="39"/>
      <c r="F198" s="39"/>
      <c r="G198" s="39"/>
      <c r="H198" s="39"/>
      <c r="I198" s="39"/>
      <c r="J198" s="39"/>
      <c r="K198" s="39"/>
      <c r="L198" s="39"/>
      <c r="M198" s="39"/>
      <c r="N198" s="39"/>
      <c r="O198" s="39"/>
      <c r="P198" s="39"/>
      <c r="Q198" s="39"/>
      <c r="R198" s="39"/>
      <c r="S198" s="239"/>
      <c r="AE198" s="174"/>
      <c r="AF198" s="174"/>
      <c r="AG198" s="174"/>
    </row>
    <row r="199" ht="15.75" customHeight="1">
      <c r="C199" s="98"/>
      <c r="D199" s="98"/>
      <c r="E199" s="39"/>
      <c r="F199" s="39"/>
      <c r="G199" s="39"/>
      <c r="H199" s="39"/>
      <c r="I199" s="39"/>
      <c r="J199" s="39"/>
      <c r="K199" s="39"/>
      <c r="L199" s="39"/>
      <c r="M199" s="39"/>
      <c r="N199" s="39"/>
      <c r="O199" s="39"/>
      <c r="P199" s="39"/>
      <c r="Q199" s="39"/>
      <c r="R199" s="39"/>
      <c r="S199" s="239"/>
      <c r="AE199" s="174"/>
      <c r="AF199" s="174"/>
      <c r="AG199" s="174"/>
    </row>
    <row r="200" ht="15.75" customHeight="1">
      <c r="C200" s="98"/>
      <c r="D200" s="98"/>
      <c r="E200" s="39"/>
      <c r="F200" s="39"/>
      <c r="G200" s="39"/>
      <c r="H200" s="39"/>
      <c r="I200" s="39"/>
      <c r="J200" s="39"/>
      <c r="K200" s="39"/>
      <c r="L200" s="39"/>
      <c r="M200" s="39"/>
      <c r="N200" s="39"/>
      <c r="O200" s="39"/>
      <c r="P200" s="39"/>
      <c r="Q200" s="39"/>
      <c r="R200" s="39"/>
      <c r="S200" s="239"/>
      <c r="AE200" s="174"/>
      <c r="AF200" s="174"/>
      <c r="AG200" s="174"/>
    </row>
    <row r="201" ht="15.75" customHeight="1">
      <c r="C201" s="98"/>
      <c r="D201" s="98"/>
      <c r="E201" s="39"/>
      <c r="F201" s="39"/>
      <c r="G201" s="39"/>
      <c r="H201" s="39"/>
      <c r="I201" s="39"/>
      <c r="J201" s="39"/>
      <c r="K201" s="39"/>
      <c r="L201" s="39"/>
      <c r="M201" s="39"/>
      <c r="N201" s="39"/>
      <c r="O201" s="39"/>
      <c r="P201" s="39"/>
      <c r="Q201" s="39"/>
      <c r="R201" s="39"/>
      <c r="S201" s="239"/>
      <c r="AE201" s="174"/>
      <c r="AF201" s="174"/>
      <c r="AG201" s="174"/>
    </row>
    <row r="202" ht="15.75" customHeight="1">
      <c r="C202" s="98"/>
      <c r="D202" s="98"/>
      <c r="E202" s="39"/>
      <c r="F202" s="39"/>
      <c r="G202" s="39"/>
      <c r="H202" s="39"/>
      <c r="I202" s="39"/>
      <c r="J202" s="39"/>
      <c r="K202" s="39"/>
      <c r="L202" s="39"/>
      <c r="M202" s="39"/>
      <c r="N202" s="39"/>
      <c r="O202" s="39"/>
      <c r="P202" s="39"/>
      <c r="Q202" s="39"/>
      <c r="R202" s="39"/>
      <c r="S202" s="239"/>
      <c r="AE202" s="174"/>
      <c r="AF202" s="174"/>
      <c r="AG202" s="174"/>
    </row>
    <row r="203" ht="15.75" customHeight="1">
      <c r="C203" s="98"/>
      <c r="D203" s="98"/>
      <c r="E203" s="39"/>
      <c r="F203" s="39"/>
      <c r="G203" s="39"/>
      <c r="H203" s="39"/>
      <c r="I203" s="39"/>
      <c r="J203" s="39"/>
      <c r="K203" s="39"/>
      <c r="L203" s="39"/>
      <c r="M203" s="39"/>
      <c r="N203" s="39"/>
      <c r="O203" s="39"/>
      <c r="P203" s="39"/>
      <c r="Q203" s="39"/>
      <c r="R203" s="39"/>
      <c r="S203" s="239"/>
      <c r="AE203" s="174"/>
      <c r="AF203" s="174"/>
      <c r="AG203" s="174"/>
    </row>
    <row r="204" ht="15.75" customHeight="1">
      <c r="C204" s="98"/>
      <c r="D204" s="98"/>
      <c r="E204" s="39"/>
      <c r="F204" s="39"/>
      <c r="G204" s="39"/>
      <c r="H204" s="39"/>
      <c r="I204" s="39"/>
      <c r="J204" s="39"/>
      <c r="K204" s="39"/>
      <c r="L204" s="39"/>
      <c r="M204" s="39"/>
      <c r="N204" s="39"/>
      <c r="O204" s="39"/>
      <c r="P204" s="39"/>
      <c r="Q204" s="39"/>
      <c r="R204" s="39"/>
      <c r="S204" s="239"/>
      <c r="AE204" s="174"/>
      <c r="AF204" s="174"/>
      <c r="AG204" s="174"/>
    </row>
    <row r="205" ht="15.75" customHeight="1">
      <c r="C205" s="98"/>
      <c r="D205" s="98"/>
      <c r="E205" s="39"/>
      <c r="F205" s="39"/>
      <c r="G205" s="39"/>
      <c r="H205" s="39"/>
      <c r="I205" s="39"/>
      <c r="J205" s="39"/>
      <c r="K205" s="39"/>
      <c r="L205" s="39"/>
      <c r="M205" s="39"/>
      <c r="N205" s="39"/>
      <c r="O205" s="39"/>
      <c r="P205" s="39"/>
      <c r="Q205" s="39"/>
      <c r="R205" s="39"/>
      <c r="S205" s="239"/>
      <c r="AE205" s="174"/>
      <c r="AF205" s="174"/>
      <c r="AG205" s="174"/>
    </row>
    <row r="206" ht="15.75" customHeight="1">
      <c r="C206" s="98"/>
      <c r="D206" s="98"/>
      <c r="E206" s="39"/>
      <c r="F206" s="39"/>
      <c r="G206" s="39"/>
      <c r="H206" s="39"/>
      <c r="I206" s="39"/>
      <c r="J206" s="39"/>
      <c r="K206" s="39"/>
      <c r="L206" s="39"/>
      <c r="M206" s="39"/>
      <c r="N206" s="39"/>
      <c r="O206" s="39"/>
      <c r="P206" s="39"/>
      <c r="Q206" s="39"/>
      <c r="R206" s="39"/>
      <c r="S206" s="239"/>
      <c r="AE206" s="174"/>
      <c r="AF206" s="174"/>
      <c r="AG206" s="174"/>
    </row>
    <row r="207" ht="15.75" customHeight="1">
      <c r="C207" s="98"/>
      <c r="D207" s="98"/>
      <c r="E207" s="39"/>
      <c r="F207" s="39"/>
      <c r="G207" s="39"/>
      <c r="H207" s="39"/>
      <c r="I207" s="39"/>
      <c r="J207" s="39"/>
      <c r="K207" s="39"/>
      <c r="L207" s="39"/>
      <c r="M207" s="39"/>
      <c r="N207" s="39"/>
      <c r="O207" s="39"/>
      <c r="P207" s="39"/>
      <c r="Q207" s="39"/>
      <c r="R207" s="39"/>
      <c r="S207" s="239"/>
      <c r="AE207" s="174"/>
      <c r="AF207" s="174"/>
      <c r="AG207" s="174"/>
    </row>
    <row r="208" ht="15.75" customHeight="1">
      <c r="C208" s="98"/>
      <c r="D208" s="98"/>
      <c r="E208" s="39"/>
      <c r="F208" s="39"/>
      <c r="G208" s="39"/>
      <c r="H208" s="39"/>
      <c r="I208" s="39"/>
      <c r="J208" s="39"/>
      <c r="K208" s="39"/>
      <c r="L208" s="39"/>
      <c r="M208" s="39"/>
      <c r="N208" s="39"/>
      <c r="O208" s="39"/>
      <c r="P208" s="39"/>
      <c r="Q208" s="39"/>
      <c r="R208" s="39"/>
      <c r="S208" s="239"/>
      <c r="AE208" s="174"/>
      <c r="AF208" s="174"/>
      <c r="AG208" s="174"/>
    </row>
    <row r="209" ht="15.75" customHeight="1">
      <c r="C209" s="98"/>
      <c r="D209" s="98"/>
      <c r="E209" s="39"/>
      <c r="F209" s="39"/>
      <c r="G209" s="39"/>
      <c r="H209" s="39"/>
      <c r="I209" s="39"/>
      <c r="J209" s="39"/>
      <c r="K209" s="39"/>
      <c r="L209" s="39"/>
      <c r="M209" s="39"/>
      <c r="N209" s="39"/>
      <c r="O209" s="39"/>
      <c r="P209" s="39"/>
      <c r="Q209" s="39"/>
      <c r="R209" s="39"/>
      <c r="S209" s="239"/>
      <c r="AE209" s="174"/>
      <c r="AF209" s="174"/>
      <c r="AG209" s="174"/>
    </row>
    <row r="210" ht="15.75" customHeight="1">
      <c r="C210" s="98"/>
      <c r="D210" s="98"/>
      <c r="E210" s="39"/>
      <c r="F210" s="39"/>
      <c r="G210" s="39"/>
      <c r="H210" s="39"/>
      <c r="I210" s="39"/>
      <c r="J210" s="39"/>
      <c r="K210" s="39"/>
      <c r="L210" s="39"/>
      <c r="M210" s="39"/>
      <c r="N210" s="39"/>
      <c r="O210" s="39"/>
      <c r="P210" s="39"/>
      <c r="Q210" s="39"/>
      <c r="R210" s="39"/>
      <c r="S210" s="239"/>
      <c r="AE210" s="174"/>
      <c r="AF210" s="174"/>
      <c r="AG210" s="174"/>
    </row>
    <row r="211" ht="15.75" customHeight="1">
      <c r="C211" s="98"/>
      <c r="D211" s="98"/>
      <c r="E211" s="39"/>
      <c r="F211" s="39"/>
      <c r="G211" s="39"/>
      <c r="H211" s="39"/>
      <c r="I211" s="39"/>
      <c r="J211" s="39"/>
      <c r="K211" s="39"/>
      <c r="L211" s="39"/>
      <c r="M211" s="39"/>
      <c r="N211" s="39"/>
      <c r="O211" s="39"/>
      <c r="P211" s="39"/>
      <c r="Q211" s="39"/>
      <c r="R211" s="39"/>
      <c r="S211" s="239"/>
      <c r="AE211" s="174"/>
      <c r="AF211" s="174"/>
      <c r="AG211" s="174"/>
    </row>
    <row r="212" ht="15.75" customHeight="1">
      <c r="C212" s="98"/>
      <c r="D212" s="98"/>
      <c r="E212" s="39"/>
      <c r="F212" s="39"/>
      <c r="G212" s="39"/>
      <c r="H212" s="39"/>
      <c r="I212" s="39"/>
      <c r="J212" s="39"/>
      <c r="K212" s="39"/>
      <c r="L212" s="39"/>
      <c r="M212" s="39"/>
      <c r="N212" s="39"/>
      <c r="O212" s="39"/>
      <c r="P212" s="39"/>
      <c r="Q212" s="39"/>
      <c r="R212" s="39"/>
      <c r="S212" s="239"/>
      <c r="AE212" s="174"/>
      <c r="AF212" s="174"/>
      <c r="AG212" s="174"/>
    </row>
    <row r="213" ht="15.75" customHeight="1">
      <c r="C213" s="98"/>
      <c r="D213" s="98"/>
      <c r="E213" s="39"/>
      <c r="F213" s="39"/>
      <c r="G213" s="39"/>
      <c r="H213" s="39"/>
      <c r="I213" s="39"/>
      <c r="J213" s="39"/>
      <c r="K213" s="39"/>
      <c r="L213" s="39"/>
      <c r="M213" s="39"/>
      <c r="N213" s="39"/>
      <c r="O213" s="39"/>
      <c r="P213" s="39"/>
      <c r="Q213" s="39"/>
      <c r="R213" s="39"/>
      <c r="S213" s="239"/>
      <c r="AE213" s="174"/>
      <c r="AF213" s="174"/>
      <c r="AG213" s="174"/>
    </row>
    <row r="214" ht="15.75" customHeight="1">
      <c r="C214" s="98"/>
      <c r="D214" s="98"/>
      <c r="E214" s="39"/>
      <c r="F214" s="39"/>
      <c r="G214" s="39"/>
      <c r="H214" s="39"/>
      <c r="I214" s="39"/>
      <c r="J214" s="39"/>
      <c r="K214" s="39"/>
      <c r="L214" s="39"/>
      <c r="M214" s="39"/>
      <c r="N214" s="39"/>
      <c r="O214" s="39"/>
      <c r="P214" s="39"/>
      <c r="Q214" s="39"/>
      <c r="R214" s="39"/>
      <c r="S214" s="239"/>
      <c r="AE214" s="174"/>
      <c r="AF214" s="174"/>
      <c r="AG214" s="174"/>
    </row>
    <row r="215" ht="15.75" customHeight="1">
      <c r="C215" s="98"/>
      <c r="D215" s="98"/>
      <c r="E215" s="39"/>
      <c r="F215" s="39"/>
      <c r="G215" s="39"/>
      <c r="H215" s="39"/>
      <c r="I215" s="39"/>
      <c r="J215" s="39"/>
      <c r="K215" s="39"/>
      <c r="L215" s="39"/>
      <c r="M215" s="39"/>
      <c r="N215" s="39"/>
      <c r="O215" s="39"/>
      <c r="P215" s="39"/>
      <c r="Q215" s="39"/>
      <c r="R215" s="39"/>
      <c r="S215" s="239"/>
      <c r="AE215" s="174"/>
      <c r="AF215" s="174"/>
      <c r="AG215" s="174"/>
    </row>
    <row r="216" ht="15.75" customHeight="1">
      <c r="C216" s="98"/>
      <c r="D216" s="98"/>
      <c r="E216" s="39"/>
      <c r="F216" s="39"/>
      <c r="G216" s="39"/>
      <c r="H216" s="39"/>
      <c r="I216" s="39"/>
      <c r="J216" s="39"/>
      <c r="K216" s="39"/>
      <c r="L216" s="39"/>
      <c r="M216" s="39"/>
      <c r="N216" s="39"/>
      <c r="O216" s="39"/>
      <c r="P216" s="39"/>
      <c r="Q216" s="39"/>
      <c r="R216" s="39"/>
      <c r="S216" s="239"/>
      <c r="AE216" s="174"/>
      <c r="AF216" s="174"/>
      <c r="AG216" s="174"/>
    </row>
    <row r="217" ht="15.75" customHeight="1">
      <c r="C217" s="98"/>
      <c r="D217" s="98"/>
      <c r="E217" s="39"/>
      <c r="F217" s="39"/>
      <c r="G217" s="39"/>
      <c r="H217" s="39"/>
      <c r="I217" s="39"/>
      <c r="J217" s="39"/>
      <c r="K217" s="39"/>
      <c r="L217" s="39"/>
      <c r="M217" s="39"/>
      <c r="N217" s="39"/>
      <c r="O217" s="39"/>
      <c r="P217" s="39"/>
      <c r="Q217" s="39"/>
      <c r="R217" s="39"/>
      <c r="S217" s="239"/>
      <c r="AE217" s="174"/>
      <c r="AF217" s="174"/>
      <c r="AG217" s="174"/>
    </row>
    <row r="218" ht="15.75" customHeight="1">
      <c r="C218" s="98"/>
      <c r="D218" s="98"/>
      <c r="E218" s="39"/>
      <c r="F218" s="39"/>
      <c r="G218" s="39"/>
      <c r="H218" s="39"/>
      <c r="I218" s="39"/>
      <c r="J218" s="39"/>
      <c r="K218" s="39"/>
      <c r="L218" s="39"/>
      <c r="M218" s="39"/>
      <c r="N218" s="39"/>
      <c r="O218" s="39"/>
      <c r="P218" s="39"/>
      <c r="Q218" s="39"/>
      <c r="R218" s="39"/>
      <c r="S218" s="239"/>
      <c r="AE218" s="174"/>
      <c r="AF218" s="174"/>
      <c r="AG218" s="174"/>
    </row>
    <row r="219" ht="15.75" customHeight="1">
      <c r="C219" s="98"/>
      <c r="D219" s="98"/>
      <c r="E219" s="39"/>
      <c r="F219" s="39"/>
      <c r="G219" s="39"/>
      <c r="H219" s="39"/>
      <c r="I219" s="39"/>
      <c r="J219" s="39"/>
      <c r="K219" s="39"/>
      <c r="L219" s="39"/>
      <c r="M219" s="39"/>
      <c r="N219" s="39"/>
      <c r="O219" s="39"/>
      <c r="P219" s="39"/>
      <c r="Q219" s="39"/>
      <c r="R219" s="39"/>
      <c r="S219" s="239"/>
      <c r="AE219" s="174"/>
      <c r="AF219" s="174"/>
      <c r="AG219" s="174"/>
    </row>
    <row r="220" ht="15.75" customHeight="1">
      <c r="C220" s="98"/>
      <c r="D220" s="98"/>
      <c r="E220" s="39"/>
      <c r="F220" s="39"/>
      <c r="G220" s="39"/>
      <c r="H220" s="39"/>
      <c r="I220" s="39"/>
      <c r="J220" s="39"/>
      <c r="K220" s="39"/>
      <c r="L220" s="39"/>
      <c r="M220" s="39"/>
      <c r="N220" s="39"/>
      <c r="O220" s="39"/>
      <c r="P220" s="39"/>
      <c r="Q220" s="39"/>
      <c r="R220" s="39"/>
      <c r="S220" s="239"/>
      <c r="AE220" s="174"/>
      <c r="AF220" s="174"/>
      <c r="AG220" s="174"/>
    </row>
    <row r="221" ht="15.75" customHeight="1">
      <c r="C221" s="98"/>
      <c r="D221" s="98"/>
      <c r="E221" s="39"/>
      <c r="F221" s="39"/>
      <c r="G221" s="39"/>
      <c r="H221" s="39"/>
      <c r="I221" s="39"/>
      <c r="J221" s="39"/>
      <c r="K221" s="39"/>
      <c r="L221" s="39"/>
      <c r="M221" s="39"/>
      <c r="N221" s="39"/>
      <c r="O221" s="39"/>
      <c r="P221" s="39"/>
      <c r="Q221" s="39"/>
      <c r="R221" s="39"/>
      <c r="S221" s="239"/>
      <c r="AE221" s="174"/>
      <c r="AF221" s="174"/>
      <c r="AG221" s="174"/>
    </row>
    <row r="222" ht="15.75" customHeight="1">
      <c r="S222" s="239"/>
      <c r="AE222" s="174"/>
      <c r="AF222" s="174"/>
      <c r="AG222" s="174"/>
    </row>
    <row r="223" ht="15.75" customHeight="1">
      <c r="S223" s="239"/>
      <c r="AE223" s="174"/>
      <c r="AF223" s="174"/>
      <c r="AG223" s="174"/>
    </row>
    <row r="224" ht="15.75" customHeight="1">
      <c r="S224" s="239"/>
      <c r="AE224" s="174"/>
      <c r="AF224" s="174"/>
      <c r="AG224" s="174"/>
    </row>
    <row r="225" ht="15.75" customHeight="1">
      <c r="S225" s="239"/>
      <c r="AE225" s="174"/>
      <c r="AF225" s="174"/>
      <c r="AG225" s="174"/>
    </row>
    <row r="226" ht="15.75" customHeight="1">
      <c r="S226" s="239"/>
      <c r="AE226" s="174"/>
      <c r="AF226" s="174"/>
      <c r="AG226" s="174"/>
    </row>
    <row r="227" ht="15.75" customHeight="1">
      <c r="S227" s="239"/>
      <c r="AE227" s="174"/>
      <c r="AF227" s="174"/>
      <c r="AG227" s="174"/>
    </row>
    <row r="228" ht="15.75" customHeight="1">
      <c r="S228" s="239"/>
      <c r="AE228" s="174"/>
      <c r="AF228" s="174"/>
      <c r="AG228" s="174"/>
    </row>
    <row r="229" ht="15.75" customHeight="1">
      <c r="S229" s="239"/>
      <c r="AE229" s="174"/>
      <c r="AF229" s="174"/>
      <c r="AG229" s="174"/>
    </row>
    <row r="230" ht="15.75" customHeight="1">
      <c r="S230" s="239"/>
      <c r="AE230" s="174"/>
      <c r="AF230" s="174"/>
      <c r="AG230" s="174"/>
    </row>
    <row r="231" ht="15.75" customHeight="1">
      <c r="S231" s="239"/>
      <c r="AE231" s="174"/>
      <c r="AF231" s="174"/>
      <c r="AG231" s="174"/>
    </row>
    <row r="232" ht="15.75" customHeight="1">
      <c r="S232" s="239"/>
      <c r="AE232" s="174"/>
      <c r="AF232" s="174"/>
      <c r="AG232" s="174"/>
    </row>
    <row r="233" ht="15.75" customHeight="1">
      <c r="S233" s="239"/>
      <c r="AE233" s="174"/>
      <c r="AF233" s="174"/>
      <c r="AG233" s="174"/>
    </row>
    <row r="234" ht="15.75" customHeight="1">
      <c r="S234" s="239"/>
      <c r="AE234" s="174"/>
      <c r="AF234" s="174"/>
      <c r="AG234" s="174"/>
    </row>
    <row r="235" ht="15.75" customHeight="1">
      <c r="S235" s="239"/>
      <c r="AE235" s="174"/>
      <c r="AF235" s="174"/>
      <c r="AG235" s="174"/>
    </row>
    <row r="236" ht="15.75" customHeight="1">
      <c r="S236" s="239"/>
      <c r="AE236" s="174"/>
      <c r="AF236" s="174"/>
      <c r="AG236" s="174"/>
    </row>
    <row r="237" ht="15.75" customHeight="1">
      <c r="S237" s="239"/>
      <c r="AE237" s="174"/>
      <c r="AF237" s="174"/>
      <c r="AG237" s="174"/>
    </row>
    <row r="238" ht="15.75" customHeight="1">
      <c r="S238" s="239"/>
      <c r="AE238" s="174"/>
      <c r="AF238" s="174"/>
      <c r="AG238" s="174"/>
    </row>
    <row r="239" ht="15.75" customHeight="1">
      <c r="S239" s="239"/>
      <c r="AE239" s="174"/>
      <c r="AF239" s="174"/>
      <c r="AG239" s="174"/>
    </row>
    <row r="240" ht="15.75" customHeight="1">
      <c r="S240" s="239"/>
      <c r="AE240" s="174"/>
      <c r="AF240" s="174"/>
      <c r="AG240" s="174"/>
    </row>
    <row r="241" ht="15.75" customHeight="1">
      <c r="S241" s="239"/>
      <c r="AE241" s="174"/>
      <c r="AF241" s="174"/>
      <c r="AG241" s="174"/>
    </row>
    <row r="242" ht="15.75" customHeight="1">
      <c r="S242" s="239"/>
      <c r="AE242" s="174"/>
      <c r="AF242" s="174"/>
      <c r="AG242" s="174"/>
    </row>
    <row r="243" ht="15.75" customHeight="1">
      <c r="S243" s="239"/>
      <c r="AE243" s="174"/>
      <c r="AF243" s="174"/>
      <c r="AG243" s="174"/>
    </row>
    <row r="244" ht="15.75" customHeight="1">
      <c r="S244" s="239"/>
      <c r="AE244" s="174"/>
      <c r="AF244" s="174"/>
      <c r="AG244" s="174"/>
    </row>
    <row r="245" ht="15.75" customHeight="1">
      <c r="S245" s="239"/>
      <c r="AE245" s="174"/>
      <c r="AF245" s="174"/>
      <c r="AG245" s="174"/>
    </row>
    <row r="246" ht="15.75" customHeight="1">
      <c r="S246" s="239"/>
      <c r="AE246" s="174"/>
      <c r="AF246" s="174"/>
      <c r="AG246" s="174"/>
    </row>
    <row r="247" ht="15.75" customHeight="1">
      <c r="S247" s="239"/>
      <c r="AE247" s="174"/>
      <c r="AF247" s="174"/>
      <c r="AG247" s="174"/>
    </row>
    <row r="248" ht="15.75" customHeight="1">
      <c r="S248" s="239"/>
      <c r="AE248" s="174"/>
      <c r="AF248" s="174"/>
      <c r="AG248" s="174"/>
    </row>
    <row r="249" ht="15.75" customHeight="1">
      <c r="S249" s="239"/>
      <c r="AE249" s="174"/>
      <c r="AF249" s="174"/>
      <c r="AG249" s="174"/>
    </row>
    <row r="250" ht="15.75" customHeight="1">
      <c r="S250" s="239"/>
      <c r="AE250" s="174"/>
      <c r="AF250" s="174"/>
      <c r="AG250" s="174"/>
    </row>
    <row r="251" ht="15.75" customHeight="1">
      <c r="S251" s="239"/>
      <c r="AE251" s="174"/>
      <c r="AF251" s="174"/>
      <c r="AG251" s="174"/>
    </row>
    <row r="252" ht="15.75" customHeight="1">
      <c r="S252" s="239"/>
      <c r="AE252" s="174"/>
      <c r="AF252" s="174"/>
      <c r="AG252" s="174"/>
    </row>
    <row r="253" ht="15.75" customHeight="1">
      <c r="S253" s="239"/>
      <c r="AE253" s="174"/>
      <c r="AF253" s="174"/>
      <c r="AG253" s="174"/>
    </row>
    <row r="254" ht="15.75" customHeight="1">
      <c r="S254" s="239"/>
      <c r="AE254" s="174"/>
      <c r="AF254" s="174"/>
      <c r="AG254" s="174"/>
    </row>
    <row r="255" ht="15.75" customHeight="1">
      <c r="S255" s="239"/>
      <c r="AE255" s="174"/>
      <c r="AF255" s="174"/>
      <c r="AG255" s="174"/>
    </row>
    <row r="256" ht="15.75" customHeight="1">
      <c r="S256" s="239"/>
      <c r="AE256" s="174"/>
      <c r="AF256" s="174"/>
      <c r="AG256" s="174"/>
    </row>
    <row r="257" ht="15.75" customHeight="1">
      <c r="S257" s="239"/>
      <c r="AE257" s="174"/>
      <c r="AF257" s="174"/>
      <c r="AG257" s="174"/>
    </row>
    <row r="258" ht="15.75" customHeight="1">
      <c r="S258" s="239"/>
      <c r="AE258" s="174"/>
      <c r="AF258" s="174"/>
      <c r="AG258" s="174"/>
    </row>
    <row r="259" ht="15.75" customHeight="1">
      <c r="S259" s="239"/>
      <c r="AE259" s="174"/>
      <c r="AF259" s="174"/>
      <c r="AG259" s="174"/>
    </row>
    <row r="260" ht="15.75" customHeight="1">
      <c r="S260" s="239"/>
      <c r="AE260" s="174"/>
      <c r="AF260" s="174"/>
      <c r="AG260" s="174"/>
    </row>
    <row r="261" ht="15.75" customHeight="1">
      <c r="S261" s="239"/>
      <c r="AE261" s="174"/>
      <c r="AF261" s="174"/>
      <c r="AG261" s="174"/>
    </row>
    <row r="262" ht="15.75" customHeight="1">
      <c r="S262" s="239"/>
      <c r="AE262" s="174"/>
      <c r="AF262" s="174"/>
      <c r="AG262" s="174"/>
    </row>
    <row r="263" ht="15.75" customHeight="1">
      <c r="S263" s="239"/>
      <c r="AE263" s="174"/>
      <c r="AF263" s="174"/>
      <c r="AG263" s="174"/>
    </row>
    <row r="264" ht="15.75" customHeight="1">
      <c r="S264" s="239"/>
      <c r="AE264" s="174"/>
      <c r="AF264" s="174"/>
      <c r="AG264" s="174"/>
    </row>
    <row r="265" ht="15.75" customHeight="1">
      <c r="S265" s="239"/>
      <c r="AE265" s="174"/>
      <c r="AF265" s="174"/>
      <c r="AG265" s="174"/>
    </row>
    <row r="266" ht="15.75" customHeight="1">
      <c r="S266" s="239"/>
      <c r="AE266" s="174"/>
      <c r="AF266" s="174"/>
      <c r="AG266" s="174"/>
    </row>
    <row r="267" ht="15.75" customHeight="1">
      <c r="S267" s="239"/>
      <c r="AE267" s="174"/>
      <c r="AF267" s="174"/>
      <c r="AG267" s="174"/>
    </row>
    <row r="268" ht="15.75" customHeight="1">
      <c r="S268" s="239"/>
      <c r="AE268" s="174"/>
      <c r="AF268" s="174"/>
      <c r="AG268" s="174"/>
    </row>
    <row r="269" ht="15.75" customHeight="1">
      <c r="S269" s="239"/>
      <c r="AE269" s="174"/>
      <c r="AF269" s="174"/>
      <c r="AG269" s="174"/>
    </row>
    <row r="270" ht="15.75" customHeight="1">
      <c r="S270" s="239"/>
      <c r="AE270" s="174"/>
      <c r="AF270" s="174"/>
      <c r="AG270" s="174"/>
    </row>
    <row r="271" ht="15.75" customHeight="1">
      <c r="S271" s="239"/>
      <c r="AE271" s="174"/>
      <c r="AF271" s="174"/>
      <c r="AG271" s="174"/>
    </row>
    <row r="272" ht="15.75" customHeight="1">
      <c r="S272" s="239"/>
      <c r="AE272" s="174"/>
      <c r="AF272" s="174"/>
      <c r="AG272" s="174"/>
    </row>
    <row r="273" ht="15.75" customHeight="1">
      <c r="S273" s="239"/>
      <c r="AE273" s="174"/>
      <c r="AF273" s="174"/>
      <c r="AG273" s="174"/>
    </row>
    <row r="274" ht="15.75" customHeight="1">
      <c r="S274" s="239"/>
      <c r="AE274" s="174"/>
      <c r="AF274" s="174"/>
      <c r="AG274" s="174"/>
    </row>
    <row r="275" ht="15.75" customHeight="1">
      <c r="S275" s="239"/>
      <c r="AE275" s="174"/>
      <c r="AF275" s="174"/>
      <c r="AG275" s="174"/>
    </row>
    <row r="276" ht="15.75" customHeight="1">
      <c r="S276" s="239"/>
      <c r="AE276" s="174"/>
      <c r="AF276" s="174"/>
      <c r="AG276" s="174"/>
    </row>
    <row r="277" ht="15.75" customHeight="1">
      <c r="S277" s="239"/>
      <c r="AE277" s="174"/>
      <c r="AF277" s="174"/>
      <c r="AG277" s="174"/>
    </row>
    <row r="278" ht="15.75" customHeight="1">
      <c r="S278" s="239"/>
      <c r="AE278" s="174"/>
      <c r="AF278" s="174"/>
      <c r="AG278" s="174"/>
    </row>
    <row r="279" ht="15.75" customHeight="1">
      <c r="S279" s="239"/>
      <c r="AE279" s="174"/>
      <c r="AF279" s="174"/>
      <c r="AG279" s="174"/>
    </row>
    <row r="280" ht="15.75" customHeight="1">
      <c r="S280" s="239"/>
      <c r="AE280" s="174"/>
      <c r="AF280" s="174"/>
      <c r="AG280" s="174"/>
    </row>
    <row r="281" ht="15.75" customHeight="1">
      <c r="S281" s="239"/>
      <c r="AE281" s="174"/>
      <c r="AF281" s="174"/>
      <c r="AG281" s="174"/>
    </row>
    <row r="282" ht="15.75" customHeight="1">
      <c r="S282" s="239"/>
      <c r="AE282" s="174"/>
      <c r="AF282" s="174"/>
      <c r="AG282" s="174"/>
    </row>
    <row r="283" ht="15.75" customHeight="1">
      <c r="S283" s="239"/>
      <c r="AE283" s="174"/>
      <c r="AF283" s="174"/>
      <c r="AG283" s="174"/>
    </row>
    <row r="284" ht="15.75" customHeight="1">
      <c r="S284" s="239"/>
      <c r="AE284" s="174"/>
      <c r="AF284" s="174"/>
      <c r="AG284" s="174"/>
    </row>
    <row r="285" ht="15.75" customHeight="1">
      <c r="S285" s="239"/>
      <c r="AE285" s="174"/>
      <c r="AF285" s="174"/>
      <c r="AG285" s="174"/>
    </row>
    <row r="286" ht="15.75" customHeight="1">
      <c r="S286" s="239"/>
      <c r="AE286" s="174"/>
      <c r="AF286" s="174"/>
      <c r="AG286" s="174"/>
    </row>
    <row r="287" ht="15.75" customHeight="1">
      <c r="S287" s="239"/>
      <c r="AE287" s="174"/>
      <c r="AF287" s="174"/>
      <c r="AG287" s="174"/>
    </row>
    <row r="288" ht="15.75" customHeight="1">
      <c r="S288" s="239"/>
      <c r="AE288" s="174"/>
      <c r="AF288" s="174"/>
      <c r="AG288" s="174"/>
    </row>
    <row r="289" ht="15.75" customHeight="1">
      <c r="S289" s="239"/>
      <c r="AE289" s="174"/>
      <c r="AF289" s="174"/>
      <c r="AG289" s="174"/>
    </row>
    <row r="290" ht="15.75" customHeight="1">
      <c r="S290" s="239"/>
      <c r="AE290" s="174"/>
      <c r="AF290" s="174"/>
      <c r="AG290" s="174"/>
    </row>
    <row r="291" ht="15.75" customHeight="1">
      <c r="S291" s="239"/>
      <c r="AE291" s="174"/>
      <c r="AF291" s="174"/>
      <c r="AG291" s="174"/>
    </row>
    <row r="292" ht="15.75" customHeight="1">
      <c r="S292" s="239"/>
      <c r="AE292" s="174"/>
      <c r="AF292" s="174"/>
      <c r="AG292" s="174"/>
    </row>
    <row r="293" ht="15.75" customHeight="1">
      <c r="S293" s="239"/>
      <c r="AE293" s="174"/>
      <c r="AF293" s="174"/>
      <c r="AG293" s="174"/>
    </row>
    <row r="294" ht="15.75" customHeight="1">
      <c r="S294" s="239"/>
      <c r="AE294" s="174"/>
      <c r="AF294" s="174"/>
      <c r="AG294" s="174"/>
    </row>
    <row r="295" ht="15.75" customHeight="1">
      <c r="S295" s="239"/>
      <c r="AE295" s="174"/>
      <c r="AF295" s="174"/>
      <c r="AG295" s="174"/>
    </row>
    <row r="296" ht="15.75" customHeight="1">
      <c r="S296" s="239"/>
      <c r="AE296" s="174"/>
      <c r="AF296" s="174"/>
      <c r="AG296" s="174"/>
    </row>
    <row r="297" ht="15.75" customHeight="1">
      <c r="S297" s="239"/>
      <c r="AE297" s="174"/>
      <c r="AF297" s="174"/>
      <c r="AG297" s="174"/>
    </row>
    <row r="298" ht="15.75" customHeight="1">
      <c r="S298" s="239"/>
      <c r="AE298" s="174"/>
      <c r="AF298" s="174"/>
      <c r="AG298" s="174"/>
    </row>
    <row r="299" ht="15.75" customHeight="1">
      <c r="S299" s="239"/>
      <c r="AE299" s="174"/>
      <c r="AF299" s="174"/>
      <c r="AG299" s="174"/>
    </row>
    <row r="300" ht="15.75" customHeight="1">
      <c r="S300" s="239"/>
      <c r="AE300" s="174"/>
      <c r="AF300" s="174"/>
      <c r="AG300" s="174"/>
    </row>
    <row r="301" ht="15.75" customHeight="1">
      <c r="S301" s="239"/>
      <c r="AE301" s="174"/>
      <c r="AF301" s="174"/>
      <c r="AG301" s="174"/>
    </row>
    <row r="302" ht="15.75" customHeight="1">
      <c r="S302" s="239"/>
      <c r="AE302" s="174"/>
      <c r="AF302" s="174"/>
      <c r="AG302" s="174"/>
    </row>
    <row r="303" ht="15.75" customHeight="1">
      <c r="S303" s="239"/>
      <c r="AE303" s="174"/>
      <c r="AF303" s="174"/>
      <c r="AG303" s="174"/>
    </row>
    <row r="304" ht="15.75" customHeight="1">
      <c r="S304" s="239"/>
      <c r="AE304" s="174"/>
      <c r="AF304" s="174"/>
      <c r="AG304" s="174"/>
    </row>
    <row r="305" ht="15.75" customHeight="1">
      <c r="S305" s="239"/>
      <c r="AE305" s="174"/>
      <c r="AF305" s="174"/>
      <c r="AG305" s="174"/>
    </row>
    <row r="306" ht="15.75" customHeight="1">
      <c r="S306" s="239"/>
      <c r="AE306" s="174"/>
      <c r="AF306" s="174"/>
      <c r="AG306" s="174"/>
    </row>
    <row r="307" ht="15.75" customHeight="1">
      <c r="S307" s="239"/>
      <c r="AE307" s="174"/>
      <c r="AF307" s="174"/>
      <c r="AG307" s="174"/>
    </row>
    <row r="308" ht="15.75" customHeight="1">
      <c r="S308" s="239"/>
      <c r="AE308" s="174"/>
      <c r="AF308" s="174"/>
      <c r="AG308" s="174"/>
    </row>
    <row r="309" ht="15.75" customHeight="1">
      <c r="S309" s="239"/>
      <c r="AE309" s="174"/>
      <c r="AF309" s="174"/>
      <c r="AG309" s="174"/>
    </row>
    <row r="310" ht="15.75" customHeight="1">
      <c r="S310" s="239"/>
      <c r="AE310" s="174"/>
      <c r="AF310" s="174"/>
      <c r="AG310" s="174"/>
    </row>
    <row r="311" ht="15.75" customHeight="1">
      <c r="S311" s="239"/>
      <c r="AE311" s="174"/>
      <c r="AF311" s="174"/>
      <c r="AG311" s="174"/>
    </row>
    <row r="312" ht="15.75" customHeight="1">
      <c r="S312" s="239"/>
      <c r="AE312" s="174"/>
      <c r="AF312" s="174"/>
      <c r="AG312" s="174"/>
    </row>
    <row r="313" ht="15.75" customHeight="1">
      <c r="S313" s="239"/>
      <c r="AE313" s="174"/>
      <c r="AF313" s="174"/>
      <c r="AG313" s="174"/>
    </row>
    <row r="314" ht="15.75" customHeight="1">
      <c r="S314" s="239"/>
      <c r="AE314" s="174"/>
      <c r="AF314" s="174"/>
      <c r="AG314" s="174"/>
    </row>
    <row r="315" ht="15.75" customHeight="1">
      <c r="S315" s="239"/>
      <c r="AE315" s="174"/>
      <c r="AF315" s="174"/>
      <c r="AG315" s="174"/>
    </row>
    <row r="316" ht="15.75" customHeight="1">
      <c r="S316" s="239"/>
      <c r="AE316" s="174"/>
      <c r="AF316" s="174"/>
      <c r="AG316" s="174"/>
    </row>
    <row r="317" ht="15.75" customHeight="1">
      <c r="S317" s="239"/>
      <c r="AE317" s="174"/>
      <c r="AF317" s="174"/>
      <c r="AG317" s="174"/>
    </row>
    <row r="318" ht="15.75" customHeight="1">
      <c r="S318" s="239"/>
      <c r="AE318" s="174"/>
      <c r="AF318" s="174"/>
      <c r="AG318" s="174"/>
    </row>
    <row r="319" ht="15.75" customHeight="1">
      <c r="S319" s="239"/>
      <c r="AE319" s="174"/>
      <c r="AF319" s="174"/>
      <c r="AG319" s="174"/>
    </row>
    <row r="320" ht="15.75" customHeight="1">
      <c r="S320" s="239"/>
      <c r="AE320" s="174"/>
      <c r="AF320" s="174"/>
      <c r="AG320" s="174"/>
    </row>
    <row r="321" ht="15.75" customHeight="1">
      <c r="S321" s="239"/>
      <c r="AE321" s="174"/>
      <c r="AF321" s="174"/>
      <c r="AG321" s="174"/>
    </row>
    <row r="322" ht="15.75" customHeight="1">
      <c r="S322" s="239"/>
      <c r="AE322" s="174"/>
      <c r="AF322" s="174"/>
      <c r="AG322" s="174"/>
    </row>
    <row r="323" ht="15.75" customHeight="1">
      <c r="S323" s="239"/>
      <c r="AE323" s="174"/>
      <c r="AF323" s="174"/>
      <c r="AG323" s="174"/>
    </row>
    <row r="324" ht="15.75" customHeight="1">
      <c r="S324" s="239"/>
      <c r="AE324" s="174"/>
      <c r="AF324" s="174"/>
      <c r="AG324" s="174"/>
    </row>
    <row r="325" ht="15.75" customHeight="1">
      <c r="S325" s="239"/>
      <c r="AE325" s="174"/>
      <c r="AF325" s="174"/>
      <c r="AG325" s="174"/>
    </row>
    <row r="326" ht="15.75" customHeight="1">
      <c r="S326" s="239"/>
      <c r="AE326" s="174"/>
      <c r="AF326" s="174"/>
      <c r="AG326" s="174"/>
    </row>
    <row r="327" ht="15.75" customHeight="1">
      <c r="S327" s="239"/>
      <c r="AE327" s="174"/>
      <c r="AF327" s="174"/>
      <c r="AG327" s="174"/>
    </row>
    <row r="328" ht="15.75" customHeight="1">
      <c r="S328" s="239"/>
      <c r="AE328" s="174"/>
      <c r="AF328" s="174"/>
      <c r="AG328" s="174"/>
    </row>
    <row r="329" ht="15.75" customHeight="1">
      <c r="S329" s="239"/>
      <c r="AE329" s="174"/>
      <c r="AF329" s="174"/>
      <c r="AG329" s="174"/>
    </row>
    <row r="330" ht="15.75" customHeight="1">
      <c r="S330" s="239"/>
      <c r="AE330" s="174"/>
      <c r="AF330" s="174"/>
      <c r="AG330" s="174"/>
    </row>
    <row r="331" ht="15.75" customHeight="1">
      <c r="S331" s="239"/>
      <c r="AE331" s="174"/>
      <c r="AF331" s="174"/>
      <c r="AG331" s="174"/>
    </row>
    <row r="332" ht="15.75" customHeight="1">
      <c r="S332" s="239"/>
      <c r="AE332" s="174"/>
      <c r="AF332" s="174"/>
      <c r="AG332" s="174"/>
    </row>
    <row r="333" ht="15.75" customHeight="1">
      <c r="S333" s="239"/>
      <c r="AE333" s="174"/>
      <c r="AF333" s="174"/>
      <c r="AG333" s="174"/>
    </row>
    <row r="334" ht="15.75" customHeight="1">
      <c r="S334" s="239"/>
      <c r="AE334" s="174"/>
      <c r="AF334" s="174"/>
      <c r="AG334" s="174"/>
    </row>
    <row r="335" ht="15.75" customHeight="1">
      <c r="S335" s="239"/>
      <c r="AE335" s="174"/>
      <c r="AF335" s="174"/>
      <c r="AG335" s="174"/>
    </row>
    <row r="336" ht="15.75" customHeight="1">
      <c r="S336" s="239"/>
      <c r="AE336" s="174"/>
      <c r="AF336" s="174"/>
      <c r="AG336" s="174"/>
    </row>
    <row r="337" ht="15.75" customHeight="1">
      <c r="S337" s="239"/>
      <c r="AE337" s="174"/>
      <c r="AF337" s="174"/>
      <c r="AG337" s="174"/>
    </row>
    <row r="338" ht="15.75" customHeight="1">
      <c r="S338" s="239"/>
      <c r="AE338" s="174"/>
      <c r="AF338" s="174"/>
      <c r="AG338" s="174"/>
    </row>
    <row r="339" ht="15.75" customHeight="1">
      <c r="S339" s="239"/>
      <c r="AE339" s="174"/>
      <c r="AF339" s="174"/>
      <c r="AG339" s="174"/>
    </row>
    <row r="340" ht="15.75" customHeight="1">
      <c r="S340" s="239"/>
      <c r="AE340" s="174"/>
      <c r="AF340" s="174"/>
      <c r="AG340" s="174"/>
    </row>
    <row r="341" ht="15.75" customHeight="1">
      <c r="S341" s="239"/>
      <c r="AE341" s="174"/>
      <c r="AF341" s="174"/>
      <c r="AG341" s="174"/>
    </row>
    <row r="342" ht="15.75" customHeight="1">
      <c r="S342" s="239"/>
      <c r="AE342" s="174"/>
      <c r="AF342" s="174"/>
      <c r="AG342" s="174"/>
    </row>
    <row r="343" ht="15.75" customHeight="1">
      <c r="S343" s="239"/>
      <c r="AE343" s="174"/>
      <c r="AF343" s="174"/>
      <c r="AG343" s="174"/>
    </row>
    <row r="344" ht="15.75" customHeight="1">
      <c r="S344" s="239"/>
      <c r="AE344" s="174"/>
      <c r="AF344" s="174"/>
      <c r="AG344" s="174"/>
    </row>
    <row r="345" ht="15.75" customHeight="1">
      <c r="S345" s="239"/>
      <c r="AE345" s="174"/>
      <c r="AF345" s="174"/>
      <c r="AG345" s="174"/>
    </row>
    <row r="346" ht="15.75" customHeight="1">
      <c r="S346" s="239"/>
      <c r="AE346" s="174"/>
      <c r="AF346" s="174"/>
      <c r="AG346" s="174"/>
    </row>
    <row r="347" ht="15.75" customHeight="1">
      <c r="S347" s="239"/>
      <c r="AE347" s="174"/>
      <c r="AF347" s="174"/>
      <c r="AG347" s="174"/>
    </row>
    <row r="348" ht="15.75" customHeight="1">
      <c r="S348" s="239"/>
      <c r="AE348" s="174"/>
      <c r="AF348" s="174"/>
      <c r="AG348" s="174"/>
    </row>
    <row r="349" ht="15.75" customHeight="1">
      <c r="S349" s="239"/>
      <c r="AE349" s="174"/>
      <c r="AF349" s="174"/>
      <c r="AG349" s="174"/>
    </row>
    <row r="350" ht="15.75" customHeight="1">
      <c r="S350" s="239"/>
      <c r="AE350" s="174"/>
      <c r="AF350" s="174"/>
      <c r="AG350" s="174"/>
    </row>
    <row r="351" ht="15.75" customHeight="1">
      <c r="S351" s="239"/>
      <c r="AE351" s="174"/>
      <c r="AF351" s="174"/>
      <c r="AG351" s="174"/>
    </row>
    <row r="352" ht="15.75" customHeight="1">
      <c r="S352" s="239"/>
      <c r="AE352" s="174"/>
      <c r="AF352" s="174"/>
      <c r="AG352" s="174"/>
    </row>
    <row r="353" ht="15.75" customHeight="1">
      <c r="S353" s="239"/>
      <c r="AE353" s="174"/>
      <c r="AF353" s="174"/>
      <c r="AG353" s="174"/>
    </row>
    <row r="354" ht="15.75" customHeight="1">
      <c r="S354" s="239"/>
      <c r="AE354" s="174"/>
      <c r="AF354" s="174"/>
      <c r="AG354" s="174"/>
    </row>
    <row r="355" ht="15.75" customHeight="1">
      <c r="S355" s="239"/>
      <c r="AE355" s="174"/>
      <c r="AF355" s="174"/>
      <c r="AG355" s="174"/>
    </row>
    <row r="356" ht="15.75" customHeight="1">
      <c r="S356" s="239"/>
      <c r="AE356" s="174"/>
      <c r="AF356" s="174"/>
      <c r="AG356" s="174"/>
    </row>
    <row r="357" ht="15.75" customHeight="1">
      <c r="S357" s="239"/>
      <c r="AE357" s="174"/>
      <c r="AF357" s="174"/>
      <c r="AG357" s="174"/>
    </row>
    <row r="358" ht="15.75" customHeight="1">
      <c r="S358" s="239"/>
      <c r="AE358" s="174"/>
      <c r="AF358" s="174"/>
      <c r="AG358" s="174"/>
    </row>
    <row r="359" ht="15.75" customHeight="1">
      <c r="S359" s="239"/>
      <c r="AE359" s="174"/>
      <c r="AF359" s="174"/>
      <c r="AG359" s="174"/>
    </row>
    <row r="360" ht="15.75" customHeight="1">
      <c r="S360" s="239"/>
      <c r="AE360" s="174"/>
      <c r="AF360" s="174"/>
      <c r="AG360" s="174"/>
    </row>
    <row r="361" ht="15.75" customHeight="1">
      <c r="S361" s="239"/>
      <c r="AE361" s="174"/>
      <c r="AF361" s="174"/>
      <c r="AG361" s="174"/>
    </row>
    <row r="362" ht="15.75" customHeight="1">
      <c r="S362" s="239"/>
      <c r="AE362" s="174"/>
      <c r="AF362" s="174"/>
      <c r="AG362" s="174"/>
    </row>
    <row r="363" ht="15.75" customHeight="1">
      <c r="S363" s="239"/>
      <c r="AE363" s="174"/>
      <c r="AF363" s="174"/>
      <c r="AG363" s="174"/>
    </row>
    <row r="364" ht="15.75" customHeight="1">
      <c r="S364" s="239"/>
      <c r="AE364" s="174"/>
      <c r="AF364" s="174"/>
      <c r="AG364" s="174"/>
    </row>
    <row r="365" ht="15.75" customHeight="1">
      <c r="S365" s="239"/>
      <c r="AE365" s="174"/>
      <c r="AF365" s="174"/>
      <c r="AG365" s="174"/>
    </row>
    <row r="366" ht="15.75" customHeight="1">
      <c r="S366" s="239"/>
      <c r="AE366" s="174"/>
      <c r="AF366" s="174"/>
      <c r="AG366" s="174"/>
    </row>
    <row r="367" ht="15.75" customHeight="1">
      <c r="S367" s="239"/>
      <c r="AE367" s="174"/>
      <c r="AF367" s="174"/>
      <c r="AG367" s="174"/>
    </row>
    <row r="368" ht="15.75" customHeight="1">
      <c r="S368" s="239"/>
      <c r="AE368" s="174"/>
      <c r="AF368" s="174"/>
      <c r="AG368" s="174"/>
    </row>
    <row r="369" ht="15.75" customHeight="1">
      <c r="S369" s="239"/>
      <c r="AE369" s="174"/>
      <c r="AF369" s="174"/>
      <c r="AG369" s="174"/>
    </row>
    <row r="370" ht="15.75" customHeight="1">
      <c r="S370" s="239"/>
      <c r="AE370" s="174"/>
      <c r="AF370" s="174"/>
      <c r="AG370" s="174"/>
    </row>
    <row r="371" ht="15.75" customHeight="1">
      <c r="S371" s="239"/>
      <c r="AE371" s="174"/>
      <c r="AF371" s="174"/>
      <c r="AG371" s="174"/>
    </row>
    <row r="372" ht="15.75" customHeight="1">
      <c r="S372" s="239"/>
      <c r="AE372" s="174"/>
      <c r="AF372" s="174"/>
      <c r="AG372" s="174"/>
    </row>
    <row r="373" ht="15.75" customHeight="1">
      <c r="S373" s="239"/>
      <c r="AE373" s="174"/>
      <c r="AF373" s="174"/>
      <c r="AG373" s="174"/>
    </row>
    <row r="374" ht="15.75" customHeight="1">
      <c r="S374" s="239"/>
      <c r="AE374" s="174"/>
      <c r="AF374" s="174"/>
      <c r="AG374" s="174"/>
    </row>
    <row r="375" ht="15.75" customHeight="1">
      <c r="S375" s="239"/>
      <c r="AE375" s="174"/>
      <c r="AF375" s="174"/>
      <c r="AG375" s="174"/>
    </row>
    <row r="376" ht="15.75" customHeight="1">
      <c r="S376" s="239"/>
      <c r="AE376" s="174"/>
      <c r="AF376" s="174"/>
      <c r="AG376" s="174"/>
    </row>
    <row r="377" ht="15.75" customHeight="1">
      <c r="S377" s="239"/>
      <c r="AE377" s="174"/>
      <c r="AF377" s="174"/>
      <c r="AG377" s="174"/>
    </row>
    <row r="378" ht="15.75" customHeight="1">
      <c r="S378" s="239"/>
      <c r="AE378" s="174"/>
      <c r="AF378" s="174"/>
      <c r="AG378" s="174"/>
    </row>
    <row r="379" ht="15.75" customHeight="1">
      <c r="S379" s="239"/>
      <c r="AE379" s="174"/>
      <c r="AF379" s="174"/>
      <c r="AG379" s="174"/>
    </row>
    <row r="380" ht="15.75" customHeight="1">
      <c r="S380" s="239"/>
      <c r="AE380" s="174"/>
      <c r="AF380" s="174"/>
      <c r="AG380" s="174"/>
    </row>
    <row r="381" ht="15.75" customHeight="1">
      <c r="S381" s="239"/>
      <c r="AE381" s="174"/>
      <c r="AF381" s="174"/>
      <c r="AG381" s="174"/>
    </row>
    <row r="382" ht="15.75" customHeight="1">
      <c r="S382" s="239"/>
      <c r="AE382" s="174"/>
      <c r="AF382" s="174"/>
      <c r="AG382" s="174"/>
    </row>
    <row r="383" ht="15.75" customHeight="1">
      <c r="S383" s="239"/>
      <c r="AE383" s="174"/>
      <c r="AF383" s="174"/>
      <c r="AG383" s="174"/>
    </row>
    <row r="384" ht="15.75" customHeight="1">
      <c r="S384" s="239"/>
      <c r="AE384" s="174"/>
      <c r="AF384" s="174"/>
      <c r="AG384" s="174"/>
    </row>
    <row r="385" ht="15.75" customHeight="1">
      <c r="S385" s="239"/>
      <c r="AE385" s="174"/>
      <c r="AF385" s="174"/>
      <c r="AG385" s="174"/>
    </row>
    <row r="386" ht="15.75" customHeight="1">
      <c r="S386" s="239"/>
      <c r="AE386" s="174"/>
      <c r="AF386" s="174"/>
      <c r="AG386" s="174"/>
    </row>
    <row r="387" ht="15.75" customHeight="1">
      <c r="S387" s="239"/>
      <c r="AE387" s="174"/>
      <c r="AF387" s="174"/>
      <c r="AG387" s="174"/>
    </row>
    <row r="388" ht="15.75" customHeight="1">
      <c r="S388" s="239"/>
      <c r="AE388" s="174"/>
      <c r="AF388" s="174"/>
      <c r="AG388" s="174"/>
    </row>
    <row r="389" ht="15.75" customHeight="1">
      <c r="S389" s="239"/>
      <c r="AE389" s="174"/>
      <c r="AF389" s="174"/>
      <c r="AG389" s="174"/>
    </row>
    <row r="390" ht="15.75" customHeight="1">
      <c r="S390" s="239"/>
      <c r="AE390" s="174"/>
      <c r="AF390" s="174"/>
      <c r="AG390" s="174"/>
    </row>
    <row r="391" ht="15.75" customHeight="1">
      <c r="S391" s="239"/>
      <c r="AE391" s="174"/>
      <c r="AF391" s="174"/>
      <c r="AG391" s="174"/>
    </row>
    <row r="392" ht="15.75" customHeight="1">
      <c r="S392" s="239"/>
      <c r="AE392" s="174"/>
      <c r="AF392" s="174"/>
      <c r="AG392" s="174"/>
    </row>
    <row r="393" ht="15.75" customHeight="1">
      <c r="S393" s="239"/>
      <c r="AE393" s="174"/>
      <c r="AF393" s="174"/>
      <c r="AG393" s="174"/>
    </row>
    <row r="394" ht="15.75" customHeight="1">
      <c r="S394" s="239"/>
      <c r="AE394" s="174"/>
      <c r="AF394" s="174"/>
      <c r="AG394" s="174"/>
    </row>
    <row r="395" ht="15.75" customHeight="1">
      <c r="S395" s="239"/>
      <c r="AE395" s="174"/>
      <c r="AF395" s="174"/>
      <c r="AG395" s="174"/>
    </row>
    <row r="396" ht="15.75" customHeight="1">
      <c r="S396" s="239"/>
      <c r="AE396" s="174"/>
      <c r="AF396" s="174"/>
      <c r="AG396" s="174"/>
    </row>
    <row r="397" ht="15.75" customHeight="1">
      <c r="S397" s="239"/>
      <c r="AE397" s="174"/>
      <c r="AF397" s="174"/>
      <c r="AG397" s="174"/>
    </row>
    <row r="398" ht="15.75" customHeight="1">
      <c r="S398" s="239"/>
      <c r="AE398" s="174"/>
      <c r="AF398" s="174"/>
      <c r="AG398" s="174"/>
    </row>
    <row r="399" ht="15.75" customHeight="1">
      <c r="S399" s="239"/>
      <c r="AE399" s="174"/>
      <c r="AF399" s="174"/>
      <c r="AG399" s="174"/>
    </row>
    <row r="400" ht="15.75" customHeight="1">
      <c r="S400" s="239"/>
      <c r="AE400" s="174"/>
      <c r="AF400" s="174"/>
      <c r="AG400" s="174"/>
    </row>
    <row r="401" ht="15.75" customHeight="1">
      <c r="S401" s="239"/>
      <c r="AE401" s="174"/>
      <c r="AF401" s="174"/>
      <c r="AG401" s="174"/>
    </row>
    <row r="402" ht="15.75" customHeight="1">
      <c r="S402" s="239"/>
      <c r="AE402" s="174"/>
      <c r="AF402" s="174"/>
      <c r="AG402" s="174"/>
    </row>
    <row r="403" ht="15.75" customHeight="1">
      <c r="S403" s="239"/>
      <c r="AE403" s="174"/>
      <c r="AF403" s="174"/>
      <c r="AG403" s="174"/>
    </row>
    <row r="404" ht="15.75" customHeight="1">
      <c r="S404" s="239"/>
      <c r="AE404" s="174"/>
      <c r="AF404" s="174"/>
      <c r="AG404" s="174"/>
    </row>
    <row r="405" ht="15.75" customHeight="1">
      <c r="S405" s="239"/>
      <c r="AE405" s="174"/>
      <c r="AF405" s="174"/>
      <c r="AG405" s="174"/>
    </row>
    <row r="406" ht="15.75" customHeight="1">
      <c r="S406" s="239"/>
      <c r="AE406" s="174"/>
      <c r="AF406" s="174"/>
      <c r="AG406" s="174"/>
    </row>
    <row r="407" ht="15.75" customHeight="1">
      <c r="S407" s="239"/>
      <c r="AE407" s="174"/>
      <c r="AF407" s="174"/>
      <c r="AG407" s="174"/>
    </row>
    <row r="408" ht="15.75" customHeight="1">
      <c r="S408" s="239"/>
      <c r="AE408" s="174"/>
      <c r="AF408" s="174"/>
      <c r="AG408" s="174"/>
    </row>
    <row r="409" ht="15.75" customHeight="1">
      <c r="S409" s="239"/>
      <c r="AE409" s="174"/>
      <c r="AF409" s="174"/>
      <c r="AG409" s="174"/>
    </row>
    <row r="410" ht="15.75" customHeight="1">
      <c r="S410" s="239"/>
      <c r="AE410" s="174"/>
      <c r="AF410" s="174"/>
      <c r="AG410" s="174"/>
    </row>
    <row r="411" ht="15.75" customHeight="1">
      <c r="S411" s="239"/>
      <c r="AE411" s="174"/>
      <c r="AF411" s="174"/>
      <c r="AG411" s="174"/>
    </row>
    <row r="412" ht="15.75" customHeight="1">
      <c r="S412" s="239"/>
      <c r="AE412" s="174"/>
      <c r="AF412" s="174"/>
      <c r="AG412" s="174"/>
    </row>
    <row r="413" ht="15.75" customHeight="1">
      <c r="S413" s="239"/>
      <c r="AE413" s="174"/>
      <c r="AF413" s="174"/>
      <c r="AG413" s="174"/>
    </row>
    <row r="414" ht="15.75" customHeight="1">
      <c r="S414" s="239"/>
      <c r="AE414" s="174"/>
      <c r="AF414" s="174"/>
      <c r="AG414" s="174"/>
    </row>
    <row r="415" ht="15.75" customHeight="1">
      <c r="S415" s="239"/>
      <c r="AE415" s="174"/>
      <c r="AF415" s="174"/>
      <c r="AG415" s="174"/>
    </row>
    <row r="416" ht="15.75" customHeight="1">
      <c r="S416" s="239"/>
      <c r="AE416" s="174"/>
      <c r="AF416" s="174"/>
      <c r="AG416" s="174"/>
    </row>
    <row r="417" ht="15.75" customHeight="1">
      <c r="S417" s="239"/>
      <c r="AE417" s="174"/>
      <c r="AF417" s="174"/>
      <c r="AG417" s="174"/>
    </row>
    <row r="418" ht="15.75" customHeight="1">
      <c r="S418" s="239"/>
      <c r="AE418" s="174"/>
      <c r="AF418" s="174"/>
      <c r="AG418" s="174"/>
    </row>
    <row r="419" ht="15.75" customHeight="1">
      <c r="S419" s="239"/>
      <c r="AE419" s="174"/>
      <c r="AF419" s="174"/>
      <c r="AG419" s="174"/>
    </row>
    <row r="420" ht="15.75" customHeight="1">
      <c r="S420" s="239"/>
      <c r="AE420" s="174"/>
      <c r="AF420" s="174"/>
      <c r="AG420" s="174"/>
    </row>
    <row r="421" ht="15.75" customHeight="1">
      <c r="S421" s="239"/>
      <c r="AE421" s="174"/>
      <c r="AF421" s="174"/>
      <c r="AG421" s="174"/>
    </row>
    <row r="422" ht="15.75" customHeight="1">
      <c r="S422" s="239"/>
      <c r="AE422" s="174"/>
      <c r="AF422" s="174"/>
      <c r="AG422" s="174"/>
    </row>
    <row r="423" ht="15.75" customHeight="1">
      <c r="S423" s="239"/>
      <c r="AE423" s="174"/>
      <c r="AF423" s="174"/>
      <c r="AG423" s="174"/>
    </row>
    <row r="424" ht="15.75" customHeight="1">
      <c r="S424" s="239"/>
      <c r="AE424" s="174"/>
      <c r="AF424" s="174"/>
      <c r="AG424" s="174"/>
    </row>
    <row r="425" ht="15.75" customHeight="1">
      <c r="S425" s="239"/>
      <c r="AE425" s="174"/>
      <c r="AF425" s="174"/>
      <c r="AG425" s="174"/>
    </row>
    <row r="426" ht="15.75" customHeight="1">
      <c r="S426" s="239"/>
      <c r="AE426" s="174"/>
      <c r="AF426" s="174"/>
      <c r="AG426" s="174"/>
    </row>
    <row r="427" ht="15.75" customHeight="1">
      <c r="S427" s="239"/>
      <c r="AE427" s="174"/>
      <c r="AF427" s="174"/>
      <c r="AG427" s="174"/>
    </row>
    <row r="428" ht="15.75" customHeight="1">
      <c r="S428" s="239"/>
      <c r="AE428" s="174"/>
      <c r="AF428" s="174"/>
      <c r="AG428" s="174"/>
    </row>
    <row r="429" ht="15.75" customHeight="1">
      <c r="S429" s="239"/>
      <c r="AE429" s="174"/>
      <c r="AF429" s="174"/>
      <c r="AG429" s="174"/>
    </row>
    <row r="430" ht="15.75" customHeight="1">
      <c r="S430" s="239"/>
      <c r="AE430" s="174"/>
      <c r="AF430" s="174"/>
      <c r="AG430" s="174"/>
    </row>
    <row r="431" ht="15.75" customHeight="1">
      <c r="S431" s="239"/>
      <c r="AE431" s="174"/>
      <c r="AF431" s="174"/>
      <c r="AG431" s="174"/>
    </row>
    <row r="432" ht="15.75" customHeight="1">
      <c r="S432" s="239"/>
      <c r="AE432" s="174"/>
      <c r="AF432" s="174"/>
      <c r="AG432" s="174"/>
    </row>
    <row r="433" ht="15.75" customHeight="1">
      <c r="S433" s="239"/>
      <c r="AE433" s="174"/>
      <c r="AF433" s="174"/>
      <c r="AG433" s="174"/>
    </row>
    <row r="434" ht="15.75" customHeight="1">
      <c r="S434" s="239"/>
      <c r="AE434" s="174"/>
      <c r="AF434" s="174"/>
      <c r="AG434" s="174"/>
    </row>
    <row r="435" ht="15.75" customHeight="1">
      <c r="S435" s="239"/>
      <c r="AE435" s="174"/>
      <c r="AF435" s="174"/>
      <c r="AG435" s="174"/>
    </row>
    <row r="436" ht="15.75" customHeight="1">
      <c r="S436" s="239"/>
      <c r="AE436" s="174"/>
      <c r="AF436" s="174"/>
      <c r="AG436" s="174"/>
    </row>
    <row r="437" ht="15.75" customHeight="1">
      <c r="S437" s="239"/>
      <c r="AE437" s="174"/>
      <c r="AF437" s="174"/>
      <c r="AG437" s="174"/>
    </row>
    <row r="438" ht="15.75" customHeight="1">
      <c r="S438" s="239"/>
      <c r="AE438" s="174"/>
      <c r="AF438" s="174"/>
      <c r="AG438" s="174"/>
    </row>
    <row r="439" ht="15.75" customHeight="1">
      <c r="S439" s="239"/>
      <c r="AE439" s="174"/>
      <c r="AF439" s="174"/>
      <c r="AG439" s="174"/>
    </row>
    <row r="440" ht="15.75" customHeight="1">
      <c r="S440" s="239"/>
      <c r="AE440" s="174"/>
      <c r="AF440" s="174"/>
      <c r="AG440" s="174"/>
    </row>
    <row r="441" ht="15.75" customHeight="1">
      <c r="S441" s="239"/>
      <c r="AE441" s="174"/>
      <c r="AF441" s="174"/>
      <c r="AG441" s="174"/>
    </row>
    <row r="442" ht="15.75" customHeight="1">
      <c r="S442" s="239"/>
      <c r="AE442" s="174"/>
      <c r="AF442" s="174"/>
      <c r="AG442" s="174"/>
    </row>
    <row r="443" ht="15.75" customHeight="1">
      <c r="S443" s="239"/>
      <c r="AE443" s="174"/>
      <c r="AF443" s="174"/>
      <c r="AG443" s="174"/>
    </row>
    <row r="444" ht="15.75" customHeight="1">
      <c r="S444" s="239"/>
      <c r="AE444" s="174"/>
      <c r="AF444" s="174"/>
      <c r="AG444" s="174"/>
    </row>
    <row r="445" ht="15.75" customHeight="1">
      <c r="S445" s="239"/>
      <c r="AE445" s="174"/>
      <c r="AF445" s="174"/>
      <c r="AG445" s="174"/>
    </row>
    <row r="446" ht="15.75" customHeight="1">
      <c r="S446" s="239"/>
      <c r="AE446" s="174"/>
      <c r="AF446" s="174"/>
      <c r="AG446" s="174"/>
    </row>
    <row r="447" ht="15.75" customHeight="1">
      <c r="S447" s="239"/>
      <c r="AE447" s="174"/>
      <c r="AF447" s="174"/>
      <c r="AG447" s="174"/>
    </row>
    <row r="448" ht="15.75" customHeight="1">
      <c r="S448" s="239"/>
      <c r="AE448" s="174"/>
      <c r="AF448" s="174"/>
      <c r="AG448" s="174"/>
    </row>
    <row r="449" ht="15.75" customHeight="1">
      <c r="S449" s="239"/>
      <c r="AE449" s="174"/>
      <c r="AF449" s="174"/>
      <c r="AG449" s="174"/>
    </row>
    <row r="450" ht="15.75" customHeight="1">
      <c r="S450" s="239"/>
      <c r="AE450" s="174"/>
      <c r="AF450" s="174"/>
      <c r="AG450" s="174"/>
    </row>
    <row r="451" ht="15.75" customHeight="1">
      <c r="S451" s="239"/>
      <c r="AE451" s="174"/>
      <c r="AF451" s="174"/>
      <c r="AG451" s="174"/>
    </row>
    <row r="452" ht="15.75" customHeight="1">
      <c r="S452" s="239"/>
      <c r="AE452" s="174"/>
      <c r="AF452" s="174"/>
      <c r="AG452" s="174"/>
    </row>
    <row r="453" ht="15.75" customHeight="1">
      <c r="S453" s="239"/>
      <c r="AE453" s="174"/>
      <c r="AF453" s="174"/>
      <c r="AG453" s="174"/>
    </row>
    <row r="454" ht="15.75" customHeight="1">
      <c r="S454" s="239"/>
      <c r="AE454" s="174"/>
      <c r="AF454" s="174"/>
      <c r="AG454" s="174"/>
    </row>
    <row r="455" ht="15.75" customHeight="1">
      <c r="S455" s="239"/>
      <c r="AE455" s="174"/>
      <c r="AF455" s="174"/>
      <c r="AG455" s="174"/>
    </row>
    <row r="456" ht="15.75" customHeight="1">
      <c r="S456" s="239"/>
      <c r="AE456" s="174"/>
      <c r="AF456" s="174"/>
      <c r="AG456" s="174"/>
    </row>
    <row r="457" ht="15.75" customHeight="1">
      <c r="S457" s="239"/>
      <c r="AE457" s="174"/>
      <c r="AF457" s="174"/>
      <c r="AG457" s="174"/>
    </row>
    <row r="458" ht="15.75" customHeight="1">
      <c r="S458" s="239"/>
      <c r="AE458" s="174"/>
      <c r="AF458" s="174"/>
      <c r="AG458" s="174"/>
    </row>
    <row r="459" ht="15.75" customHeight="1">
      <c r="S459" s="239"/>
      <c r="AE459" s="174"/>
      <c r="AF459" s="174"/>
      <c r="AG459" s="174"/>
    </row>
    <row r="460" ht="15.75" customHeight="1">
      <c r="S460" s="239"/>
      <c r="AE460" s="174"/>
      <c r="AF460" s="174"/>
      <c r="AG460" s="174"/>
    </row>
    <row r="461" ht="15.75" customHeight="1">
      <c r="S461" s="239"/>
      <c r="AE461" s="174"/>
      <c r="AF461" s="174"/>
      <c r="AG461" s="174"/>
    </row>
    <row r="462" ht="15.75" customHeight="1">
      <c r="S462" s="239"/>
      <c r="AE462" s="174"/>
      <c r="AF462" s="174"/>
      <c r="AG462" s="174"/>
    </row>
    <row r="463" ht="15.75" customHeight="1">
      <c r="S463" s="239"/>
      <c r="AE463" s="174"/>
      <c r="AF463" s="174"/>
      <c r="AG463" s="174"/>
    </row>
    <row r="464" ht="15.75" customHeight="1">
      <c r="S464" s="239"/>
      <c r="AE464" s="174"/>
      <c r="AF464" s="174"/>
      <c r="AG464" s="174"/>
    </row>
    <row r="465" ht="15.75" customHeight="1">
      <c r="S465" s="239"/>
      <c r="AE465" s="174"/>
      <c r="AF465" s="174"/>
      <c r="AG465" s="174"/>
    </row>
    <row r="466" ht="15.75" customHeight="1">
      <c r="S466" s="239"/>
      <c r="AE466" s="174"/>
      <c r="AF466" s="174"/>
      <c r="AG466" s="174"/>
    </row>
    <row r="467" ht="15.75" customHeight="1">
      <c r="S467" s="239"/>
      <c r="AE467" s="174"/>
      <c r="AF467" s="174"/>
      <c r="AG467" s="174"/>
    </row>
    <row r="468" ht="15.75" customHeight="1">
      <c r="S468" s="239"/>
      <c r="AE468" s="174"/>
      <c r="AF468" s="174"/>
      <c r="AG468" s="174"/>
    </row>
    <row r="469" ht="15.75" customHeight="1">
      <c r="S469" s="239"/>
      <c r="AE469" s="174"/>
      <c r="AF469" s="174"/>
      <c r="AG469" s="174"/>
    </row>
    <row r="470" ht="15.75" customHeight="1">
      <c r="S470" s="239"/>
      <c r="AE470" s="174"/>
      <c r="AF470" s="174"/>
      <c r="AG470" s="174"/>
    </row>
    <row r="471" ht="15.75" customHeight="1">
      <c r="S471" s="239"/>
      <c r="AE471" s="174"/>
      <c r="AF471" s="174"/>
      <c r="AG471" s="174"/>
    </row>
    <row r="472" ht="15.75" customHeight="1">
      <c r="S472" s="239"/>
      <c r="AE472" s="174"/>
      <c r="AF472" s="174"/>
      <c r="AG472" s="174"/>
    </row>
    <row r="473" ht="15.75" customHeight="1">
      <c r="S473" s="239"/>
      <c r="AE473" s="174"/>
      <c r="AF473" s="174"/>
      <c r="AG473" s="174"/>
    </row>
    <row r="474" ht="15.75" customHeight="1">
      <c r="S474" s="239"/>
      <c r="AE474" s="174"/>
      <c r="AF474" s="174"/>
      <c r="AG474" s="174"/>
    </row>
    <row r="475" ht="15.75" customHeight="1">
      <c r="S475" s="239"/>
      <c r="AE475" s="174"/>
      <c r="AF475" s="174"/>
      <c r="AG475" s="174"/>
    </row>
    <row r="476" ht="15.75" customHeight="1">
      <c r="S476" s="239"/>
      <c r="AE476" s="174"/>
      <c r="AF476" s="174"/>
      <c r="AG476" s="174"/>
    </row>
    <row r="477" ht="15.75" customHeight="1">
      <c r="S477" s="239"/>
      <c r="AE477" s="174"/>
      <c r="AF477" s="174"/>
      <c r="AG477" s="174"/>
    </row>
    <row r="478" ht="15.75" customHeight="1">
      <c r="S478" s="239"/>
      <c r="AE478" s="174"/>
      <c r="AF478" s="174"/>
      <c r="AG478" s="174"/>
    </row>
    <row r="479" ht="15.75" customHeight="1">
      <c r="S479" s="239"/>
      <c r="AE479" s="174"/>
      <c r="AF479" s="174"/>
      <c r="AG479" s="174"/>
    </row>
    <row r="480" ht="15.75" customHeight="1">
      <c r="S480" s="239"/>
      <c r="AE480" s="174"/>
      <c r="AF480" s="174"/>
      <c r="AG480" s="174"/>
    </row>
    <row r="481" ht="15.75" customHeight="1">
      <c r="S481" s="239"/>
      <c r="AE481" s="174"/>
      <c r="AF481" s="174"/>
      <c r="AG481" s="174"/>
    </row>
    <row r="482" ht="15.75" customHeight="1">
      <c r="S482" s="239"/>
      <c r="AE482" s="174"/>
      <c r="AF482" s="174"/>
      <c r="AG482" s="174"/>
    </row>
    <row r="483" ht="15.75" customHeight="1">
      <c r="S483" s="239"/>
      <c r="AE483" s="174"/>
      <c r="AF483" s="174"/>
      <c r="AG483" s="174"/>
    </row>
    <row r="484" ht="15.75" customHeight="1">
      <c r="S484" s="239"/>
      <c r="AE484" s="174"/>
      <c r="AF484" s="174"/>
      <c r="AG484" s="174"/>
    </row>
    <row r="485" ht="15.75" customHeight="1">
      <c r="S485" s="239"/>
      <c r="AE485" s="174"/>
      <c r="AF485" s="174"/>
      <c r="AG485" s="174"/>
    </row>
    <row r="486" ht="15.75" customHeight="1">
      <c r="S486" s="239"/>
      <c r="AE486" s="174"/>
      <c r="AF486" s="174"/>
      <c r="AG486" s="174"/>
    </row>
    <row r="487" ht="15.75" customHeight="1">
      <c r="S487" s="239"/>
      <c r="AE487" s="174"/>
      <c r="AF487" s="174"/>
      <c r="AG487" s="174"/>
    </row>
    <row r="488" ht="15.75" customHeight="1">
      <c r="S488" s="239"/>
      <c r="AE488" s="174"/>
      <c r="AF488" s="174"/>
      <c r="AG488" s="174"/>
    </row>
    <row r="489" ht="15.75" customHeight="1">
      <c r="S489" s="239"/>
      <c r="AE489" s="174"/>
      <c r="AF489" s="174"/>
      <c r="AG489" s="174"/>
    </row>
    <row r="490" ht="15.75" customHeight="1">
      <c r="S490" s="239"/>
      <c r="AE490" s="174"/>
      <c r="AF490" s="174"/>
      <c r="AG490" s="174"/>
    </row>
    <row r="491" ht="15.75" customHeight="1">
      <c r="S491" s="239"/>
      <c r="AE491" s="174"/>
      <c r="AF491" s="174"/>
      <c r="AG491" s="174"/>
    </row>
    <row r="492" ht="15.75" customHeight="1">
      <c r="S492" s="239"/>
      <c r="AE492" s="174"/>
      <c r="AF492" s="174"/>
      <c r="AG492" s="174"/>
    </row>
    <row r="493" ht="15.75" customHeight="1">
      <c r="S493" s="239"/>
      <c r="AE493" s="174"/>
      <c r="AF493" s="174"/>
      <c r="AG493" s="174"/>
    </row>
    <row r="494" ht="15.75" customHeight="1">
      <c r="S494" s="239"/>
      <c r="AE494" s="174"/>
      <c r="AF494" s="174"/>
      <c r="AG494" s="174"/>
    </row>
    <row r="495" ht="15.75" customHeight="1">
      <c r="S495" s="239"/>
      <c r="AE495" s="174"/>
      <c r="AF495" s="174"/>
      <c r="AG495" s="174"/>
    </row>
    <row r="496" ht="15.75" customHeight="1">
      <c r="S496" s="239"/>
      <c r="AE496" s="174"/>
      <c r="AF496" s="174"/>
      <c r="AG496" s="174"/>
    </row>
    <row r="497" ht="15.75" customHeight="1">
      <c r="S497" s="239"/>
      <c r="AE497" s="174"/>
      <c r="AF497" s="174"/>
      <c r="AG497" s="174"/>
    </row>
    <row r="498" ht="15.75" customHeight="1">
      <c r="S498" s="239"/>
      <c r="AE498" s="174"/>
      <c r="AF498" s="174"/>
      <c r="AG498" s="174"/>
    </row>
    <row r="499" ht="15.75" customHeight="1">
      <c r="S499" s="239"/>
      <c r="AE499" s="174"/>
      <c r="AF499" s="174"/>
      <c r="AG499" s="174"/>
    </row>
    <row r="500" ht="15.75" customHeight="1">
      <c r="S500" s="239"/>
      <c r="AE500" s="174"/>
      <c r="AF500" s="174"/>
      <c r="AG500" s="174"/>
    </row>
    <row r="501" ht="15.75" customHeight="1">
      <c r="S501" s="239"/>
      <c r="AE501" s="174"/>
      <c r="AF501" s="174"/>
      <c r="AG501" s="174"/>
    </row>
    <row r="502" ht="15.75" customHeight="1">
      <c r="S502" s="239"/>
      <c r="AE502" s="174"/>
      <c r="AF502" s="174"/>
      <c r="AG502" s="174"/>
    </row>
    <row r="503" ht="15.75" customHeight="1">
      <c r="S503" s="239"/>
      <c r="AE503" s="174"/>
      <c r="AF503" s="174"/>
      <c r="AG503" s="174"/>
    </row>
    <row r="504" ht="15.75" customHeight="1">
      <c r="S504" s="239"/>
      <c r="AE504" s="174"/>
      <c r="AF504" s="174"/>
      <c r="AG504" s="174"/>
    </row>
    <row r="505" ht="15.75" customHeight="1">
      <c r="S505" s="239"/>
      <c r="AE505" s="174"/>
      <c r="AF505" s="174"/>
      <c r="AG505" s="174"/>
    </row>
    <row r="506" ht="15.75" customHeight="1">
      <c r="S506" s="239"/>
      <c r="AE506" s="174"/>
      <c r="AF506" s="174"/>
      <c r="AG506" s="174"/>
    </row>
    <row r="507" ht="15.75" customHeight="1">
      <c r="S507" s="239"/>
      <c r="AE507" s="174"/>
      <c r="AF507" s="174"/>
      <c r="AG507" s="174"/>
    </row>
    <row r="508" ht="15.75" customHeight="1">
      <c r="S508" s="239"/>
      <c r="AE508" s="174"/>
      <c r="AF508" s="174"/>
      <c r="AG508" s="174"/>
    </row>
    <row r="509" ht="15.75" customHeight="1">
      <c r="S509" s="239"/>
      <c r="AE509" s="174"/>
      <c r="AF509" s="174"/>
      <c r="AG509" s="174"/>
    </row>
    <row r="510" ht="15.75" customHeight="1">
      <c r="S510" s="239"/>
      <c r="AE510" s="174"/>
      <c r="AF510" s="174"/>
      <c r="AG510" s="174"/>
    </row>
    <row r="511" ht="15.75" customHeight="1">
      <c r="S511" s="239"/>
      <c r="AE511" s="174"/>
      <c r="AF511" s="174"/>
      <c r="AG511" s="174"/>
    </row>
    <row r="512" ht="15.75" customHeight="1">
      <c r="S512" s="239"/>
      <c r="AE512" s="174"/>
      <c r="AF512" s="174"/>
      <c r="AG512" s="174"/>
    </row>
    <row r="513" ht="15.75" customHeight="1">
      <c r="S513" s="239"/>
      <c r="AE513" s="174"/>
      <c r="AF513" s="174"/>
      <c r="AG513" s="174"/>
    </row>
    <row r="514" ht="15.75" customHeight="1">
      <c r="S514" s="239"/>
      <c r="AE514" s="174"/>
      <c r="AF514" s="174"/>
      <c r="AG514" s="174"/>
    </row>
    <row r="515" ht="15.75" customHeight="1">
      <c r="S515" s="239"/>
      <c r="AE515" s="174"/>
      <c r="AF515" s="174"/>
      <c r="AG515" s="174"/>
    </row>
    <row r="516" ht="15.75" customHeight="1">
      <c r="S516" s="239"/>
      <c r="AE516" s="174"/>
      <c r="AF516" s="174"/>
      <c r="AG516" s="174"/>
    </row>
    <row r="517" ht="15.75" customHeight="1">
      <c r="S517" s="239"/>
      <c r="AE517" s="174"/>
      <c r="AF517" s="174"/>
      <c r="AG517" s="174"/>
    </row>
    <row r="518" ht="15.75" customHeight="1">
      <c r="S518" s="239"/>
      <c r="AE518" s="174"/>
      <c r="AF518" s="174"/>
      <c r="AG518" s="174"/>
    </row>
    <row r="519" ht="15.75" customHeight="1">
      <c r="S519" s="239"/>
      <c r="AE519" s="174"/>
      <c r="AF519" s="174"/>
      <c r="AG519" s="174"/>
    </row>
    <row r="520" ht="15.75" customHeight="1">
      <c r="S520" s="239"/>
      <c r="AE520" s="174"/>
      <c r="AF520" s="174"/>
      <c r="AG520" s="174"/>
    </row>
    <row r="521" ht="15.75" customHeight="1">
      <c r="S521" s="239"/>
      <c r="AE521" s="174"/>
      <c r="AF521" s="174"/>
      <c r="AG521" s="174"/>
    </row>
    <row r="522" ht="15.75" customHeight="1">
      <c r="S522" s="239"/>
      <c r="AE522" s="174"/>
      <c r="AF522" s="174"/>
      <c r="AG522" s="174"/>
    </row>
    <row r="523" ht="15.75" customHeight="1">
      <c r="S523" s="239"/>
      <c r="AE523" s="174"/>
      <c r="AF523" s="174"/>
      <c r="AG523" s="174"/>
    </row>
    <row r="524" ht="15.75" customHeight="1">
      <c r="S524" s="239"/>
      <c r="AE524" s="174"/>
      <c r="AF524" s="174"/>
      <c r="AG524" s="174"/>
    </row>
    <row r="525" ht="15.75" customHeight="1">
      <c r="S525" s="239"/>
      <c r="AE525" s="174"/>
      <c r="AF525" s="174"/>
      <c r="AG525" s="174"/>
    </row>
    <row r="526" ht="15.75" customHeight="1">
      <c r="S526" s="239"/>
      <c r="AE526" s="174"/>
      <c r="AF526" s="174"/>
      <c r="AG526" s="174"/>
    </row>
    <row r="527" ht="15.75" customHeight="1">
      <c r="S527" s="239"/>
      <c r="AE527" s="174"/>
      <c r="AF527" s="174"/>
      <c r="AG527" s="174"/>
    </row>
    <row r="528" ht="15.75" customHeight="1">
      <c r="S528" s="239"/>
      <c r="AE528" s="174"/>
      <c r="AF528" s="174"/>
      <c r="AG528" s="174"/>
    </row>
    <row r="529" ht="15.75" customHeight="1">
      <c r="S529" s="239"/>
      <c r="AE529" s="174"/>
      <c r="AF529" s="174"/>
      <c r="AG529" s="174"/>
    </row>
    <row r="530" ht="15.75" customHeight="1">
      <c r="S530" s="239"/>
      <c r="AE530" s="174"/>
      <c r="AF530" s="174"/>
      <c r="AG530" s="174"/>
    </row>
    <row r="531" ht="15.75" customHeight="1">
      <c r="S531" s="239"/>
      <c r="AE531" s="174"/>
      <c r="AF531" s="174"/>
      <c r="AG531" s="174"/>
    </row>
    <row r="532" ht="15.75" customHeight="1">
      <c r="S532" s="239"/>
      <c r="AE532" s="174"/>
      <c r="AF532" s="174"/>
      <c r="AG532" s="174"/>
    </row>
    <row r="533" ht="15.75" customHeight="1">
      <c r="S533" s="239"/>
      <c r="AE533" s="174"/>
      <c r="AF533" s="174"/>
      <c r="AG533" s="174"/>
    </row>
    <row r="534" ht="15.75" customHeight="1">
      <c r="S534" s="239"/>
      <c r="AE534" s="174"/>
      <c r="AF534" s="174"/>
      <c r="AG534" s="174"/>
    </row>
    <row r="535" ht="15.75" customHeight="1">
      <c r="S535" s="239"/>
      <c r="AE535" s="174"/>
      <c r="AF535" s="174"/>
      <c r="AG535" s="174"/>
    </row>
    <row r="536" ht="15.75" customHeight="1">
      <c r="S536" s="239"/>
      <c r="AE536" s="174"/>
      <c r="AF536" s="174"/>
      <c r="AG536" s="174"/>
    </row>
    <row r="537" ht="15.75" customHeight="1">
      <c r="S537" s="239"/>
      <c r="AE537" s="174"/>
      <c r="AF537" s="174"/>
      <c r="AG537" s="174"/>
    </row>
    <row r="538" ht="15.75" customHeight="1">
      <c r="S538" s="239"/>
      <c r="AE538" s="174"/>
      <c r="AF538" s="174"/>
      <c r="AG538" s="174"/>
    </row>
    <row r="539" ht="15.75" customHeight="1">
      <c r="S539" s="239"/>
      <c r="AE539" s="174"/>
      <c r="AF539" s="174"/>
      <c r="AG539" s="174"/>
    </row>
    <row r="540" ht="15.75" customHeight="1">
      <c r="S540" s="239"/>
      <c r="AE540" s="174"/>
      <c r="AF540" s="174"/>
      <c r="AG540" s="174"/>
    </row>
    <row r="541" ht="15.75" customHeight="1">
      <c r="S541" s="239"/>
      <c r="AE541" s="174"/>
      <c r="AF541" s="174"/>
      <c r="AG541" s="174"/>
    </row>
    <row r="542" ht="15.75" customHeight="1">
      <c r="S542" s="239"/>
      <c r="AE542" s="174"/>
      <c r="AF542" s="174"/>
      <c r="AG542" s="174"/>
    </row>
    <row r="543" ht="15.75" customHeight="1">
      <c r="S543" s="239"/>
      <c r="AE543" s="174"/>
      <c r="AF543" s="174"/>
      <c r="AG543" s="174"/>
    </row>
    <row r="544" ht="15.75" customHeight="1">
      <c r="S544" s="239"/>
      <c r="AE544" s="174"/>
      <c r="AF544" s="174"/>
      <c r="AG544" s="174"/>
    </row>
    <row r="545" ht="15.75" customHeight="1">
      <c r="S545" s="239"/>
      <c r="AE545" s="174"/>
      <c r="AF545" s="174"/>
      <c r="AG545" s="174"/>
    </row>
    <row r="546" ht="15.75" customHeight="1">
      <c r="S546" s="239"/>
      <c r="AE546" s="174"/>
      <c r="AF546" s="174"/>
      <c r="AG546" s="174"/>
    </row>
    <row r="547" ht="15.75" customHeight="1">
      <c r="S547" s="239"/>
      <c r="AE547" s="174"/>
      <c r="AF547" s="174"/>
      <c r="AG547" s="174"/>
    </row>
    <row r="548" ht="15.75" customHeight="1">
      <c r="S548" s="239"/>
      <c r="AE548" s="174"/>
      <c r="AF548" s="174"/>
      <c r="AG548" s="174"/>
    </row>
    <row r="549" ht="15.75" customHeight="1">
      <c r="S549" s="239"/>
      <c r="AE549" s="174"/>
      <c r="AF549" s="174"/>
      <c r="AG549" s="174"/>
    </row>
    <row r="550" ht="15.75" customHeight="1">
      <c r="S550" s="239"/>
      <c r="AE550" s="174"/>
      <c r="AF550" s="174"/>
      <c r="AG550" s="174"/>
    </row>
    <row r="551" ht="15.75" customHeight="1">
      <c r="S551" s="239"/>
      <c r="AE551" s="174"/>
      <c r="AF551" s="174"/>
      <c r="AG551" s="174"/>
    </row>
    <row r="552" ht="15.75" customHeight="1">
      <c r="S552" s="239"/>
      <c r="AE552" s="174"/>
      <c r="AF552" s="174"/>
      <c r="AG552" s="174"/>
    </row>
    <row r="553" ht="15.75" customHeight="1">
      <c r="S553" s="239"/>
      <c r="AE553" s="174"/>
      <c r="AF553" s="174"/>
      <c r="AG553" s="174"/>
    </row>
    <row r="554" ht="15.75" customHeight="1">
      <c r="S554" s="239"/>
      <c r="AE554" s="174"/>
      <c r="AF554" s="174"/>
      <c r="AG554" s="174"/>
    </row>
    <row r="555" ht="15.75" customHeight="1">
      <c r="S555" s="239"/>
      <c r="AE555" s="174"/>
      <c r="AF555" s="174"/>
      <c r="AG555" s="174"/>
    </row>
    <row r="556" ht="15.75" customHeight="1">
      <c r="S556" s="239"/>
      <c r="AE556" s="174"/>
      <c r="AF556" s="174"/>
      <c r="AG556" s="174"/>
    </row>
    <row r="557" ht="15.75" customHeight="1">
      <c r="S557" s="239"/>
      <c r="AE557" s="174"/>
      <c r="AF557" s="174"/>
      <c r="AG557" s="174"/>
    </row>
    <row r="558" ht="15.75" customHeight="1">
      <c r="S558" s="239"/>
      <c r="AE558" s="174"/>
      <c r="AF558" s="174"/>
      <c r="AG558" s="174"/>
    </row>
    <row r="559" ht="15.75" customHeight="1">
      <c r="S559" s="239"/>
      <c r="AE559" s="174"/>
      <c r="AF559" s="174"/>
      <c r="AG559" s="174"/>
    </row>
    <row r="560" ht="15.75" customHeight="1">
      <c r="S560" s="239"/>
      <c r="AE560" s="174"/>
      <c r="AF560" s="174"/>
      <c r="AG560" s="174"/>
    </row>
    <row r="561" ht="15.75" customHeight="1">
      <c r="S561" s="239"/>
      <c r="AE561" s="174"/>
      <c r="AF561" s="174"/>
      <c r="AG561" s="174"/>
    </row>
    <row r="562" ht="15.75" customHeight="1">
      <c r="S562" s="239"/>
      <c r="AE562" s="174"/>
      <c r="AF562" s="174"/>
      <c r="AG562" s="174"/>
    </row>
    <row r="563" ht="15.75" customHeight="1">
      <c r="S563" s="239"/>
      <c r="AE563" s="174"/>
      <c r="AF563" s="174"/>
      <c r="AG563" s="174"/>
    </row>
    <row r="564" ht="15.75" customHeight="1">
      <c r="S564" s="239"/>
      <c r="AE564" s="174"/>
      <c r="AF564" s="174"/>
      <c r="AG564" s="174"/>
    </row>
    <row r="565" ht="15.75" customHeight="1">
      <c r="S565" s="239"/>
      <c r="AE565" s="174"/>
      <c r="AF565" s="174"/>
      <c r="AG565" s="174"/>
    </row>
    <row r="566" ht="15.75" customHeight="1">
      <c r="S566" s="239"/>
      <c r="AE566" s="174"/>
      <c r="AF566" s="174"/>
      <c r="AG566" s="174"/>
    </row>
    <row r="567" ht="15.75" customHeight="1">
      <c r="S567" s="239"/>
      <c r="AE567" s="174"/>
      <c r="AF567" s="174"/>
      <c r="AG567" s="174"/>
    </row>
    <row r="568" ht="15.75" customHeight="1">
      <c r="S568" s="239"/>
      <c r="AE568" s="174"/>
      <c r="AF568" s="174"/>
      <c r="AG568" s="174"/>
    </row>
    <row r="569" ht="15.75" customHeight="1">
      <c r="S569" s="239"/>
      <c r="AE569" s="174"/>
      <c r="AF569" s="174"/>
      <c r="AG569" s="174"/>
    </row>
    <row r="570" ht="15.75" customHeight="1">
      <c r="S570" s="239"/>
      <c r="AE570" s="174"/>
      <c r="AF570" s="174"/>
      <c r="AG570" s="174"/>
    </row>
    <row r="571" ht="15.75" customHeight="1">
      <c r="S571" s="239"/>
      <c r="AE571" s="174"/>
      <c r="AF571" s="174"/>
      <c r="AG571" s="174"/>
    </row>
    <row r="572" ht="15.75" customHeight="1">
      <c r="S572" s="239"/>
      <c r="AE572" s="174"/>
      <c r="AF572" s="174"/>
      <c r="AG572" s="174"/>
    </row>
    <row r="573" ht="15.75" customHeight="1">
      <c r="S573" s="239"/>
      <c r="AE573" s="174"/>
      <c r="AF573" s="174"/>
      <c r="AG573" s="174"/>
    </row>
    <row r="574" ht="15.75" customHeight="1">
      <c r="S574" s="239"/>
      <c r="AE574" s="174"/>
      <c r="AF574" s="174"/>
      <c r="AG574" s="174"/>
    </row>
    <row r="575" ht="15.75" customHeight="1">
      <c r="S575" s="239"/>
      <c r="AE575" s="174"/>
      <c r="AF575" s="174"/>
      <c r="AG575" s="174"/>
    </row>
    <row r="576" ht="15.75" customHeight="1">
      <c r="S576" s="239"/>
      <c r="AE576" s="174"/>
      <c r="AF576" s="174"/>
      <c r="AG576" s="174"/>
    </row>
    <row r="577" ht="15.75" customHeight="1">
      <c r="S577" s="239"/>
      <c r="AE577" s="174"/>
      <c r="AF577" s="174"/>
      <c r="AG577" s="174"/>
    </row>
    <row r="578" ht="15.75" customHeight="1">
      <c r="S578" s="239"/>
      <c r="AE578" s="174"/>
      <c r="AF578" s="174"/>
      <c r="AG578" s="174"/>
    </row>
    <row r="579" ht="15.75" customHeight="1">
      <c r="S579" s="239"/>
      <c r="AE579" s="174"/>
      <c r="AF579" s="174"/>
      <c r="AG579" s="174"/>
    </row>
    <row r="580" ht="15.75" customHeight="1">
      <c r="S580" s="239"/>
      <c r="AE580" s="174"/>
      <c r="AF580" s="174"/>
      <c r="AG580" s="174"/>
    </row>
    <row r="581" ht="15.75" customHeight="1">
      <c r="S581" s="239"/>
      <c r="AE581" s="174"/>
      <c r="AF581" s="174"/>
      <c r="AG581" s="174"/>
    </row>
    <row r="582" ht="15.75" customHeight="1">
      <c r="S582" s="239"/>
      <c r="AE582" s="174"/>
      <c r="AF582" s="174"/>
      <c r="AG582" s="174"/>
    </row>
    <row r="583" ht="15.75" customHeight="1">
      <c r="S583" s="239"/>
      <c r="AE583" s="174"/>
      <c r="AF583" s="174"/>
      <c r="AG583" s="174"/>
    </row>
    <row r="584" ht="15.75" customHeight="1">
      <c r="S584" s="239"/>
      <c r="AE584" s="174"/>
      <c r="AF584" s="174"/>
      <c r="AG584" s="174"/>
    </row>
    <row r="585" ht="15.75" customHeight="1">
      <c r="S585" s="239"/>
      <c r="AE585" s="174"/>
      <c r="AF585" s="174"/>
      <c r="AG585" s="174"/>
    </row>
    <row r="586" ht="15.75" customHeight="1">
      <c r="S586" s="239"/>
      <c r="AE586" s="174"/>
      <c r="AF586" s="174"/>
      <c r="AG586" s="174"/>
    </row>
    <row r="587" ht="15.75" customHeight="1">
      <c r="S587" s="239"/>
      <c r="AE587" s="174"/>
      <c r="AF587" s="174"/>
      <c r="AG587" s="174"/>
    </row>
    <row r="588" ht="15.75" customHeight="1">
      <c r="S588" s="239"/>
      <c r="AE588" s="174"/>
      <c r="AF588" s="174"/>
      <c r="AG588" s="174"/>
    </row>
    <row r="589" ht="15.75" customHeight="1">
      <c r="S589" s="239"/>
      <c r="AE589" s="174"/>
      <c r="AF589" s="174"/>
      <c r="AG589" s="174"/>
    </row>
    <row r="590" ht="15.75" customHeight="1">
      <c r="S590" s="239"/>
      <c r="AE590" s="174"/>
      <c r="AF590" s="174"/>
      <c r="AG590" s="174"/>
    </row>
    <row r="591" ht="15.75" customHeight="1">
      <c r="S591" s="239"/>
      <c r="AE591" s="174"/>
      <c r="AF591" s="174"/>
      <c r="AG591" s="174"/>
    </row>
    <row r="592" ht="15.75" customHeight="1">
      <c r="S592" s="239"/>
      <c r="AE592" s="174"/>
      <c r="AF592" s="174"/>
      <c r="AG592" s="174"/>
    </row>
    <row r="593" ht="15.75" customHeight="1">
      <c r="S593" s="239"/>
      <c r="AE593" s="174"/>
      <c r="AF593" s="174"/>
      <c r="AG593" s="174"/>
    </row>
    <row r="594" ht="15.75" customHeight="1">
      <c r="S594" s="239"/>
      <c r="AE594" s="174"/>
      <c r="AF594" s="174"/>
      <c r="AG594" s="174"/>
    </row>
    <row r="595" ht="15.75" customHeight="1">
      <c r="S595" s="239"/>
      <c r="AE595" s="174"/>
      <c r="AF595" s="174"/>
      <c r="AG595" s="174"/>
    </row>
    <row r="596" ht="15.75" customHeight="1">
      <c r="S596" s="239"/>
      <c r="AE596" s="174"/>
      <c r="AF596" s="174"/>
      <c r="AG596" s="174"/>
    </row>
    <row r="597" ht="15.75" customHeight="1">
      <c r="S597" s="239"/>
      <c r="AE597" s="174"/>
      <c r="AF597" s="174"/>
      <c r="AG597" s="174"/>
    </row>
    <row r="598" ht="15.75" customHeight="1">
      <c r="S598" s="239"/>
      <c r="AE598" s="174"/>
      <c r="AF598" s="174"/>
      <c r="AG598" s="174"/>
    </row>
    <row r="599" ht="15.75" customHeight="1">
      <c r="S599" s="239"/>
      <c r="AE599" s="174"/>
      <c r="AF599" s="174"/>
      <c r="AG599" s="174"/>
    </row>
    <row r="600" ht="15.75" customHeight="1">
      <c r="S600" s="239"/>
      <c r="AE600" s="174"/>
      <c r="AF600" s="174"/>
      <c r="AG600" s="174"/>
    </row>
    <row r="601" ht="15.75" customHeight="1">
      <c r="S601" s="239"/>
      <c r="AE601" s="174"/>
      <c r="AF601" s="174"/>
      <c r="AG601" s="174"/>
    </row>
    <row r="602" ht="15.75" customHeight="1">
      <c r="S602" s="239"/>
      <c r="AE602" s="174"/>
      <c r="AF602" s="174"/>
      <c r="AG602" s="174"/>
    </row>
    <row r="603" ht="15.75" customHeight="1">
      <c r="S603" s="239"/>
      <c r="AE603" s="174"/>
      <c r="AF603" s="174"/>
      <c r="AG603" s="174"/>
    </row>
    <row r="604" ht="15.75" customHeight="1">
      <c r="S604" s="239"/>
      <c r="AE604" s="174"/>
      <c r="AF604" s="174"/>
      <c r="AG604" s="174"/>
    </row>
    <row r="605" ht="15.75" customHeight="1">
      <c r="S605" s="239"/>
      <c r="AE605" s="174"/>
      <c r="AF605" s="174"/>
      <c r="AG605" s="174"/>
    </row>
    <row r="606" ht="15.75" customHeight="1">
      <c r="S606" s="239"/>
      <c r="AE606" s="174"/>
      <c r="AF606" s="174"/>
      <c r="AG606" s="174"/>
    </row>
    <row r="607" ht="15.75" customHeight="1">
      <c r="S607" s="239"/>
      <c r="AE607" s="174"/>
      <c r="AF607" s="174"/>
      <c r="AG607" s="174"/>
    </row>
    <row r="608" ht="15.75" customHeight="1">
      <c r="S608" s="239"/>
      <c r="AE608" s="174"/>
      <c r="AF608" s="174"/>
      <c r="AG608" s="174"/>
    </row>
    <row r="609" ht="15.75" customHeight="1">
      <c r="S609" s="239"/>
      <c r="AE609" s="174"/>
      <c r="AF609" s="174"/>
      <c r="AG609" s="174"/>
    </row>
    <row r="610" ht="15.75" customHeight="1">
      <c r="S610" s="239"/>
      <c r="AE610" s="174"/>
      <c r="AF610" s="174"/>
      <c r="AG610" s="174"/>
    </row>
    <row r="611" ht="15.75" customHeight="1">
      <c r="S611" s="239"/>
      <c r="AE611" s="174"/>
      <c r="AF611" s="174"/>
      <c r="AG611" s="174"/>
    </row>
    <row r="612" ht="15.75" customHeight="1">
      <c r="S612" s="239"/>
      <c r="AE612" s="174"/>
      <c r="AF612" s="174"/>
      <c r="AG612" s="174"/>
    </row>
    <row r="613" ht="15.75" customHeight="1">
      <c r="S613" s="239"/>
      <c r="AE613" s="174"/>
      <c r="AF613" s="174"/>
      <c r="AG613" s="174"/>
    </row>
    <row r="614" ht="15.75" customHeight="1">
      <c r="S614" s="239"/>
      <c r="AE614" s="174"/>
      <c r="AF614" s="174"/>
      <c r="AG614" s="174"/>
    </row>
    <row r="615" ht="15.75" customHeight="1">
      <c r="S615" s="239"/>
      <c r="AE615" s="174"/>
      <c r="AF615" s="174"/>
      <c r="AG615" s="174"/>
    </row>
    <row r="616" ht="15.75" customHeight="1">
      <c r="S616" s="239"/>
      <c r="AE616" s="174"/>
      <c r="AF616" s="174"/>
      <c r="AG616" s="174"/>
    </row>
    <row r="617" ht="15.75" customHeight="1">
      <c r="S617" s="239"/>
      <c r="AE617" s="174"/>
      <c r="AF617" s="174"/>
      <c r="AG617" s="174"/>
    </row>
    <row r="618" ht="15.75" customHeight="1">
      <c r="S618" s="239"/>
      <c r="AE618" s="174"/>
      <c r="AF618" s="174"/>
      <c r="AG618" s="174"/>
    </row>
    <row r="619" ht="15.75" customHeight="1">
      <c r="S619" s="239"/>
      <c r="AE619" s="174"/>
      <c r="AF619" s="174"/>
      <c r="AG619" s="174"/>
    </row>
    <row r="620" ht="15.75" customHeight="1">
      <c r="S620" s="239"/>
      <c r="AE620" s="174"/>
      <c r="AF620" s="174"/>
      <c r="AG620" s="174"/>
    </row>
    <row r="621" ht="15.75" customHeight="1">
      <c r="S621" s="239"/>
      <c r="AE621" s="174"/>
      <c r="AF621" s="174"/>
      <c r="AG621" s="174"/>
    </row>
    <row r="622" ht="15.75" customHeight="1">
      <c r="S622" s="239"/>
      <c r="AE622" s="174"/>
      <c r="AF622" s="174"/>
      <c r="AG622" s="174"/>
    </row>
    <row r="623" ht="15.75" customHeight="1">
      <c r="S623" s="239"/>
      <c r="AE623" s="174"/>
      <c r="AF623" s="174"/>
      <c r="AG623" s="174"/>
    </row>
    <row r="624" ht="15.75" customHeight="1">
      <c r="S624" s="239"/>
      <c r="AE624" s="174"/>
      <c r="AF624" s="174"/>
      <c r="AG624" s="174"/>
    </row>
    <row r="625" ht="15.75" customHeight="1">
      <c r="S625" s="239"/>
      <c r="AE625" s="174"/>
      <c r="AF625" s="174"/>
      <c r="AG625" s="174"/>
    </row>
    <row r="626" ht="15.75" customHeight="1">
      <c r="S626" s="239"/>
      <c r="AE626" s="174"/>
      <c r="AF626" s="174"/>
      <c r="AG626" s="174"/>
    </row>
    <row r="627" ht="15.75" customHeight="1">
      <c r="S627" s="239"/>
      <c r="AE627" s="174"/>
      <c r="AF627" s="174"/>
      <c r="AG627" s="174"/>
    </row>
    <row r="628" ht="15.75" customHeight="1">
      <c r="S628" s="239"/>
      <c r="AE628" s="174"/>
      <c r="AF628" s="174"/>
      <c r="AG628" s="174"/>
    </row>
    <row r="629" ht="15.75" customHeight="1">
      <c r="S629" s="239"/>
      <c r="AE629" s="174"/>
      <c r="AF629" s="174"/>
      <c r="AG629" s="174"/>
    </row>
    <row r="630" ht="15.75" customHeight="1">
      <c r="S630" s="239"/>
      <c r="AE630" s="174"/>
      <c r="AF630" s="174"/>
      <c r="AG630" s="174"/>
    </row>
    <row r="631" ht="15.75" customHeight="1">
      <c r="S631" s="239"/>
      <c r="AE631" s="174"/>
      <c r="AF631" s="174"/>
      <c r="AG631" s="174"/>
    </row>
    <row r="632" ht="15.75" customHeight="1">
      <c r="S632" s="239"/>
      <c r="AE632" s="174"/>
      <c r="AF632" s="174"/>
      <c r="AG632" s="174"/>
    </row>
    <row r="633" ht="15.75" customHeight="1">
      <c r="S633" s="239"/>
      <c r="AE633" s="174"/>
      <c r="AF633" s="174"/>
      <c r="AG633" s="174"/>
    </row>
    <row r="634" ht="15.75" customHeight="1">
      <c r="S634" s="239"/>
      <c r="AE634" s="174"/>
      <c r="AF634" s="174"/>
      <c r="AG634" s="174"/>
    </row>
    <row r="635" ht="15.75" customHeight="1">
      <c r="S635" s="239"/>
      <c r="AE635" s="174"/>
      <c r="AF635" s="174"/>
      <c r="AG635" s="174"/>
    </row>
    <row r="636" ht="15.75" customHeight="1">
      <c r="S636" s="239"/>
      <c r="AE636" s="174"/>
      <c r="AF636" s="174"/>
      <c r="AG636" s="174"/>
    </row>
    <row r="637" ht="15.75" customHeight="1">
      <c r="S637" s="239"/>
      <c r="AE637" s="174"/>
      <c r="AF637" s="174"/>
      <c r="AG637" s="174"/>
    </row>
    <row r="638" ht="15.75" customHeight="1">
      <c r="S638" s="239"/>
      <c r="AE638" s="174"/>
      <c r="AF638" s="174"/>
      <c r="AG638" s="174"/>
    </row>
    <row r="639" ht="15.75" customHeight="1">
      <c r="S639" s="239"/>
      <c r="AE639" s="174"/>
      <c r="AF639" s="174"/>
      <c r="AG639" s="174"/>
    </row>
    <row r="640" ht="15.75" customHeight="1">
      <c r="S640" s="239"/>
      <c r="AE640" s="174"/>
      <c r="AF640" s="174"/>
      <c r="AG640" s="174"/>
    </row>
    <row r="641" ht="15.75" customHeight="1">
      <c r="S641" s="239"/>
      <c r="AE641" s="174"/>
      <c r="AF641" s="174"/>
      <c r="AG641" s="174"/>
    </row>
    <row r="642" ht="15.75" customHeight="1">
      <c r="S642" s="239"/>
      <c r="AE642" s="174"/>
      <c r="AF642" s="174"/>
      <c r="AG642" s="174"/>
    </row>
    <row r="643" ht="15.75" customHeight="1">
      <c r="S643" s="239"/>
      <c r="AE643" s="174"/>
      <c r="AF643" s="174"/>
      <c r="AG643" s="174"/>
    </row>
    <row r="644" ht="15.75" customHeight="1">
      <c r="S644" s="239"/>
      <c r="AE644" s="174"/>
      <c r="AF644" s="174"/>
      <c r="AG644" s="174"/>
    </row>
    <row r="645" ht="15.75" customHeight="1">
      <c r="S645" s="239"/>
      <c r="AE645" s="174"/>
      <c r="AF645" s="174"/>
      <c r="AG645" s="174"/>
    </row>
    <row r="646" ht="15.75" customHeight="1">
      <c r="S646" s="239"/>
      <c r="AE646" s="174"/>
      <c r="AF646" s="174"/>
      <c r="AG646" s="174"/>
    </row>
    <row r="647" ht="15.75" customHeight="1">
      <c r="S647" s="239"/>
      <c r="AE647" s="174"/>
      <c r="AF647" s="174"/>
      <c r="AG647" s="174"/>
    </row>
    <row r="648" ht="15.75" customHeight="1">
      <c r="S648" s="239"/>
      <c r="AE648" s="174"/>
      <c r="AF648" s="174"/>
      <c r="AG648" s="174"/>
    </row>
    <row r="649" ht="15.75" customHeight="1">
      <c r="S649" s="239"/>
      <c r="AE649" s="174"/>
      <c r="AF649" s="174"/>
      <c r="AG649" s="174"/>
    </row>
    <row r="650" ht="15.75" customHeight="1">
      <c r="S650" s="239"/>
      <c r="AE650" s="174"/>
      <c r="AF650" s="174"/>
      <c r="AG650" s="174"/>
    </row>
    <row r="651" ht="15.75" customHeight="1">
      <c r="S651" s="239"/>
      <c r="AE651" s="174"/>
      <c r="AF651" s="174"/>
      <c r="AG651" s="174"/>
    </row>
    <row r="652" ht="15.75" customHeight="1">
      <c r="S652" s="239"/>
      <c r="AE652" s="174"/>
      <c r="AF652" s="174"/>
      <c r="AG652" s="174"/>
    </row>
    <row r="653" ht="15.75" customHeight="1">
      <c r="S653" s="239"/>
      <c r="AE653" s="174"/>
      <c r="AF653" s="174"/>
      <c r="AG653" s="174"/>
    </row>
    <row r="654" ht="15.75" customHeight="1">
      <c r="S654" s="239"/>
      <c r="AE654" s="174"/>
      <c r="AF654" s="174"/>
      <c r="AG654" s="174"/>
    </row>
    <row r="655" ht="15.75" customHeight="1">
      <c r="S655" s="239"/>
      <c r="AE655" s="174"/>
      <c r="AF655" s="174"/>
      <c r="AG655" s="174"/>
    </row>
    <row r="656" ht="15.75" customHeight="1">
      <c r="S656" s="239"/>
      <c r="AE656" s="174"/>
      <c r="AF656" s="174"/>
      <c r="AG656" s="174"/>
    </row>
    <row r="657" ht="15.75" customHeight="1">
      <c r="S657" s="239"/>
      <c r="AE657" s="174"/>
      <c r="AF657" s="174"/>
      <c r="AG657" s="174"/>
    </row>
    <row r="658" ht="15.75" customHeight="1">
      <c r="S658" s="239"/>
      <c r="AE658" s="174"/>
      <c r="AF658" s="174"/>
      <c r="AG658" s="174"/>
    </row>
    <row r="659" ht="15.75" customHeight="1">
      <c r="S659" s="239"/>
      <c r="AE659" s="174"/>
      <c r="AF659" s="174"/>
      <c r="AG659" s="174"/>
    </row>
    <row r="660" ht="15.75" customHeight="1">
      <c r="S660" s="239"/>
      <c r="AE660" s="174"/>
      <c r="AF660" s="174"/>
      <c r="AG660" s="174"/>
    </row>
    <row r="661" ht="15.75" customHeight="1">
      <c r="S661" s="239"/>
      <c r="AE661" s="174"/>
      <c r="AF661" s="174"/>
      <c r="AG661" s="174"/>
    </row>
    <row r="662" ht="15.75" customHeight="1">
      <c r="S662" s="239"/>
      <c r="AE662" s="174"/>
      <c r="AF662" s="174"/>
      <c r="AG662" s="174"/>
    </row>
    <row r="663" ht="15.75" customHeight="1">
      <c r="S663" s="239"/>
      <c r="AE663" s="174"/>
      <c r="AF663" s="174"/>
      <c r="AG663" s="174"/>
    </row>
    <row r="664" ht="15.75" customHeight="1">
      <c r="S664" s="239"/>
      <c r="AE664" s="174"/>
      <c r="AF664" s="174"/>
      <c r="AG664" s="174"/>
    </row>
    <row r="665" ht="15.75" customHeight="1">
      <c r="S665" s="239"/>
      <c r="AE665" s="174"/>
      <c r="AF665" s="174"/>
      <c r="AG665" s="174"/>
    </row>
    <row r="666" ht="15.75" customHeight="1">
      <c r="S666" s="239"/>
      <c r="AE666" s="174"/>
      <c r="AF666" s="174"/>
      <c r="AG666" s="174"/>
    </row>
    <row r="667" ht="15.75" customHeight="1">
      <c r="S667" s="239"/>
      <c r="AE667" s="174"/>
      <c r="AF667" s="174"/>
      <c r="AG667" s="174"/>
    </row>
    <row r="668" ht="15.75" customHeight="1">
      <c r="S668" s="239"/>
      <c r="AE668" s="174"/>
      <c r="AF668" s="174"/>
      <c r="AG668" s="174"/>
    </row>
    <row r="669" ht="15.75" customHeight="1">
      <c r="S669" s="239"/>
      <c r="AE669" s="174"/>
      <c r="AF669" s="174"/>
      <c r="AG669" s="174"/>
    </row>
    <row r="670" ht="15.75" customHeight="1">
      <c r="S670" s="239"/>
      <c r="AE670" s="174"/>
      <c r="AF670" s="174"/>
      <c r="AG670" s="174"/>
    </row>
    <row r="671" ht="15.75" customHeight="1">
      <c r="S671" s="239"/>
      <c r="AE671" s="174"/>
      <c r="AF671" s="174"/>
      <c r="AG671" s="174"/>
    </row>
    <row r="672" ht="15.75" customHeight="1">
      <c r="S672" s="239"/>
      <c r="AE672" s="174"/>
      <c r="AF672" s="174"/>
      <c r="AG672" s="174"/>
    </row>
    <row r="673" ht="15.75" customHeight="1">
      <c r="S673" s="239"/>
      <c r="AE673" s="174"/>
      <c r="AF673" s="174"/>
      <c r="AG673" s="174"/>
    </row>
    <row r="674" ht="15.75" customHeight="1">
      <c r="S674" s="239"/>
      <c r="AE674" s="174"/>
      <c r="AF674" s="174"/>
      <c r="AG674" s="174"/>
    </row>
    <row r="675" ht="15.75" customHeight="1">
      <c r="S675" s="239"/>
      <c r="AE675" s="174"/>
      <c r="AF675" s="174"/>
      <c r="AG675" s="174"/>
    </row>
    <row r="676" ht="15.75" customHeight="1">
      <c r="S676" s="239"/>
      <c r="AE676" s="174"/>
      <c r="AF676" s="174"/>
      <c r="AG676" s="174"/>
    </row>
    <row r="677" ht="15.75" customHeight="1">
      <c r="S677" s="239"/>
      <c r="AE677" s="174"/>
      <c r="AF677" s="174"/>
      <c r="AG677" s="174"/>
    </row>
    <row r="678" ht="15.75" customHeight="1">
      <c r="S678" s="239"/>
      <c r="AE678" s="174"/>
      <c r="AF678" s="174"/>
      <c r="AG678" s="174"/>
    </row>
    <row r="679" ht="15.75" customHeight="1">
      <c r="S679" s="239"/>
      <c r="AE679" s="174"/>
      <c r="AF679" s="174"/>
      <c r="AG679" s="174"/>
    </row>
    <row r="680" ht="15.75" customHeight="1">
      <c r="S680" s="239"/>
      <c r="AE680" s="174"/>
      <c r="AF680" s="174"/>
      <c r="AG680" s="174"/>
    </row>
    <row r="681" ht="15.75" customHeight="1">
      <c r="S681" s="239"/>
      <c r="AE681" s="174"/>
      <c r="AF681" s="174"/>
      <c r="AG681" s="174"/>
    </row>
    <row r="682" ht="15.75" customHeight="1">
      <c r="S682" s="239"/>
      <c r="AE682" s="174"/>
      <c r="AF682" s="174"/>
      <c r="AG682" s="174"/>
    </row>
    <row r="683" ht="15.75" customHeight="1">
      <c r="S683" s="239"/>
      <c r="AE683" s="174"/>
      <c r="AF683" s="174"/>
      <c r="AG683" s="174"/>
    </row>
    <row r="684" ht="15.75" customHeight="1">
      <c r="S684" s="239"/>
      <c r="AE684" s="174"/>
      <c r="AF684" s="174"/>
      <c r="AG684" s="174"/>
    </row>
    <row r="685" ht="15.75" customHeight="1">
      <c r="S685" s="239"/>
      <c r="AE685" s="174"/>
      <c r="AF685" s="174"/>
      <c r="AG685" s="174"/>
    </row>
    <row r="686" ht="15.75" customHeight="1">
      <c r="S686" s="239"/>
      <c r="AE686" s="174"/>
      <c r="AF686" s="174"/>
      <c r="AG686" s="174"/>
    </row>
    <row r="687" ht="15.75" customHeight="1">
      <c r="S687" s="239"/>
      <c r="AE687" s="174"/>
      <c r="AF687" s="174"/>
      <c r="AG687" s="174"/>
    </row>
    <row r="688" ht="15.75" customHeight="1">
      <c r="S688" s="239"/>
      <c r="AE688" s="174"/>
      <c r="AF688" s="174"/>
      <c r="AG688" s="174"/>
    </row>
    <row r="689" ht="15.75" customHeight="1">
      <c r="S689" s="239"/>
      <c r="AE689" s="174"/>
      <c r="AF689" s="174"/>
      <c r="AG689" s="174"/>
    </row>
    <row r="690" ht="15.75" customHeight="1">
      <c r="S690" s="239"/>
      <c r="AE690" s="174"/>
      <c r="AF690" s="174"/>
      <c r="AG690" s="174"/>
    </row>
    <row r="691" ht="15.75" customHeight="1">
      <c r="S691" s="239"/>
      <c r="AE691" s="174"/>
      <c r="AF691" s="174"/>
      <c r="AG691" s="174"/>
    </row>
    <row r="692" ht="15.75" customHeight="1">
      <c r="S692" s="239"/>
      <c r="AE692" s="174"/>
      <c r="AF692" s="174"/>
      <c r="AG692" s="174"/>
    </row>
    <row r="693" ht="15.75" customHeight="1">
      <c r="S693" s="239"/>
      <c r="AE693" s="174"/>
      <c r="AF693" s="174"/>
      <c r="AG693" s="174"/>
    </row>
    <row r="694" ht="15.75" customHeight="1">
      <c r="S694" s="239"/>
      <c r="AE694" s="174"/>
      <c r="AF694" s="174"/>
      <c r="AG694" s="174"/>
    </row>
    <row r="695" ht="15.75" customHeight="1">
      <c r="S695" s="239"/>
      <c r="AE695" s="174"/>
      <c r="AF695" s="174"/>
      <c r="AG695" s="174"/>
    </row>
    <row r="696" ht="15.75" customHeight="1">
      <c r="S696" s="239"/>
      <c r="AE696" s="174"/>
      <c r="AF696" s="174"/>
      <c r="AG696" s="174"/>
    </row>
    <row r="697" ht="15.75" customHeight="1">
      <c r="S697" s="239"/>
      <c r="AE697" s="174"/>
      <c r="AF697" s="174"/>
      <c r="AG697" s="174"/>
    </row>
    <row r="698" ht="15.75" customHeight="1">
      <c r="S698" s="239"/>
      <c r="AE698" s="174"/>
      <c r="AF698" s="174"/>
      <c r="AG698" s="174"/>
    </row>
    <row r="699" ht="15.75" customHeight="1">
      <c r="S699" s="239"/>
      <c r="AE699" s="174"/>
      <c r="AF699" s="174"/>
      <c r="AG699" s="174"/>
    </row>
    <row r="700" ht="15.75" customHeight="1">
      <c r="S700" s="239"/>
      <c r="AE700" s="174"/>
      <c r="AF700" s="174"/>
      <c r="AG700" s="174"/>
    </row>
    <row r="701" ht="15.75" customHeight="1">
      <c r="S701" s="239"/>
      <c r="AE701" s="174"/>
      <c r="AF701" s="174"/>
      <c r="AG701" s="174"/>
    </row>
    <row r="702" ht="15.75" customHeight="1">
      <c r="S702" s="239"/>
      <c r="AE702" s="174"/>
      <c r="AF702" s="174"/>
      <c r="AG702" s="174"/>
    </row>
    <row r="703" ht="15.75" customHeight="1">
      <c r="S703" s="239"/>
      <c r="AE703" s="174"/>
      <c r="AF703" s="174"/>
      <c r="AG703" s="174"/>
    </row>
    <row r="704" ht="15.75" customHeight="1">
      <c r="S704" s="239"/>
      <c r="AE704" s="174"/>
      <c r="AF704" s="174"/>
      <c r="AG704" s="174"/>
    </row>
    <row r="705" ht="15.75" customHeight="1">
      <c r="S705" s="239"/>
      <c r="AE705" s="174"/>
      <c r="AF705" s="174"/>
      <c r="AG705" s="174"/>
    </row>
    <row r="706" ht="15.75" customHeight="1">
      <c r="S706" s="239"/>
      <c r="AE706" s="174"/>
      <c r="AF706" s="174"/>
      <c r="AG706" s="174"/>
    </row>
    <row r="707" ht="15.75" customHeight="1">
      <c r="S707" s="239"/>
      <c r="AE707" s="174"/>
      <c r="AF707" s="174"/>
      <c r="AG707" s="174"/>
    </row>
    <row r="708" ht="15.75" customHeight="1">
      <c r="S708" s="239"/>
      <c r="AE708" s="174"/>
      <c r="AF708" s="174"/>
      <c r="AG708" s="174"/>
    </row>
    <row r="709" ht="15.75" customHeight="1">
      <c r="S709" s="239"/>
      <c r="AE709" s="174"/>
      <c r="AF709" s="174"/>
      <c r="AG709" s="174"/>
    </row>
    <row r="710" ht="15.75" customHeight="1">
      <c r="S710" s="239"/>
      <c r="AE710" s="174"/>
      <c r="AF710" s="174"/>
      <c r="AG710" s="174"/>
    </row>
    <row r="711" ht="15.75" customHeight="1">
      <c r="S711" s="239"/>
      <c r="AE711" s="174"/>
      <c r="AF711" s="174"/>
      <c r="AG711" s="174"/>
    </row>
    <row r="712" ht="15.75" customHeight="1">
      <c r="S712" s="239"/>
      <c r="AE712" s="174"/>
      <c r="AF712" s="174"/>
      <c r="AG712" s="174"/>
    </row>
    <row r="713" ht="15.75" customHeight="1">
      <c r="S713" s="239"/>
      <c r="AE713" s="174"/>
      <c r="AF713" s="174"/>
      <c r="AG713" s="174"/>
    </row>
    <row r="714" ht="15.75" customHeight="1">
      <c r="S714" s="239"/>
      <c r="AE714" s="174"/>
      <c r="AF714" s="174"/>
      <c r="AG714" s="174"/>
    </row>
    <row r="715" ht="15.75" customHeight="1">
      <c r="S715" s="239"/>
      <c r="AE715" s="174"/>
      <c r="AF715" s="174"/>
      <c r="AG715" s="174"/>
    </row>
    <row r="716" ht="15.75" customHeight="1">
      <c r="S716" s="239"/>
      <c r="AE716" s="174"/>
      <c r="AF716" s="174"/>
      <c r="AG716" s="174"/>
    </row>
    <row r="717" ht="15.75" customHeight="1">
      <c r="S717" s="239"/>
      <c r="AE717" s="174"/>
      <c r="AF717" s="174"/>
      <c r="AG717" s="174"/>
    </row>
    <row r="718" ht="15.75" customHeight="1">
      <c r="S718" s="239"/>
      <c r="AE718" s="174"/>
      <c r="AF718" s="174"/>
      <c r="AG718" s="174"/>
    </row>
    <row r="719" ht="15.75" customHeight="1">
      <c r="S719" s="239"/>
      <c r="AE719" s="174"/>
      <c r="AF719" s="174"/>
      <c r="AG719" s="174"/>
    </row>
    <row r="720" ht="15.75" customHeight="1">
      <c r="S720" s="239"/>
      <c r="AE720" s="174"/>
      <c r="AF720" s="174"/>
      <c r="AG720" s="174"/>
    </row>
    <row r="721" ht="15.75" customHeight="1">
      <c r="S721" s="239"/>
      <c r="AE721" s="174"/>
      <c r="AF721" s="174"/>
      <c r="AG721" s="174"/>
    </row>
    <row r="722" ht="15.75" customHeight="1">
      <c r="S722" s="239"/>
      <c r="AE722" s="174"/>
      <c r="AF722" s="174"/>
      <c r="AG722" s="174"/>
    </row>
    <row r="723" ht="15.75" customHeight="1">
      <c r="S723" s="239"/>
      <c r="AE723" s="174"/>
      <c r="AF723" s="174"/>
      <c r="AG723" s="174"/>
    </row>
    <row r="724" ht="15.75" customHeight="1">
      <c r="S724" s="239"/>
      <c r="AE724" s="174"/>
      <c r="AF724" s="174"/>
      <c r="AG724" s="174"/>
    </row>
    <row r="725" ht="15.75" customHeight="1">
      <c r="S725" s="239"/>
      <c r="AE725" s="174"/>
      <c r="AF725" s="174"/>
      <c r="AG725" s="174"/>
    </row>
    <row r="726" ht="15.75" customHeight="1">
      <c r="S726" s="239"/>
      <c r="AE726" s="174"/>
      <c r="AF726" s="174"/>
      <c r="AG726" s="174"/>
    </row>
    <row r="727" ht="15.75" customHeight="1">
      <c r="S727" s="239"/>
      <c r="AE727" s="174"/>
      <c r="AF727" s="174"/>
      <c r="AG727" s="174"/>
    </row>
    <row r="728" ht="15.75" customHeight="1">
      <c r="S728" s="239"/>
      <c r="AE728" s="174"/>
      <c r="AF728" s="174"/>
      <c r="AG728" s="174"/>
    </row>
    <row r="729" ht="15.75" customHeight="1">
      <c r="S729" s="239"/>
      <c r="AE729" s="174"/>
      <c r="AF729" s="174"/>
      <c r="AG729" s="174"/>
    </row>
    <row r="730" ht="15.75" customHeight="1">
      <c r="S730" s="239"/>
      <c r="AE730" s="174"/>
      <c r="AF730" s="174"/>
      <c r="AG730" s="174"/>
    </row>
    <row r="731" ht="15.75" customHeight="1">
      <c r="S731" s="239"/>
      <c r="AE731" s="174"/>
      <c r="AF731" s="174"/>
      <c r="AG731" s="174"/>
    </row>
    <row r="732" ht="15.75" customHeight="1">
      <c r="S732" s="239"/>
      <c r="AE732" s="174"/>
      <c r="AF732" s="174"/>
      <c r="AG732" s="174"/>
    </row>
    <row r="733" ht="15.75" customHeight="1">
      <c r="S733" s="239"/>
      <c r="AE733" s="174"/>
      <c r="AF733" s="174"/>
      <c r="AG733" s="174"/>
    </row>
    <row r="734" ht="15.75" customHeight="1">
      <c r="S734" s="239"/>
      <c r="AE734" s="174"/>
      <c r="AF734" s="174"/>
      <c r="AG734" s="174"/>
    </row>
    <row r="735" ht="15.75" customHeight="1">
      <c r="S735" s="239"/>
      <c r="AE735" s="174"/>
      <c r="AF735" s="174"/>
      <c r="AG735" s="174"/>
    </row>
    <row r="736" ht="15.75" customHeight="1">
      <c r="S736" s="239"/>
      <c r="AE736" s="174"/>
      <c r="AF736" s="174"/>
      <c r="AG736" s="174"/>
    </row>
    <row r="737" ht="15.75" customHeight="1">
      <c r="S737" s="239"/>
      <c r="AE737" s="174"/>
      <c r="AF737" s="174"/>
      <c r="AG737" s="174"/>
    </row>
    <row r="738" ht="15.75" customHeight="1">
      <c r="S738" s="239"/>
      <c r="AE738" s="174"/>
      <c r="AF738" s="174"/>
      <c r="AG738" s="174"/>
    </row>
    <row r="739" ht="15.75" customHeight="1">
      <c r="S739" s="239"/>
      <c r="AE739" s="174"/>
      <c r="AF739" s="174"/>
      <c r="AG739" s="174"/>
    </row>
    <row r="740" ht="15.75" customHeight="1">
      <c r="S740" s="239"/>
      <c r="AE740" s="174"/>
      <c r="AF740" s="174"/>
      <c r="AG740" s="174"/>
    </row>
    <row r="741" ht="15.75" customHeight="1">
      <c r="S741" s="239"/>
      <c r="AE741" s="174"/>
      <c r="AF741" s="174"/>
      <c r="AG741" s="174"/>
    </row>
    <row r="742" ht="15.75" customHeight="1">
      <c r="S742" s="239"/>
      <c r="AE742" s="174"/>
      <c r="AF742" s="174"/>
      <c r="AG742" s="174"/>
    </row>
    <row r="743" ht="15.75" customHeight="1">
      <c r="S743" s="239"/>
      <c r="AE743" s="174"/>
      <c r="AF743" s="174"/>
      <c r="AG743" s="174"/>
    </row>
    <row r="744" ht="15.75" customHeight="1">
      <c r="S744" s="239"/>
      <c r="AE744" s="174"/>
      <c r="AF744" s="174"/>
      <c r="AG744" s="174"/>
    </row>
    <row r="745" ht="15.75" customHeight="1">
      <c r="S745" s="239"/>
      <c r="AE745" s="174"/>
      <c r="AF745" s="174"/>
      <c r="AG745" s="174"/>
    </row>
    <row r="746" ht="15.75" customHeight="1">
      <c r="S746" s="239"/>
      <c r="AE746" s="174"/>
      <c r="AF746" s="174"/>
      <c r="AG746" s="174"/>
    </row>
    <row r="747" ht="15.75" customHeight="1">
      <c r="S747" s="239"/>
      <c r="AE747" s="174"/>
      <c r="AF747" s="174"/>
      <c r="AG747" s="174"/>
    </row>
    <row r="748" ht="15.75" customHeight="1">
      <c r="S748" s="239"/>
      <c r="AE748" s="174"/>
      <c r="AF748" s="174"/>
      <c r="AG748" s="174"/>
    </row>
    <row r="749" ht="15.75" customHeight="1">
      <c r="S749" s="239"/>
      <c r="AE749" s="174"/>
      <c r="AF749" s="174"/>
      <c r="AG749" s="174"/>
    </row>
    <row r="750" ht="15.75" customHeight="1">
      <c r="S750" s="239"/>
      <c r="AE750" s="174"/>
      <c r="AF750" s="174"/>
      <c r="AG750" s="174"/>
    </row>
    <row r="751" ht="15.75" customHeight="1">
      <c r="S751" s="239"/>
      <c r="AE751" s="174"/>
      <c r="AF751" s="174"/>
      <c r="AG751" s="174"/>
    </row>
    <row r="752" ht="15.75" customHeight="1">
      <c r="S752" s="239"/>
      <c r="AE752" s="174"/>
      <c r="AF752" s="174"/>
      <c r="AG752" s="174"/>
    </row>
    <row r="753" ht="15.75" customHeight="1">
      <c r="S753" s="239"/>
      <c r="AE753" s="174"/>
      <c r="AF753" s="174"/>
      <c r="AG753" s="174"/>
    </row>
    <row r="754" ht="15.75" customHeight="1">
      <c r="S754" s="239"/>
      <c r="AE754" s="174"/>
      <c r="AF754" s="174"/>
      <c r="AG754" s="174"/>
    </row>
    <row r="755" ht="15.75" customHeight="1">
      <c r="S755" s="239"/>
      <c r="AE755" s="174"/>
      <c r="AF755" s="174"/>
      <c r="AG755" s="174"/>
    </row>
    <row r="756" ht="15.75" customHeight="1">
      <c r="S756" s="239"/>
      <c r="AE756" s="174"/>
      <c r="AF756" s="174"/>
      <c r="AG756" s="174"/>
    </row>
    <row r="757" ht="15.75" customHeight="1">
      <c r="S757" s="239"/>
      <c r="AE757" s="174"/>
      <c r="AF757" s="174"/>
      <c r="AG757" s="174"/>
    </row>
    <row r="758" ht="15.75" customHeight="1">
      <c r="S758" s="239"/>
      <c r="AE758" s="174"/>
      <c r="AF758" s="174"/>
      <c r="AG758" s="174"/>
    </row>
    <row r="759" ht="15.75" customHeight="1">
      <c r="S759" s="239"/>
      <c r="AE759" s="174"/>
      <c r="AF759" s="174"/>
      <c r="AG759" s="174"/>
    </row>
    <row r="760" ht="15.75" customHeight="1">
      <c r="S760" s="239"/>
      <c r="AE760" s="174"/>
      <c r="AF760" s="174"/>
      <c r="AG760" s="174"/>
    </row>
    <row r="761" ht="15.75" customHeight="1">
      <c r="S761" s="239"/>
      <c r="AE761" s="174"/>
      <c r="AF761" s="174"/>
      <c r="AG761" s="174"/>
    </row>
    <row r="762" ht="15.75" customHeight="1">
      <c r="S762" s="239"/>
      <c r="AE762" s="174"/>
      <c r="AF762" s="174"/>
      <c r="AG762" s="174"/>
    </row>
    <row r="763" ht="15.75" customHeight="1">
      <c r="S763" s="239"/>
      <c r="AE763" s="174"/>
      <c r="AF763" s="174"/>
      <c r="AG763" s="174"/>
    </row>
    <row r="764" ht="15.75" customHeight="1">
      <c r="S764" s="239"/>
      <c r="AE764" s="174"/>
      <c r="AF764" s="174"/>
      <c r="AG764" s="174"/>
    </row>
    <row r="765" ht="15.75" customHeight="1">
      <c r="S765" s="239"/>
      <c r="AE765" s="174"/>
      <c r="AF765" s="174"/>
      <c r="AG765" s="174"/>
    </row>
    <row r="766" ht="15.75" customHeight="1">
      <c r="S766" s="239"/>
      <c r="AE766" s="174"/>
      <c r="AF766" s="174"/>
      <c r="AG766" s="174"/>
    </row>
    <row r="767" ht="15.75" customHeight="1">
      <c r="S767" s="239"/>
      <c r="AE767" s="174"/>
      <c r="AF767" s="174"/>
      <c r="AG767" s="174"/>
    </row>
    <row r="768" ht="15.75" customHeight="1">
      <c r="S768" s="239"/>
      <c r="AE768" s="174"/>
      <c r="AF768" s="174"/>
      <c r="AG768" s="174"/>
    </row>
    <row r="769" ht="15.75" customHeight="1">
      <c r="S769" s="239"/>
      <c r="AE769" s="174"/>
      <c r="AF769" s="174"/>
      <c r="AG769" s="174"/>
    </row>
    <row r="770" ht="15.75" customHeight="1">
      <c r="S770" s="239"/>
      <c r="AE770" s="174"/>
      <c r="AF770" s="174"/>
      <c r="AG770" s="174"/>
    </row>
    <row r="771" ht="15.75" customHeight="1">
      <c r="S771" s="239"/>
      <c r="AE771" s="174"/>
      <c r="AF771" s="174"/>
      <c r="AG771" s="174"/>
    </row>
    <row r="772" ht="15.75" customHeight="1">
      <c r="S772" s="239"/>
      <c r="AE772" s="174"/>
      <c r="AF772" s="174"/>
      <c r="AG772" s="174"/>
    </row>
    <row r="773" ht="15.75" customHeight="1">
      <c r="S773" s="239"/>
      <c r="AE773" s="174"/>
      <c r="AF773" s="174"/>
      <c r="AG773" s="174"/>
    </row>
    <row r="774" ht="15.75" customHeight="1">
      <c r="S774" s="239"/>
      <c r="AE774" s="174"/>
      <c r="AF774" s="174"/>
      <c r="AG774" s="174"/>
    </row>
    <row r="775" ht="15.75" customHeight="1">
      <c r="S775" s="239"/>
      <c r="AE775" s="174"/>
      <c r="AF775" s="174"/>
      <c r="AG775" s="174"/>
    </row>
    <row r="776" ht="15.75" customHeight="1">
      <c r="S776" s="239"/>
      <c r="AE776" s="174"/>
      <c r="AF776" s="174"/>
      <c r="AG776" s="174"/>
    </row>
    <row r="777" ht="15.75" customHeight="1">
      <c r="S777" s="239"/>
      <c r="AE777" s="174"/>
      <c r="AF777" s="174"/>
      <c r="AG777" s="174"/>
    </row>
    <row r="778" ht="15.75" customHeight="1">
      <c r="S778" s="239"/>
      <c r="AE778" s="174"/>
      <c r="AF778" s="174"/>
      <c r="AG778" s="174"/>
    </row>
    <row r="779" ht="15.75" customHeight="1">
      <c r="S779" s="239"/>
      <c r="AE779" s="174"/>
      <c r="AF779" s="174"/>
      <c r="AG779" s="174"/>
    </row>
    <row r="780" ht="15.75" customHeight="1">
      <c r="S780" s="239"/>
      <c r="AE780" s="174"/>
      <c r="AF780" s="174"/>
      <c r="AG780" s="174"/>
    </row>
    <row r="781" ht="15.75" customHeight="1">
      <c r="S781" s="239"/>
      <c r="AE781" s="174"/>
      <c r="AF781" s="174"/>
      <c r="AG781" s="174"/>
    </row>
    <row r="782" ht="15.75" customHeight="1">
      <c r="S782" s="239"/>
      <c r="AE782" s="174"/>
      <c r="AF782" s="174"/>
      <c r="AG782" s="174"/>
    </row>
    <row r="783" ht="15.75" customHeight="1">
      <c r="S783" s="239"/>
      <c r="AE783" s="174"/>
      <c r="AF783" s="174"/>
      <c r="AG783" s="174"/>
    </row>
    <row r="784" ht="15.75" customHeight="1">
      <c r="S784" s="239"/>
      <c r="AE784" s="174"/>
      <c r="AF784" s="174"/>
      <c r="AG784" s="174"/>
    </row>
    <row r="785" ht="15.75" customHeight="1">
      <c r="S785" s="239"/>
      <c r="AE785" s="174"/>
      <c r="AF785" s="174"/>
      <c r="AG785" s="174"/>
    </row>
    <row r="786" ht="15.75" customHeight="1">
      <c r="S786" s="239"/>
      <c r="AE786" s="174"/>
      <c r="AF786" s="174"/>
      <c r="AG786" s="174"/>
    </row>
    <row r="787" ht="15.75" customHeight="1">
      <c r="S787" s="239"/>
      <c r="AE787" s="174"/>
      <c r="AF787" s="174"/>
      <c r="AG787" s="174"/>
    </row>
    <row r="788" ht="15.75" customHeight="1">
      <c r="S788" s="239"/>
      <c r="AE788" s="174"/>
      <c r="AF788" s="174"/>
      <c r="AG788" s="174"/>
    </row>
    <row r="789" ht="15.75" customHeight="1">
      <c r="S789" s="239"/>
      <c r="AE789" s="174"/>
      <c r="AF789" s="174"/>
      <c r="AG789" s="174"/>
    </row>
    <row r="790" ht="15.75" customHeight="1">
      <c r="S790" s="239"/>
      <c r="AE790" s="174"/>
      <c r="AF790" s="174"/>
      <c r="AG790" s="174"/>
    </row>
    <row r="791" ht="15.75" customHeight="1">
      <c r="S791" s="239"/>
      <c r="AE791" s="174"/>
      <c r="AF791" s="174"/>
      <c r="AG791" s="174"/>
    </row>
    <row r="792" ht="15.75" customHeight="1">
      <c r="S792" s="239"/>
      <c r="AE792" s="174"/>
      <c r="AF792" s="174"/>
      <c r="AG792" s="174"/>
    </row>
    <row r="793" ht="15.75" customHeight="1">
      <c r="S793" s="239"/>
      <c r="AE793" s="174"/>
      <c r="AF793" s="174"/>
      <c r="AG793" s="174"/>
    </row>
    <row r="794" ht="15.75" customHeight="1">
      <c r="S794" s="239"/>
      <c r="AE794" s="174"/>
      <c r="AF794" s="174"/>
      <c r="AG794" s="174"/>
    </row>
    <row r="795" ht="15.75" customHeight="1">
      <c r="S795" s="239"/>
      <c r="AE795" s="174"/>
      <c r="AF795" s="174"/>
      <c r="AG795" s="174"/>
    </row>
    <row r="796" ht="15.75" customHeight="1">
      <c r="S796" s="239"/>
      <c r="AE796" s="174"/>
      <c r="AF796" s="174"/>
      <c r="AG796" s="174"/>
    </row>
    <row r="797" ht="15.75" customHeight="1">
      <c r="S797" s="239"/>
      <c r="AE797" s="174"/>
      <c r="AF797" s="174"/>
      <c r="AG797" s="174"/>
    </row>
    <row r="798" ht="15.75" customHeight="1">
      <c r="S798" s="239"/>
      <c r="AE798" s="174"/>
      <c r="AF798" s="174"/>
      <c r="AG798" s="174"/>
    </row>
    <row r="799" ht="15.75" customHeight="1">
      <c r="S799" s="239"/>
      <c r="AE799" s="174"/>
      <c r="AF799" s="174"/>
      <c r="AG799" s="174"/>
    </row>
    <row r="800" ht="15.75" customHeight="1">
      <c r="S800" s="239"/>
      <c r="AE800" s="174"/>
      <c r="AF800" s="174"/>
      <c r="AG800" s="174"/>
    </row>
    <row r="801" ht="15.75" customHeight="1">
      <c r="S801" s="239"/>
      <c r="AE801" s="174"/>
      <c r="AF801" s="174"/>
      <c r="AG801" s="174"/>
    </row>
    <row r="802" ht="15.75" customHeight="1">
      <c r="S802" s="239"/>
      <c r="AE802" s="174"/>
      <c r="AF802" s="174"/>
      <c r="AG802" s="174"/>
    </row>
    <row r="803" ht="15.75" customHeight="1">
      <c r="S803" s="239"/>
      <c r="AE803" s="174"/>
      <c r="AF803" s="174"/>
      <c r="AG803" s="174"/>
    </row>
    <row r="804" ht="15.75" customHeight="1">
      <c r="S804" s="239"/>
      <c r="AE804" s="174"/>
      <c r="AF804" s="174"/>
      <c r="AG804" s="174"/>
    </row>
    <row r="805" ht="15.75" customHeight="1">
      <c r="S805" s="239"/>
      <c r="AE805" s="174"/>
      <c r="AF805" s="174"/>
      <c r="AG805" s="174"/>
    </row>
    <row r="806" ht="15.75" customHeight="1">
      <c r="S806" s="239"/>
      <c r="AE806" s="174"/>
      <c r="AF806" s="174"/>
      <c r="AG806" s="174"/>
    </row>
    <row r="807" ht="15.75" customHeight="1">
      <c r="S807" s="239"/>
      <c r="AE807" s="174"/>
      <c r="AF807" s="174"/>
      <c r="AG807" s="174"/>
    </row>
    <row r="808" ht="15.75" customHeight="1">
      <c r="S808" s="239"/>
      <c r="AE808" s="174"/>
      <c r="AF808" s="174"/>
      <c r="AG808" s="174"/>
    </row>
    <row r="809" ht="15.75" customHeight="1">
      <c r="S809" s="239"/>
      <c r="AE809" s="174"/>
      <c r="AF809" s="174"/>
      <c r="AG809" s="174"/>
    </row>
    <row r="810" ht="15.75" customHeight="1">
      <c r="S810" s="239"/>
      <c r="AE810" s="174"/>
      <c r="AF810" s="174"/>
      <c r="AG810" s="174"/>
    </row>
    <row r="811" ht="15.75" customHeight="1">
      <c r="S811" s="239"/>
      <c r="AE811" s="174"/>
      <c r="AF811" s="174"/>
      <c r="AG811" s="174"/>
    </row>
    <row r="812" ht="15.75" customHeight="1">
      <c r="S812" s="239"/>
      <c r="AE812" s="174"/>
      <c r="AF812" s="174"/>
      <c r="AG812" s="174"/>
    </row>
    <row r="813" ht="15.75" customHeight="1">
      <c r="S813" s="239"/>
      <c r="AE813" s="174"/>
      <c r="AF813" s="174"/>
      <c r="AG813" s="174"/>
    </row>
    <row r="814" ht="15.75" customHeight="1">
      <c r="S814" s="239"/>
      <c r="AE814" s="174"/>
      <c r="AF814" s="174"/>
      <c r="AG814" s="174"/>
    </row>
    <row r="815" ht="15.75" customHeight="1">
      <c r="S815" s="239"/>
      <c r="AE815" s="174"/>
      <c r="AF815" s="174"/>
      <c r="AG815" s="174"/>
    </row>
    <row r="816" ht="15.75" customHeight="1">
      <c r="S816" s="239"/>
      <c r="AE816" s="174"/>
      <c r="AF816" s="174"/>
      <c r="AG816" s="174"/>
    </row>
    <row r="817" ht="15.75" customHeight="1">
      <c r="S817" s="239"/>
      <c r="AE817" s="174"/>
      <c r="AF817" s="174"/>
      <c r="AG817" s="174"/>
    </row>
    <row r="818" ht="15.75" customHeight="1">
      <c r="S818" s="239"/>
      <c r="AE818" s="174"/>
      <c r="AF818" s="174"/>
      <c r="AG818" s="174"/>
    </row>
    <row r="819" ht="15.75" customHeight="1">
      <c r="S819" s="239"/>
      <c r="AE819" s="174"/>
      <c r="AF819" s="174"/>
      <c r="AG819" s="174"/>
    </row>
    <row r="820" ht="15.75" customHeight="1">
      <c r="S820" s="239"/>
      <c r="AE820" s="174"/>
      <c r="AF820" s="174"/>
      <c r="AG820" s="174"/>
    </row>
    <row r="821" ht="15.75" customHeight="1">
      <c r="S821" s="239"/>
      <c r="AE821" s="174"/>
      <c r="AF821" s="174"/>
      <c r="AG821" s="174"/>
    </row>
    <row r="822" ht="15.75" customHeight="1">
      <c r="S822" s="239"/>
      <c r="AE822" s="174"/>
      <c r="AF822" s="174"/>
      <c r="AG822" s="174"/>
    </row>
    <row r="823" ht="15.75" customHeight="1">
      <c r="S823" s="239"/>
      <c r="AE823" s="174"/>
      <c r="AF823" s="174"/>
      <c r="AG823" s="174"/>
    </row>
    <row r="824" ht="15.75" customHeight="1">
      <c r="S824" s="239"/>
      <c r="AE824" s="174"/>
      <c r="AF824" s="174"/>
      <c r="AG824" s="174"/>
    </row>
    <row r="825" ht="15.75" customHeight="1">
      <c r="S825" s="239"/>
      <c r="AE825" s="174"/>
      <c r="AF825" s="174"/>
      <c r="AG825" s="174"/>
    </row>
    <row r="826" ht="15.75" customHeight="1">
      <c r="S826" s="239"/>
      <c r="AE826" s="174"/>
      <c r="AF826" s="174"/>
      <c r="AG826" s="174"/>
    </row>
    <row r="827" ht="15.75" customHeight="1">
      <c r="S827" s="239"/>
      <c r="AE827" s="174"/>
      <c r="AF827" s="174"/>
      <c r="AG827" s="174"/>
    </row>
    <row r="828" ht="15.75" customHeight="1">
      <c r="S828" s="239"/>
      <c r="AE828" s="174"/>
      <c r="AF828" s="174"/>
      <c r="AG828" s="174"/>
    </row>
    <row r="829" ht="15.75" customHeight="1">
      <c r="S829" s="239"/>
      <c r="AE829" s="174"/>
      <c r="AF829" s="174"/>
      <c r="AG829" s="174"/>
    </row>
    <row r="830" ht="15.75" customHeight="1">
      <c r="S830" s="239"/>
      <c r="AE830" s="174"/>
      <c r="AF830" s="174"/>
      <c r="AG830" s="174"/>
    </row>
    <row r="831" ht="15.75" customHeight="1">
      <c r="S831" s="239"/>
      <c r="AE831" s="174"/>
      <c r="AF831" s="174"/>
      <c r="AG831" s="174"/>
    </row>
    <row r="832" ht="15.75" customHeight="1">
      <c r="S832" s="239"/>
      <c r="AE832" s="174"/>
      <c r="AF832" s="174"/>
      <c r="AG832" s="174"/>
    </row>
    <row r="833" ht="15.75" customHeight="1">
      <c r="S833" s="239"/>
      <c r="AE833" s="174"/>
      <c r="AF833" s="174"/>
      <c r="AG833" s="174"/>
    </row>
    <row r="834" ht="15.75" customHeight="1">
      <c r="S834" s="239"/>
      <c r="AE834" s="174"/>
      <c r="AF834" s="174"/>
      <c r="AG834" s="174"/>
    </row>
    <row r="835" ht="15.75" customHeight="1">
      <c r="S835" s="239"/>
      <c r="AE835" s="174"/>
      <c r="AF835" s="174"/>
      <c r="AG835" s="174"/>
    </row>
    <row r="836" ht="15.75" customHeight="1">
      <c r="S836" s="239"/>
      <c r="AE836" s="174"/>
      <c r="AF836" s="174"/>
      <c r="AG836" s="174"/>
    </row>
    <row r="837" ht="15.75" customHeight="1">
      <c r="S837" s="239"/>
      <c r="AE837" s="174"/>
      <c r="AF837" s="174"/>
      <c r="AG837" s="174"/>
    </row>
    <row r="838" ht="15.75" customHeight="1">
      <c r="S838" s="239"/>
      <c r="AE838" s="174"/>
      <c r="AF838" s="174"/>
      <c r="AG838" s="174"/>
    </row>
    <row r="839" ht="15.75" customHeight="1">
      <c r="S839" s="239"/>
      <c r="AE839" s="174"/>
      <c r="AF839" s="174"/>
      <c r="AG839" s="174"/>
    </row>
    <row r="840" ht="15.75" customHeight="1">
      <c r="S840" s="239"/>
      <c r="AE840" s="174"/>
      <c r="AF840" s="174"/>
      <c r="AG840" s="174"/>
    </row>
    <row r="841" ht="15.75" customHeight="1">
      <c r="S841" s="239"/>
      <c r="AE841" s="174"/>
      <c r="AF841" s="174"/>
      <c r="AG841" s="174"/>
    </row>
    <row r="842" ht="15.75" customHeight="1">
      <c r="S842" s="239"/>
      <c r="AE842" s="174"/>
      <c r="AF842" s="174"/>
      <c r="AG842" s="174"/>
    </row>
    <row r="843" ht="15.75" customHeight="1">
      <c r="S843" s="239"/>
      <c r="AE843" s="174"/>
      <c r="AF843" s="174"/>
      <c r="AG843" s="174"/>
    </row>
    <row r="844" ht="15.75" customHeight="1">
      <c r="S844" s="239"/>
      <c r="AE844" s="174"/>
      <c r="AF844" s="174"/>
      <c r="AG844" s="174"/>
    </row>
    <row r="845" ht="15.75" customHeight="1">
      <c r="S845" s="239"/>
      <c r="AE845" s="174"/>
      <c r="AF845" s="174"/>
      <c r="AG845" s="174"/>
    </row>
    <row r="846" ht="15.75" customHeight="1">
      <c r="S846" s="239"/>
      <c r="AE846" s="174"/>
      <c r="AF846" s="174"/>
      <c r="AG846" s="174"/>
    </row>
    <row r="847" ht="15.75" customHeight="1">
      <c r="S847" s="239"/>
      <c r="AE847" s="174"/>
      <c r="AF847" s="174"/>
      <c r="AG847" s="174"/>
    </row>
    <row r="848" ht="15.75" customHeight="1">
      <c r="S848" s="239"/>
      <c r="AE848" s="174"/>
      <c r="AF848" s="174"/>
      <c r="AG848" s="174"/>
    </row>
    <row r="849" ht="15.75" customHeight="1">
      <c r="S849" s="239"/>
      <c r="AE849" s="174"/>
      <c r="AF849" s="174"/>
      <c r="AG849" s="174"/>
    </row>
    <row r="850" ht="15.75" customHeight="1">
      <c r="S850" s="239"/>
      <c r="AE850" s="174"/>
      <c r="AF850" s="174"/>
      <c r="AG850" s="174"/>
    </row>
    <row r="851" ht="15.75" customHeight="1">
      <c r="S851" s="239"/>
      <c r="AE851" s="174"/>
      <c r="AF851" s="174"/>
      <c r="AG851" s="174"/>
    </row>
    <row r="852" ht="15.75" customHeight="1">
      <c r="S852" s="239"/>
      <c r="AE852" s="174"/>
      <c r="AF852" s="174"/>
      <c r="AG852" s="174"/>
    </row>
    <row r="853" ht="15.75" customHeight="1">
      <c r="S853" s="239"/>
      <c r="AE853" s="174"/>
      <c r="AF853" s="174"/>
      <c r="AG853" s="174"/>
    </row>
    <row r="854" ht="15.75" customHeight="1">
      <c r="S854" s="239"/>
      <c r="AE854" s="174"/>
      <c r="AF854" s="174"/>
      <c r="AG854" s="174"/>
    </row>
    <row r="855" ht="15.75" customHeight="1">
      <c r="S855" s="239"/>
      <c r="AE855" s="174"/>
      <c r="AF855" s="174"/>
      <c r="AG855" s="174"/>
    </row>
    <row r="856" ht="15.75" customHeight="1">
      <c r="S856" s="239"/>
      <c r="AE856" s="174"/>
      <c r="AF856" s="174"/>
      <c r="AG856" s="174"/>
    </row>
    <row r="857" ht="15.75" customHeight="1">
      <c r="S857" s="239"/>
      <c r="AE857" s="174"/>
      <c r="AF857" s="174"/>
      <c r="AG857" s="174"/>
    </row>
    <row r="858" ht="15.75" customHeight="1">
      <c r="S858" s="239"/>
      <c r="AE858" s="174"/>
      <c r="AF858" s="174"/>
      <c r="AG858" s="174"/>
    </row>
    <row r="859" ht="15.75" customHeight="1">
      <c r="S859" s="239"/>
      <c r="AE859" s="174"/>
      <c r="AF859" s="174"/>
      <c r="AG859" s="174"/>
    </row>
    <row r="860" ht="15.75" customHeight="1">
      <c r="S860" s="239"/>
      <c r="AE860" s="174"/>
      <c r="AF860" s="174"/>
      <c r="AG860" s="174"/>
    </row>
    <row r="861" ht="15.75" customHeight="1">
      <c r="S861" s="239"/>
      <c r="AE861" s="174"/>
      <c r="AF861" s="174"/>
      <c r="AG861" s="174"/>
    </row>
    <row r="862" ht="15.75" customHeight="1">
      <c r="S862" s="239"/>
      <c r="AE862" s="174"/>
      <c r="AF862" s="174"/>
      <c r="AG862" s="174"/>
    </row>
    <row r="863" ht="15.75" customHeight="1">
      <c r="S863" s="239"/>
      <c r="AE863" s="174"/>
      <c r="AF863" s="174"/>
      <c r="AG863" s="174"/>
    </row>
    <row r="864" ht="15.75" customHeight="1">
      <c r="S864" s="239"/>
      <c r="AE864" s="174"/>
      <c r="AF864" s="174"/>
      <c r="AG864" s="174"/>
    </row>
    <row r="865" ht="15.75" customHeight="1">
      <c r="S865" s="239"/>
      <c r="AE865" s="174"/>
      <c r="AF865" s="174"/>
      <c r="AG865" s="174"/>
    </row>
    <row r="866" ht="15.75" customHeight="1">
      <c r="S866" s="239"/>
      <c r="AE866" s="174"/>
      <c r="AF866" s="174"/>
      <c r="AG866" s="174"/>
    </row>
    <row r="867" ht="15.75" customHeight="1">
      <c r="S867" s="239"/>
      <c r="AE867" s="174"/>
      <c r="AF867" s="174"/>
      <c r="AG867" s="174"/>
    </row>
    <row r="868" ht="15.75" customHeight="1">
      <c r="S868" s="239"/>
      <c r="AE868" s="174"/>
      <c r="AF868" s="174"/>
      <c r="AG868" s="174"/>
    </row>
    <row r="869" ht="15.75" customHeight="1">
      <c r="S869" s="239"/>
      <c r="AE869" s="174"/>
      <c r="AF869" s="174"/>
      <c r="AG869" s="174"/>
    </row>
    <row r="870" ht="15.75" customHeight="1">
      <c r="S870" s="239"/>
      <c r="AE870" s="174"/>
      <c r="AF870" s="174"/>
      <c r="AG870" s="174"/>
    </row>
    <row r="871" ht="15.75" customHeight="1">
      <c r="S871" s="239"/>
      <c r="AE871" s="174"/>
      <c r="AF871" s="174"/>
      <c r="AG871" s="174"/>
    </row>
    <row r="872" ht="15.75" customHeight="1">
      <c r="S872" s="239"/>
      <c r="AE872" s="174"/>
      <c r="AF872" s="174"/>
      <c r="AG872" s="174"/>
    </row>
    <row r="873" ht="15.75" customHeight="1">
      <c r="S873" s="239"/>
      <c r="AE873" s="174"/>
      <c r="AF873" s="174"/>
      <c r="AG873" s="174"/>
    </row>
    <row r="874" ht="15.75" customHeight="1">
      <c r="S874" s="239"/>
      <c r="AE874" s="174"/>
      <c r="AF874" s="174"/>
      <c r="AG874" s="174"/>
    </row>
    <row r="875" ht="15.75" customHeight="1">
      <c r="S875" s="239"/>
      <c r="AE875" s="174"/>
      <c r="AF875" s="174"/>
      <c r="AG875" s="174"/>
    </row>
    <row r="876" ht="15.75" customHeight="1">
      <c r="S876" s="239"/>
      <c r="AE876" s="174"/>
      <c r="AF876" s="174"/>
      <c r="AG876" s="174"/>
    </row>
    <row r="877" ht="15.75" customHeight="1">
      <c r="S877" s="239"/>
      <c r="AE877" s="174"/>
      <c r="AF877" s="174"/>
      <c r="AG877" s="174"/>
    </row>
    <row r="878" ht="15.75" customHeight="1">
      <c r="S878" s="239"/>
      <c r="AE878" s="174"/>
      <c r="AF878" s="174"/>
      <c r="AG878" s="174"/>
    </row>
    <row r="879" ht="15.75" customHeight="1">
      <c r="S879" s="239"/>
      <c r="AE879" s="174"/>
      <c r="AF879" s="174"/>
      <c r="AG879" s="174"/>
    </row>
    <row r="880" ht="15.75" customHeight="1">
      <c r="S880" s="239"/>
      <c r="AE880" s="174"/>
      <c r="AF880" s="174"/>
      <c r="AG880" s="174"/>
    </row>
    <row r="881" ht="15.75" customHeight="1">
      <c r="S881" s="239"/>
      <c r="AE881" s="174"/>
      <c r="AF881" s="174"/>
      <c r="AG881" s="174"/>
    </row>
    <row r="882" ht="15.75" customHeight="1">
      <c r="S882" s="239"/>
      <c r="AE882" s="174"/>
      <c r="AF882" s="174"/>
      <c r="AG882" s="174"/>
    </row>
    <row r="883" ht="15.75" customHeight="1">
      <c r="S883" s="239"/>
      <c r="AE883" s="174"/>
      <c r="AF883" s="174"/>
      <c r="AG883" s="174"/>
    </row>
    <row r="884" ht="15.75" customHeight="1">
      <c r="S884" s="239"/>
      <c r="AE884" s="174"/>
      <c r="AF884" s="174"/>
      <c r="AG884" s="174"/>
    </row>
    <row r="885" ht="15.75" customHeight="1">
      <c r="S885" s="239"/>
      <c r="AE885" s="174"/>
      <c r="AF885" s="174"/>
      <c r="AG885" s="174"/>
    </row>
    <row r="886" ht="15.75" customHeight="1">
      <c r="S886" s="239"/>
      <c r="AE886" s="174"/>
      <c r="AF886" s="174"/>
      <c r="AG886" s="174"/>
    </row>
    <row r="887" ht="15.75" customHeight="1">
      <c r="S887" s="239"/>
      <c r="AE887" s="174"/>
      <c r="AF887" s="174"/>
      <c r="AG887" s="174"/>
    </row>
    <row r="888" ht="15.75" customHeight="1">
      <c r="S888" s="239"/>
      <c r="AE888" s="174"/>
      <c r="AF888" s="174"/>
      <c r="AG888" s="174"/>
    </row>
    <row r="889" ht="15.75" customHeight="1">
      <c r="S889" s="239"/>
      <c r="AE889" s="174"/>
      <c r="AF889" s="174"/>
      <c r="AG889" s="174"/>
    </row>
    <row r="890" ht="15.75" customHeight="1">
      <c r="S890" s="239"/>
      <c r="AE890" s="174"/>
      <c r="AF890" s="174"/>
      <c r="AG890" s="174"/>
    </row>
    <row r="891" ht="15.75" customHeight="1">
      <c r="S891" s="239"/>
      <c r="AE891" s="174"/>
      <c r="AF891" s="174"/>
      <c r="AG891" s="174"/>
    </row>
    <row r="892" ht="15.75" customHeight="1">
      <c r="S892" s="239"/>
      <c r="AE892" s="174"/>
      <c r="AF892" s="174"/>
      <c r="AG892" s="174"/>
    </row>
    <row r="893" ht="15.75" customHeight="1">
      <c r="S893" s="239"/>
      <c r="AE893" s="174"/>
      <c r="AF893" s="174"/>
      <c r="AG893" s="174"/>
    </row>
    <row r="894" ht="15.75" customHeight="1">
      <c r="S894" s="239"/>
      <c r="AE894" s="174"/>
      <c r="AF894" s="174"/>
      <c r="AG894" s="174"/>
    </row>
    <row r="895" ht="15.75" customHeight="1">
      <c r="S895" s="239"/>
      <c r="AE895" s="174"/>
      <c r="AF895" s="174"/>
      <c r="AG895" s="174"/>
    </row>
    <row r="896" ht="15.75" customHeight="1">
      <c r="S896" s="239"/>
      <c r="AE896" s="174"/>
      <c r="AF896" s="174"/>
      <c r="AG896" s="174"/>
    </row>
    <row r="897" ht="15.75" customHeight="1">
      <c r="S897" s="239"/>
      <c r="AE897" s="174"/>
      <c r="AF897" s="174"/>
      <c r="AG897" s="174"/>
    </row>
    <row r="898" ht="15.75" customHeight="1">
      <c r="S898" s="239"/>
      <c r="AE898" s="174"/>
      <c r="AF898" s="174"/>
      <c r="AG898" s="174"/>
    </row>
    <row r="899" ht="15.75" customHeight="1">
      <c r="S899" s="239"/>
      <c r="AE899" s="174"/>
      <c r="AF899" s="174"/>
      <c r="AG899" s="174"/>
    </row>
    <row r="900" ht="15.75" customHeight="1">
      <c r="S900" s="239"/>
      <c r="AE900" s="174"/>
      <c r="AF900" s="174"/>
      <c r="AG900" s="174"/>
    </row>
    <row r="901" ht="15.75" customHeight="1">
      <c r="S901" s="239"/>
      <c r="AE901" s="174"/>
      <c r="AF901" s="174"/>
      <c r="AG901" s="174"/>
    </row>
    <row r="902" ht="15.75" customHeight="1">
      <c r="S902" s="239"/>
      <c r="AE902" s="174"/>
      <c r="AF902" s="174"/>
      <c r="AG902" s="174"/>
    </row>
    <row r="903" ht="15.75" customHeight="1">
      <c r="S903" s="239"/>
      <c r="AE903" s="174"/>
      <c r="AF903" s="174"/>
      <c r="AG903" s="174"/>
    </row>
    <row r="904" ht="15.75" customHeight="1">
      <c r="S904" s="239"/>
      <c r="AE904" s="174"/>
      <c r="AF904" s="174"/>
      <c r="AG904" s="174"/>
    </row>
    <row r="905" ht="15.75" customHeight="1">
      <c r="S905" s="239"/>
      <c r="AE905" s="174"/>
      <c r="AF905" s="174"/>
      <c r="AG905" s="174"/>
    </row>
    <row r="906" ht="15.75" customHeight="1">
      <c r="S906" s="239"/>
      <c r="AE906" s="174"/>
      <c r="AF906" s="174"/>
      <c r="AG906" s="174"/>
    </row>
    <row r="907" ht="15.75" customHeight="1">
      <c r="S907" s="239"/>
      <c r="AE907" s="174"/>
      <c r="AF907" s="174"/>
      <c r="AG907" s="174"/>
    </row>
    <row r="908" ht="15.75" customHeight="1">
      <c r="S908" s="239"/>
      <c r="AE908" s="174"/>
      <c r="AF908" s="174"/>
      <c r="AG908" s="174"/>
    </row>
    <row r="909" ht="15.75" customHeight="1">
      <c r="S909" s="239"/>
      <c r="AE909" s="174"/>
      <c r="AF909" s="174"/>
      <c r="AG909" s="174"/>
    </row>
    <row r="910" ht="15.75" customHeight="1">
      <c r="S910" s="239"/>
      <c r="AE910" s="174"/>
      <c r="AF910" s="174"/>
      <c r="AG910" s="174"/>
    </row>
    <row r="911" ht="15.75" customHeight="1">
      <c r="S911" s="239"/>
      <c r="AE911" s="174"/>
      <c r="AF911" s="174"/>
      <c r="AG911" s="174"/>
    </row>
    <row r="912" ht="15.75" customHeight="1">
      <c r="S912" s="239"/>
      <c r="AE912" s="174"/>
      <c r="AF912" s="174"/>
      <c r="AG912" s="174"/>
    </row>
    <row r="913" ht="15.75" customHeight="1">
      <c r="S913" s="239"/>
      <c r="AE913" s="174"/>
      <c r="AF913" s="174"/>
      <c r="AG913" s="174"/>
    </row>
    <row r="914" ht="15.75" customHeight="1">
      <c r="S914" s="239"/>
      <c r="AE914" s="174"/>
      <c r="AF914" s="174"/>
      <c r="AG914" s="174"/>
    </row>
    <row r="915" ht="15.75" customHeight="1">
      <c r="S915" s="239"/>
      <c r="AE915" s="174"/>
      <c r="AF915" s="174"/>
      <c r="AG915" s="174"/>
    </row>
    <row r="916" ht="15.75" customHeight="1">
      <c r="S916" s="239"/>
      <c r="AE916" s="174"/>
      <c r="AF916" s="174"/>
      <c r="AG916" s="174"/>
    </row>
    <row r="917" ht="15.75" customHeight="1">
      <c r="S917" s="239"/>
      <c r="AE917" s="174"/>
      <c r="AF917" s="174"/>
      <c r="AG917" s="174"/>
    </row>
    <row r="918" ht="15.75" customHeight="1">
      <c r="S918" s="239"/>
      <c r="AE918" s="174"/>
      <c r="AF918" s="174"/>
      <c r="AG918" s="174"/>
    </row>
    <row r="919" ht="15.75" customHeight="1">
      <c r="S919" s="239"/>
      <c r="AE919" s="174"/>
      <c r="AF919" s="174"/>
      <c r="AG919" s="174"/>
    </row>
    <row r="920" ht="15.75" customHeight="1">
      <c r="S920" s="239"/>
      <c r="AE920" s="174"/>
      <c r="AF920" s="174"/>
      <c r="AG920" s="174"/>
    </row>
    <row r="921" ht="15.75" customHeight="1">
      <c r="S921" s="239"/>
      <c r="AE921" s="174"/>
      <c r="AF921" s="174"/>
      <c r="AG921" s="174"/>
    </row>
    <row r="922" ht="15.75" customHeight="1">
      <c r="S922" s="239"/>
      <c r="AE922" s="174"/>
      <c r="AF922" s="174"/>
      <c r="AG922" s="174"/>
    </row>
    <row r="923" ht="15.75" customHeight="1">
      <c r="S923" s="239"/>
      <c r="AE923" s="174"/>
      <c r="AF923" s="174"/>
      <c r="AG923" s="174"/>
    </row>
    <row r="924" ht="15.75" customHeight="1">
      <c r="S924" s="239"/>
      <c r="AE924" s="174"/>
      <c r="AF924" s="174"/>
      <c r="AG924" s="174"/>
    </row>
    <row r="925" ht="15.75" customHeight="1">
      <c r="S925" s="239"/>
      <c r="AE925" s="174"/>
      <c r="AF925" s="174"/>
      <c r="AG925" s="174"/>
    </row>
    <row r="926" ht="15.75" customHeight="1">
      <c r="S926" s="239"/>
      <c r="AE926" s="174"/>
      <c r="AF926" s="174"/>
      <c r="AG926" s="174"/>
    </row>
    <row r="927" ht="15.75" customHeight="1">
      <c r="S927" s="239"/>
      <c r="AE927" s="174"/>
      <c r="AF927" s="174"/>
      <c r="AG927" s="174"/>
    </row>
    <row r="928" ht="15.75" customHeight="1">
      <c r="S928" s="239"/>
      <c r="AE928" s="174"/>
      <c r="AF928" s="174"/>
      <c r="AG928" s="174"/>
    </row>
    <row r="929" ht="15.75" customHeight="1">
      <c r="S929" s="239"/>
      <c r="AE929" s="174"/>
      <c r="AF929" s="174"/>
      <c r="AG929" s="174"/>
    </row>
    <row r="930" ht="15.75" customHeight="1">
      <c r="S930" s="239"/>
      <c r="AE930" s="174"/>
      <c r="AF930" s="174"/>
      <c r="AG930" s="174"/>
    </row>
    <row r="931" ht="15.75" customHeight="1">
      <c r="S931" s="239"/>
      <c r="AE931" s="174"/>
      <c r="AF931" s="174"/>
      <c r="AG931" s="174"/>
    </row>
    <row r="932" ht="15.75" customHeight="1">
      <c r="S932" s="239"/>
      <c r="AE932" s="174"/>
      <c r="AF932" s="174"/>
      <c r="AG932" s="174"/>
    </row>
    <row r="933" ht="15.75" customHeight="1">
      <c r="S933" s="239"/>
      <c r="AE933" s="174"/>
      <c r="AF933" s="174"/>
      <c r="AG933" s="174"/>
    </row>
    <row r="934" ht="15.75" customHeight="1">
      <c r="S934" s="239"/>
      <c r="AE934" s="174"/>
      <c r="AF934" s="174"/>
      <c r="AG934" s="174"/>
    </row>
    <row r="935" ht="15.75" customHeight="1">
      <c r="S935" s="239"/>
      <c r="AE935" s="174"/>
      <c r="AF935" s="174"/>
      <c r="AG935" s="174"/>
    </row>
    <row r="936" ht="15.75" customHeight="1">
      <c r="S936" s="239"/>
      <c r="AE936" s="174"/>
      <c r="AF936" s="174"/>
      <c r="AG936" s="174"/>
    </row>
    <row r="937" ht="15.75" customHeight="1">
      <c r="S937" s="239"/>
      <c r="AE937" s="174"/>
      <c r="AF937" s="174"/>
      <c r="AG937" s="174"/>
    </row>
    <row r="938" ht="15.75" customHeight="1">
      <c r="S938" s="239"/>
      <c r="AE938" s="174"/>
      <c r="AF938" s="174"/>
      <c r="AG938" s="174"/>
    </row>
    <row r="939" ht="15.75" customHeight="1">
      <c r="S939" s="239"/>
      <c r="AE939" s="174"/>
      <c r="AF939" s="174"/>
      <c r="AG939" s="174"/>
    </row>
    <row r="940" ht="15.75" customHeight="1">
      <c r="S940" s="239"/>
      <c r="AE940" s="174"/>
      <c r="AF940" s="174"/>
      <c r="AG940" s="174"/>
    </row>
    <row r="941" ht="15.75" customHeight="1">
      <c r="S941" s="239"/>
      <c r="AE941" s="174"/>
      <c r="AF941" s="174"/>
      <c r="AG941" s="174"/>
    </row>
    <row r="942" ht="15.75" customHeight="1">
      <c r="S942" s="239"/>
      <c r="AE942" s="174"/>
      <c r="AF942" s="174"/>
      <c r="AG942" s="174"/>
    </row>
    <row r="943" ht="15.75" customHeight="1">
      <c r="S943" s="239"/>
      <c r="AE943" s="174"/>
      <c r="AF943" s="174"/>
      <c r="AG943" s="174"/>
    </row>
    <row r="944" ht="15.75" customHeight="1">
      <c r="S944" s="239"/>
      <c r="AE944" s="174"/>
      <c r="AF944" s="174"/>
      <c r="AG944" s="174"/>
    </row>
    <row r="945" ht="15.75" customHeight="1">
      <c r="S945" s="239"/>
      <c r="AE945" s="174"/>
      <c r="AF945" s="174"/>
      <c r="AG945" s="174"/>
    </row>
    <row r="946" ht="15.75" customHeight="1">
      <c r="S946" s="239"/>
      <c r="AE946" s="174"/>
      <c r="AF946" s="174"/>
      <c r="AG946" s="174"/>
    </row>
    <row r="947" ht="15.75" customHeight="1">
      <c r="S947" s="239"/>
      <c r="AE947" s="174"/>
      <c r="AF947" s="174"/>
      <c r="AG947" s="174"/>
    </row>
    <row r="948" ht="15.75" customHeight="1">
      <c r="S948" s="239"/>
      <c r="AE948" s="174"/>
      <c r="AF948" s="174"/>
      <c r="AG948" s="174"/>
    </row>
    <row r="949" ht="15.75" customHeight="1">
      <c r="S949" s="239"/>
      <c r="AE949" s="174"/>
      <c r="AF949" s="174"/>
      <c r="AG949" s="174"/>
    </row>
    <row r="950" ht="15.75" customHeight="1">
      <c r="S950" s="239"/>
      <c r="AE950" s="174"/>
      <c r="AF950" s="174"/>
      <c r="AG950" s="174"/>
    </row>
    <row r="951" ht="15.75" customHeight="1">
      <c r="S951" s="239"/>
      <c r="AE951" s="174"/>
      <c r="AF951" s="174"/>
      <c r="AG951" s="174"/>
    </row>
    <row r="952" ht="15.75" customHeight="1">
      <c r="S952" s="239"/>
      <c r="AE952" s="174"/>
      <c r="AF952" s="174"/>
      <c r="AG952" s="174"/>
    </row>
    <row r="953" ht="15.75" customHeight="1">
      <c r="S953" s="239"/>
      <c r="AE953" s="174"/>
      <c r="AF953" s="174"/>
      <c r="AG953" s="174"/>
    </row>
    <row r="954" ht="15.75" customHeight="1">
      <c r="S954" s="239"/>
      <c r="AE954" s="174"/>
      <c r="AF954" s="174"/>
      <c r="AG954" s="174"/>
    </row>
    <row r="955" ht="15.75" customHeight="1">
      <c r="S955" s="239"/>
      <c r="AE955" s="174"/>
      <c r="AF955" s="174"/>
      <c r="AG955" s="174"/>
    </row>
    <row r="956" ht="15.75" customHeight="1">
      <c r="S956" s="239"/>
      <c r="AE956" s="174"/>
      <c r="AF956" s="174"/>
      <c r="AG956" s="174"/>
    </row>
    <row r="957" ht="15.75" customHeight="1">
      <c r="S957" s="239"/>
      <c r="AE957" s="174"/>
      <c r="AF957" s="174"/>
      <c r="AG957" s="174"/>
    </row>
    <row r="958" ht="15.75" customHeight="1">
      <c r="S958" s="239"/>
      <c r="AE958" s="174"/>
      <c r="AF958" s="174"/>
      <c r="AG958" s="174"/>
    </row>
    <row r="959" ht="15.75" customHeight="1">
      <c r="S959" s="239"/>
      <c r="AE959" s="174"/>
      <c r="AF959" s="174"/>
      <c r="AG959" s="174"/>
    </row>
    <row r="960" ht="15.75" customHeight="1">
      <c r="S960" s="239"/>
      <c r="AE960" s="174"/>
      <c r="AF960" s="174"/>
      <c r="AG960" s="174"/>
    </row>
    <row r="961" ht="15.75" customHeight="1">
      <c r="S961" s="239"/>
      <c r="AE961" s="174"/>
      <c r="AF961" s="174"/>
      <c r="AG961" s="174"/>
    </row>
    <row r="962" ht="15.75" customHeight="1">
      <c r="S962" s="239"/>
      <c r="AE962" s="174"/>
      <c r="AF962" s="174"/>
      <c r="AG962" s="174"/>
    </row>
    <row r="963" ht="15.75" customHeight="1">
      <c r="S963" s="239"/>
      <c r="AE963" s="174"/>
      <c r="AF963" s="174"/>
      <c r="AG963" s="174"/>
    </row>
    <row r="964" ht="15.75" customHeight="1">
      <c r="S964" s="239"/>
      <c r="AE964" s="174"/>
      <c r="AF964" s="174"/>
      <c r="AG964" s="174"/>
    </row>
    <row r="965" ht="15.75" customHeight="1">
      <c r="S965" s="239"/>
      <c r="AE965" s="174"/>
      <c r="AF965" s="174"/>
      <c r="AG965" s="174"/>
    </row>
    <row r="966" ht="15.75" customHeight="1">
      <c r="S966" s="239"/>
      <c r="AE966" s="174"/>
      <c r="AF966" s="174"/>
      <c r="AG966" s="174"/>
    </row>
    <row r="967" ht="15.75" customHeight="1">
      <c r="S967" s="239"/>
      <c r="AE967" s="174"/>
      <c r="AF967" s="174"/>
      <c r="AG967" s="174"/>
    </row>
    <row r="968" ht="15.75" customHeight="1">
      <c r="S968" s="239"/>
      <c r="AE968" s="174"/>
      <c r="AF968" s="174"/>
      <c r="AG968" s="174"/>
    </row>
    <row r="969" ht="15.75" customHeight="1">
      <c r="S969" s="239"/>
      <c r="AE969" s="174"/>
      <c r="AF969" s="174"/>
      <c r="AG969" s="174"/>
    </row>
    <row r="970" ht="15.75" customHeight="1">
      <c r="S970" s="239"/>
      <c r="AE970" s="174"/>
      <c r="AF970" s="174"/>
      <c r="AG970" s="174"/>
    </row>
    <row r="971" ht="15.75" customHeight="1">
      <c r="S971" s="239"/>
      <c r="AE971" s="174"/>
      <c r="AF971" s="174"/>
      <c r="AG971" s="174"/>
    </row>
    <row r="972" ht="15.75" customHeight="1">
      <c r="S972" s="239"/>
      <c r="AE972" s="174"/>
      <c r="AF972" s="174"/>
      <c r="AG972" s="174"/>
    </row>
    <row r="973" ht="15.75" customHeight="1">
      <c r="S973" s="239"/>
      <c r="AE973" s="174"/>
      <c r="AF973" s="174"/>
      <c r="AG973" s="174"/>
    </row>
    <row r="974" ht="15.75" customHeight="1">
      <c r="S974" s="239"/>
      <c r="AE974" s="174"/>
      <c r="AF974" s="174"/>
      <c r="AG974" s="174"/>
    </row>
    <row r="975" ht="15.75" customHeight="1">
      <c r="S975" s="239"/>
      <c r="AE975" s="174"/>
      <c r="AF975" s="174"/>
      <c r="AG975" s="174"/>
    </row>
    <row r="976" ht="15.75" customHeight="1">
      <c r="S976" s="239"/>
      <c r="AE976" s="174"/>
      <c r="AF976" s="174"/>
      <c r="AG976" s="174"/>
    </row>
    <row r="977" ht="15.75" customHeight="1">
      <c r="S977" s="239"/>
      <c r="AE977" s="174"/>
      <c r="AF977" s="174"/>
      <c r="AG977" s="174"/>
    </row>
    <row r="978" ht="15.75" customHeight="1">
      <c r="S978" s="239"/>
      <c r="AE978" s="174"/>
      <c r="AF978" s="174"/>
      <c r="AG978" s="174"/>
    </row>
    <row r="979" ht="15.75" customHeight="1">
      <c r="S979" s="239"/>
      <c r="AE979" s="174"/>
      <c r="AF979" s="174"/>
      <c r="AG979" s="174"/>
    </row>
    <row r="980" ht="15.75" customHeight="1">
      <c r="S980" s="239"/>
      <c r="AE980" s="174"/>
      <c r="AF980" s="174"/>
      <c r="AG980" s="174"/>
    </row>
    <row r="981" ht="15.75" customHeight="1">
      <c r="S981" s="239"/>
      <c r="AE981" s="174"/>
      <c r="AF981" s="174"/>
      <c r="AG981" s="174"/>
    </row>
    <row r="982" ht="15.75" customHeight="1">
      <c r="S982" s="239"/>
      <c r="AE982" s="174"/>
      <c r="AF982" s="174"/>
      <c r="AG982" s="174"/>
    </row>
    <row r="983" ht="15.75" customHeight="1">
      <c r="S983" s="239"/>
      <c r="AE983" s="174"/>
      <c r="AF983" s="174"/>
      <c r="AG983" s="174"/>
    </row>
    <row r="984" ht="15.75" customHeight="1">
      <c r="S984" s="239"/>
      <c r="AE984" s="174"/>
      <c r="AF984" s="174"/>
      <c r="AG984" s="174"/>
    </row>
    <row r="985" ht="15.75" customHeight="1">
      <c r="S985" s="239"/>
      <c r="AE985" s="174"/>
      <c r="AF985" s="174"/>
      <c r="AG985" s="174"/>
    </row>
    <row r="986" ht="15.75" customHeight="1">
      <c r="S986" s="239"/>
      <c r="AE986" s="174"/>
      <c r="AF986" s="174"/>
      <c r="AG986" s="174"/>
    </row>
  </sheetData>
  <dataValidations>
    <dataValidation type="list" allowBlank="1" showErrorMessage="1" sqref="Z2:AD10">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6.1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3" max="23" width="9.88"/>
    <col customWidth="1" min="24" max="24" width="7.13"/>
    <col customWidth="1" min="26" max="26" width="13.63"/>
    <col customWidth="1" min="28" max="28" width="14.0"/>
    <col customWidth="1" min="32" max="32" width="11.5"/>
    <col customWidth="1" min="33" max="33" width="118.0"/>
  </cols>
  <sheetData>
    <row r="1" ht="24.0" customHeight="1">
      <c r="A1" s="42"/>
      <c r="B1" s="43" t="s">
        <v>61</v>
      </c>
      <c r="C1" s="56" t="s">
        <v>393</v>
      </c>
      <c r="D1" s="56" t="s">
        <v>83</v>
      </c>
      <c r="E1" s="72" t="s">
        <v>63</v>
      </c>
      <c r="F1" s="72" t="s">
        <v>83</v>
      </c>
      <c r="G1" s="72" t="s">
        <v>394</v>
      </c>
      <c r="H1" s="72" t="s">
        <v>83</v>
      </c>
      <c r="I1" s="73" t="s">
        <v>396</v>
      </c>
      <c r="J1" s="72" t="s">
        <v>83</v>
      </c>
      <c r="K1" s="72" t="s">
        <v>440</v>
      </c>
      <c r="L1" s="72" t="s">
        <v>83</v>
      </c>
      <c r="M1" s="72" t="s">
        <v>397</v>
      </c>
      <c r="N1" s="72" t="s">
        <v>83</v>
      </c>
      <c r="O1" s="72" t="s">
        <v>441</v>
      </c>
      <c r="P1" s="72" t="s">
        <v>83</v>
      </c>
      <c r="Q1" s="240" t="s">
        <v>48</v>
      </c>
      <c r="R1" s="240" t="s">
        <v>83</v>
      </c>
      <c r="S1" s="72" t="s">
        <v>399</v>
      </c>
      <c r="T1" s="43" t="s">
        <v>83</v>
      </c>
      <c r="U1" s="43" t="s">
        <v>32</v>
      </c>
      <c r="V1" s="43" t="s">
        <v>83</v>
      </c>
      <c r="W1" s="234" t="s">
        <v>398</v>
      </c>
      <c r="X1" s="234" t="s">
        <v>83</v>
      </c>
      <c r="Y1" s="42"/>
      <c r="Z1" s="43" t="s">
        <v>33</v>
      </c>
      <c r="AA1" s="43" t="s">
        <v>73</v>
      </c>
      <c r="AB1" s="43" t="s">
        <v>74</v>
      </c>
      <c r="AC1" s="42" t="s">
        <v>75</v>
      </c>
      <c r="AD1" s="42" t="s">
        <v>76</v>
      </c>
      <c r="AE1" s="42" t="s">
        <v>77</v>
      </c>
      <c r="AF1" s="42" t="s">
        <v>210</v>
      </c>
      <c r="AG1" s="96" t="s">
        <v>79</v>
      </c>
    </row>
    <row r="2" ht="24.75" customHeight="1">
      <c r="A2" s="42">
        <v>1.0</v>
      </c>
      <c r="B2" s="244" t="s">
        <v>458</v>
      </c>
      <c r="C2" s="63">
        <v>74.0</v>
      </c>
      <c r="D2" s="56" t="str">
        <f t="shared" ref="D2:D18" si="1">VLOOKUP(C2,$B$32:$C$40,2)</f>
        <v>B</v>
      </c>
      <c r="E2" s="73">
        <v>80.0</v>
      </c>
      <c r="F2" s="56" t="str">
        <f t="shared" ref="F2:F18" si="2">VLOOKUP(E2,$B$32:$C$40,2)</f>
        <v>A</v>
      </c>
      <c r="G2" s="72"/>
      <c r="H2" s="56" t="str">
        <f t="shared" ref="H2:H18" si="3">VLOOKUP(G2,$B$32:$C$40,2)</f>
        <v>U</v>
      </c>
      <c r="I2" s="72"/>
      <c r="J2" s="56" t="str">
        <f t="shared" ref="J2:J18" si="4">VLOOKUP(I2,$B$32:$C$40,2)</f>
        <v>U</v>
      </c>
      <c r="K2" s="73">
        <v>67.0</v>
      </c>
      <c r="L2" s="56" t="str">
        <f t="shared" ref="L2:L18" si="5">VLOOKUP(K2,$B$32:$C$40,2)</f>
        <v>C</v>
      </c>
      <c r="M2" s="73">
        <v>46.0</v>
      </c>
      <c r="N2" s="56" t="str">
        <f t="shared" ref="N2:N18" si="6">VLOOKUP(M2,$B$32:$C$40,2)</f>
        <v>E</v>
      </c>
      <c r="O2" s="73">
        <v>73.0</v>
      </c>
      <c r="P2" s="56" t="str">
        <f t="shared" ref="P2:P18" si="7">VLOOKUP(O2,$B$32:$C$40,2)</f>
        <v>B</v>
      </c>
      <c r="Q2" s="73">
        <v>45.0</v>
      </c>
      <c r="R2" s="56" t="str">
        <f t="shared" ref="R2:R18" si="8">VLOOKUP(Q2,$B$32:$C$40,2)</f>
        <v>E</v>
      </c>
      <c r="S2" s="72"/>
      <c r="T2" s="56" t="str">
        <f t="shared" ref="T2:T18" si="9">VLOOKUP(S2,$B$32:$C$40,2)</f>
        <v>U</v>
      </c>
      <c r="U2" s="241"/>
      <c r="V2" s="56" t="str">
        <f t="shared" ref="V2:V18" si="10">VLOOKUP(U2,$B$32:$C$40,2)</f>
        <v>U</v>
      </c>
      <c r="W2" s="56"/>
      <c r="X2" s="56" t="str">
        <f t="shared" ref="X2:X18" si="11">VLOOKUP(W2,$B$32:$C$40,2)</f>
        <v>U</v>
      </c>
      <c r="Y2" s="72"/>
      <c r="Z2" s="233">
        <f t="shared" ref="Z2:Z18" si="12">AVERAGE(C2,E2,G2,I2,K2,M2,O2,Q2,S2,U2)</f>
        <v>64.16666667</v>
      </c>
      <c r="AA2" s="72">
        <f t="shared" ref="AA2:AA18" si="13">RANK(Z2,$Z$2:$Z$18)</f>
        <v>5</v>
      </c>
      <c r="AB2" s="134" t="s">
        <v>87</v>
      </c>
      <c r="AC2" s="134" t="s">
        <v>85</v>
      </c>
      <c r="AD2" s="134" t="s">
        <v>85</v>
      </c>
      <c r="AE2" s="134" t="s">
        <v>85</v>
      </c>
      <c r="AF2" s="134" t="s">
        <v>85</v>
      </c>
      <c r="AG2" s="83" t="s">
        <v>459</v>
      </c>
    </row>
    <row r="3" ht="32.25" customHeight="1">
      <c r="A3" s="121">
        <v>2.0</v>
      </c>
      <c r="B3" s="176" t="s">
        <v>460</v>
      </c>
      <c r="C3" s="63">
        <v>51.0</v>
      </c>
      <c r="D3" s="56" t="str">
        <f t="shared" si="1"/>
        <v>D</v>
      </c>
      <c r="E3" s="73">
        <v>28.0</v>
      </c>
      <c r="F3" s="56" t="str">
        <f t="shared" si="2"/>
        <v>G</v>
      </c>
      <c r="G3" s="72"/>
      <c r="H3" s="56" t="str">
        <f t="shared" si="3"/>
        <v>U</v>
      </c>
      <c r="I3" s="72"/>
      <c r="J3" s="56" t="str">
        <f t="shared" si="4"/>
        <v>U</v>
      </c>
      <c r="K3" s="73">
        <v>87.0</v>
      </c>
      <c r="L3" s="56" t="str">
        <f t="shared" si="5"/>
        <v>A</v>
      </c>
      <c r="M3" s="73">
        <v>48.0</v>
      </c>
      <c r="N3" s="56" t="str">
        <f t="shared" si="6"/>
        <v>E</v>
      </c>
      <c r="O3" s="73">
        <v>88.0</v>
      </c>
      <c r="P3" s="56" t="str">
        <f t="shared" si="7"/>
        <v>A</v>
      </c>
      <c r="Q3" s="72"/>
      <c r="R3" s="56" t="str">
        <f t="shared" si="8"/>
        <v>U</v>
      </c>
      <c r="S3" s="72"/>
      <c r="T3" s="56" t="str">
        <f t="shared" si="9"/>
        <v>U</v>
      </c>
      <c r="U3" s="121">
        <v>42.0</v>
      </c>
      <c r="V3" s="56" t="str">
        <f t="shared" si="10"/>
        <v>E</v>
      </c>
      <c r="W3" s="56"/>
      <c r="X3" s="56" t="str">
        <f t="shared" si="11"/>
        <v>U</v>
      </c>
      <c r="Y3" s="42"/>
      <c r="Z3" s="233">
        <f t="shared" si="12"/>
        <v>57.33333333</v>
      </c>
      <c r="AA3" s="72">
        <f t="shared" si="13"/>
        <v>9</v>
      </c>
      <c r="AB3" s="134" t="s">
        <v>90</v>
      </c>
      <c r="AC3" s="134" t="s">
        <v>90</v>
      </c>
      <c r="AD3" s="134" t="s">
        <v>93</v>
      </c>
      <c r="AE3" s="134" t="s">
        <v>87</v>
      </c>
      <c r="AF3" s="134" t="s">
        <v>90</v>
      </c>
      <c r="AG3" s="83" t="s">
        <v>461</v>
      </c>
    </row>
    <row r="4" ht="25.5" customHeight="1">
      <c r="A4" s="42">
        <v>3.0</v>
      </c>
      <c r="B4" s="176" t="s">
        <v>462</v>
      </c>
      <c r="C4" s="63">
        <v>29.0</v>
      </c>
      <c r="D4" s="56" t="str">
        <f t="shared" si="1"/>
        <v>G</v>
      </c>
      <c r="E4" s="73">
        <v>73.0</v>
      </c>
      <c r="F4" s="56" t="str">
        <f t="shared" si="2"/>
        <v>B</v>
      </c>
      <c r="G4" s="72"/>
      <c r="H4" s="56" t="str">
        <f t="shared" si="3"/>
        <v>U</v>
      </c>
      <c r="I4" s="72"/>
      <c r="J4" s="56" t="str">
        <f t="shared" si="4"/>
        <v>U</v>
      </c>
      <c r="K4" s="72"/>
      <c r="L4" s="56" t="str">
        <f t="shared" si="5"/>
        <v>U</v>
      </c>
      <c r="M4" s="73">
        <v>44.0</v>
      </c>
      <c r="N4" s="56" t="str">
        <f t="shared" si="6"/>
        <v>E</v>
      </c>
      <c r="O4" s="73">
        <v>50.0</v>
      </c>
      <c r="P4" s="56" t="str">
        <f t="shared" si="7"/>
        <v>D</v>
      </c>
      <c r="Q4" s="73">
        <v>54.0</v>
      </c>
      <c r="R4" s="56" t="str">
        <f t="shared" si="8"/>
        <v>D</v>
      </c>
      <c r="S4" s="207">
        <v>68.0</v>
      </c>
      <c r="T4" s="56" t="str">
        <f t="shared" si="9"/>
        <v>C</v>
      </c>
      <c r="U4" s="42"/>
      <c r="V4" s="56" t="str">
        <f t="shared" si="10"/>
        <v>U</v>
      </c>
      <c r="W4" s="56"/>
      <c r="X4" s="56" t="str">
        <f t="shared" si="11"/>
        <v>U</v>
      </c>
      <c r="Y4" s="42"/>
      <c r="Z4" s="233">
        <f t="shared" si="12"/>
        <v>53</v>
      </c>
      <c r="AA4" s="72">
        <f t="shared" si="13"/>
        <v>13</v>
      </c>
      <c r="AB4" s="134" t="s">
        <v>90</v>
      </c>
      <c r="AC4" s="134" t="s">
        <v>85</v>
      </c>
      <c r="AD4" s="134" t="s">
        <v>90</v>
      </c>
      <c r="AE4" s="134" t="s">
        <v>85</v>
      </c>
      <c r="AF4" s="134" t="s">
        <v>87</v>
      </c>
      <c r="AG4" s="83" t="s">
        <v>463</v>
      </c>
    </row>
    <row r="5" ht="27.0" customHeight="1">
      <c r="A5" s="42">
        <v>4.0</v>
      </c>
      <c r="B5" s="176" t="s">
        <v>464</v>
      </c>
      <c r="C5" s="63">
        <v>45.0</v>
      </c>
      <c r="D5" s="56" t="str">
        <f t="shared" si="1"/>
        <v>E</v>
      </c>
      <c r="E5" s="73">
        <v>42.0</v>
      </c>
      <c r="F5" s="56" t="str">
        <f t="shared" si="2"/>
        <v>E</v>
      </c>
      <c r="G5" s="72"/>
      <c r="H5" s="56" t="str">
        <f t="shared" si="3"/>
        <v>U</v>
      </c>
      <c r="I5" s="72"/>
      <c r="J5" s="56" t="str">
        <f t="shared" si="4"/>
        <v>U</v>
      </c>
      <c r="K5" s="72"/>
      <c r="L5" s="56" t="str">
        <f t="shared" si="5"/>
        <v>U</v>
      </c>
      <c r="M5" s="73">
        <v>24.0</v>
      </c>
      <c r="N5" s="56" t="str">
        <f t="shared" si="6"/>
        <v>G</v>
      </c>
      <c r="O5" s="73">
        <v>78.0</v>
      </c>
      <c r="P5" s="56" t="str">
        <f t="shared" si="7"/>
        <v>B</v>
      </c>
      <c r="Q5" s="73">
        <v>34.0</v>
      </c>
      <c r="R5" s="56" t="str">
        <f t="shared" si="8"/>
        <v>F</v>
      </c>
      <c r="S5" s="73">
        <v>64.0</v>
      </c>
      <c r="T5" s="56" t="str">
        <f t="shared" si="9"/>
        <v>C</v>
      </c>
      <c r="U5" s="42"/>
      <c r="V5" s="56" t="str">
        <f t="shared" si="10"/>
        <v>U</v>
      </c>
      <c r="W5" s="56"/>
      <c r="X5" s="56" t="str">
        <f t="shared" si="11"/>
        <v>U</v>
      </c>
      <c r="Y5" s="42"/>
      <c r="Z5" s="233">
        <f t="shared" si="12"/>
        <v>47.83333333</v>
      </c>
      <c r="AA5" s="72">
        <f t="shared" si="13"/>
        <v>17</v>
      </c>
      <c r="AB5" s="134" t="s">
        <v>87</v>
      </c>
      <c r="AC5" s="134" t="s">
        <v>87</v>
      </c>
      <c r="AD5" s="134" t="s">
        <v>90</v>
      </c>
      <c r="AE5" s="134" t="s">
        <v>87</v>
      </c>
      <c r="AF5" s="134" t="s">
        <v>90</v>
      </c>
      <c r="AG5" s="83" t="s">
        <v>465</v>
      </c>
    </row>
    <row r="6" ht="30.0" customHeight="1">
      <c r="A6" s="42">
        <v>5.0</v>
      </c>
      <c r="B6" s="176" t="s">
        <v>466</v>
      </c>
      <c r="C6" s="63">
        <v>41.0</v>
      </c>
      <c r="D6" s="56" t="str">
        <f t="shared" si="1"/>
        <v>E</v>
      </c>
      <c r="E6" s="73">
        <v>42.0</v>
      </c>
      <c r="F6" s="56" t="str">
        <f t="shared" si="2"/>
        <v>E</v>
      </c>
      <c r="G6" s="72"/>
      <c r="H6" s="56" t="str">
        <f t="shared" si="3"/>
        <v>U</v>
      </c>
      <c r="I6" s="72"/>
      <c r="J6" s="56" t="str">
        <f t="shared" si="4"/>
        <v>U</v>
      </c>
      <c r="K6" s="73">
        <v>76.0</v>
      </c>
      <c r="L6" s="56" t="str">
        <f t="shared" si="5"/>
        <v>B</v>
      </c>
      <c r="M6" s="73">
        <v>41.0</v>
      </c>
      <c r="N6" s="56" t="str">
        <f t="shared" si="6"/>
        <v>E</v>
      </c>
      <c r="O6" s="73">
        <v>68.0</v>
      </c>
      <c r="P6" s="56" t="str">
        <f t="shared" si="7"/>
        <v>C</v>
      </c>
      <c r="Q6" s="73">
        <v>33.0</v>
      </c>
      <c r="R6" s="56" t="str">
        <f t="shared" si="8"/>
        <v>F</v>
      </c>
      <c r="S6" s="236"/>
      <c r="T6" s="56" t="str">
        <f t="shared" si="9"/>
        <v>U</v>
      </c>
      <c r="U6" s="42"/>
      <c r="V6" s="56" t="str">
        <f t="shared" si="10"/>
        <v>U</v>
      </c>
      <c r="W6" s="56"/>
      <c r="X6" s="56" t="str">
        <f t="shared" si="11"/>
        <v>U</v>
      </c>
      <c r="Y6" s="42"/>
      <c r="Z6" s="233">
        <f t="shared" si="12"/>
        <v>50.16666667</v>
      </c>
      <c r="AA6" s="72">
        <f t="shared" si="13"/>
        <v>15</v>
      </c>
      <c r="AB6" s="134" t="s">
        <v>87</v>
      </c>
      <c r="AC6" s="134" t="s">
        <v>90</v>
      </c>
      <c r="AD6" s="134" t="s">
        <v>90</v>
      </c>
      <c r="AE6" s="134" t="s">
        <v>87</v>
      </c>
      <c r="AF6" s="134" t="s">
        <v>93</v>
      </c>
      <c r="AG6" s="83" t="s">
        <v>467</v>
      </c>
    </row>
    <row r="7" ht="27.0" customHeight="1">
      <c r="A7" s="42">
        <v>6.0</v>
      </c>
      <c r="B7" s="176" t="s">
        <v>468</v>
      </c>
      <c r="C7" s="63">
        <v>63.0</v>
      </c>
      <c r="D7" s="56" t="str">
        <f t="shared" si="1"/>
        <v>C</v>
      </c>
      <c r="E7" s="73">
        <v>63.0</v>
      </c>
      <c r="F7" s="56" t="str">
        <f t="shared" si="2"/>
        <v>C</v>
      </c>
      <c r="G7" s="72"/>
      <c r="H7" s="56" t="str">
        <f t="shared" si="3"/>
        <v>U</v>
      </c>
      <c r="I7" s="72"/>
      <c r="J7" s="56" t="str">
        <f t="shared" si="4"/>
        <v>U</v>
      </c>
      <c r="K7" s="72"/>
      <c r="L7" s="56" t="str">
        <f t="shared" si="5"/>
        <v>U</v>
      </c>
      <c r="M7" s="73">
        <v>64.0</v>
      </c>
      <c r="N7" s="56" t="str">
        <f t="shared" si="6"/>
        <v>C</v>
      </c>
      <c r="O7" s="73">
        <v>88.0</v>
      </c>
      <c r="P7" s="56" t="str">
        <f t="shared" si="7"/>
        <v>A</v>
      </c>
      <c r="Q7" s="73">
        <v>56.0</v>
      </c>
      <c r="R7" s="56" t="str">
        <f t="shared" si="8"/>
        <v>D</v>
      </c>
      <c r="S7" s="73">
        <v>64.0</v>
      </c>
      <c r="T7" s="56" t="str">
        <f t="shared" si="9"/>
        <v>C</v>
      </c>
      <c r="U7" s="42"/>
      <c r="V7" s="56" t="str">
        <f t="shared" si="10"/>
        <v>U</v>
      </c>
      <c r="W7" s="56"/>
      <c r="X7" s="56" t="str">
        <f t="shared" si="11"/>
        <v>U</v>
      </c>
      <c r="Y7" s="42"/>
      <c r="Z7" s="233">
        <f t="shared" si="12"/>
        <v>66.33333333</v>
      </c>
      <c r="AA7" s="72">
        <f t="shared" si="13"/>
        <v>4</v>
      </c>
      <c r="AB7" s="134" t="s">
        <v>87</v>
      </c>
      <c r="AC7" s="134" t="s">
        <v>86</v>
      </c>
      <c r="AD7" s="134" t="s">
        <v>85</v>
      </c>
      <c r="AE7" s="134" t="s">
        <v>85</v>
      </c>
      <c r="AF7" s="134" t="s">
        <v>85</v>
      </c>
      <c r="AG7" s="83" t="s">
        <v>469</v>
      </c>
    </row>
    <row r="8" ht="27.0" customHeight="1">
      <c r="A8" s="42">
        <v>7.0</v>
      </c>
      <c r="B8" s="176" t="s">
        <v>470</v>
      </c>
      <c r="C8" s="88"/>
      <c r="D8" s="56" t="str">
        <f t="shared" si="1"/>
        <v>U</v>
      </c>
      <c r="E8" s="73">
        <v>82.0</v>
      </c>
      <c r="F8" s="56" t="str">
        <f t="shared" si="2"/>
        <v>A</v>
      </c>
      <c r="G8" s="72"/>
      <c r="H8" s="56" t="str">
        <f t="shared" si="3"/>
        <v>U</v>
      </c>
      <c r="I8" s="72"/>
      <c r="J8" s="56" t="str">
        <f t="shared" si="4"/>
        <v>U</v>
      </c>
      <c r="K8" s="72"/>
      <c r="L8" s="56" t="str">
        <f t="shared" si="5"/>
        <v>U</v>
      </c>
      <c r="M8" s="72"/>
      <c r="N8" s="56" t="str">
        <f t="shared" si="6"/>
        <v>U</v>
      </c>
      <c r="O8" s="73">
        <v>68.0</v>
      </c>
      <c r="P8" s="56" t="str">
        <f t="shared" si="7"/>
        <v>C</v>
      </c>
      <c r="Q8" s="72"/>
      <c r="R8" s="56" t="str">
        <f t="shared" si="8"/>
        <v>U</v>
      </c>
      <c r="S8" s="72"/>
      <c r="T8" s="56" t="str">
        <f t="shared" si="9"/>
        <v>U</v>
      </c>
      <c r="U8" s="42"/>
      <c r="V8" s="56" t="str">
        <f t="shared" si="10"/>
        <v>U</v>
      </c>
      <c r="W8" s="56"/>
      <c r="X8" s="56" t="str">
        <f t="shared" si="11"/>
        <v>U</v>
      </c>
      <c r="Y8" s="42"/>
      <c r="Z8" s="233">
        <f t="shared" si="12"/>
        <v>75</v>
      </c>
      <c r="AA8" s="72">
        <f t="shared" si="13"/>
        <v>2</v>
      </c>
      <c r="AB8" s="134" t="s">
        <v>90</v>
      </c>
      <c r="AC8" s="134" t="s">
        <v>87</v>
      </c>
      <c r="AD8" s="134" t="s">
        <v>86</v>
      </c>
      <c r="AE8" s="134" t="s">
        <v>85</v>
      </c>
      <c r="AF8" s="134" t="s">
        <v>85</v>
      </c>
      <c r="AG8" s="83" t="s">
        <v>471</v>
      </c>
    </row>
    <row r="9" ht="27.0" customHeight="1">
      <c r="A9" s="42">
        <v>8.0</v>
      </c>
      <c r="B9" s="176" t="s">
        <v>472</v>
      </c>
      <c r="C9" s="63">
        <v>68.0</v>
      </c>
      <c r="D9" s="56" t="str">
        <f t="shared" si="1"/>
        <v>C</v>
      </c>
      <c r="E9" s="73">
        <v>50.0</v>
      </c>
      <c r="F9" s="56" t="str">
        <f t="shared" si="2"/>
        <v>D</v>
      </c>
      <c r="G9" s="73">
        <v>58.0</v>
      </c>
      <c r="H9" s="56" t="str">
        <f t="shared" si="3"/>
        <v>D</v>
      </c>
      <c r="I9" s="72"/>
      <c r="J9" s="56" t="str">
        <f t="shared" si="4"/>
        <v>U</v>
      </c>
      <c r="K9" s="72"/>
      <c r="L9" s="56" t="str">
        <f t="shared" si="5"/>
        <v>U</v>
      </c>
      <c r="M9" s="72"/>
      <c r="N9" s="56" t="str">
        <f t="shared" si="6"/>
        <v>U</v>
      </c>
      <c r="O9" s="73">
        <v>75.0</v>
      </c>
      <c r="P9" s="56" t="str">
        <f t="shared" si="7"/>
        <v>B</v>
      </c>
      <c r="Q9" s="72"/>
      <c r="R9" s="56" t="str">
        <f t="shared" si="8"/>
        <v>U</v>
      </c>
      <c r="S9" s="207">
        <v>63.0</v>
      </c>
      <c r="T9" s="56" t="str">
        <f t="shared" si="9"/>
        <v>C</v>
      </c>
      <c r="U9" s="121">
        <v>43.0</v>
      </c>
      <c r="V9" s="56" t="str">
        <f t="shared" si="10"/>
        <v>E</v>
      </c>
      <c r="W9" s="66">
        <v>74.0</v>
      </c>
      <c r="X9" s="56" t="str">
        <f t="shared" si="11"/>
        <v>B</v>
      </c>
      <c r="Y9" s="42"/>
      <c r="Z9" s="233">
        <f t="shared" si="12"/>
        <v>59.5</v>
      </c>
      <c r="AA9" s="72">
        <f t="shared" si="13"/>
        <v>8</v>
      </c>
      <c r="AB9" s="134" t="s">
        <v>87</v>
      </c>
      <c r="AC9" s="134" t="s">
        <v>87</v>
      </c>
      <c r="AD9" s="134" t="s">
        <v>90</v>
      </c>
      <c r="AE9" s="134" t="s">
        <v>87</v>
      </c>
      <c r="AF9" s="134" t="s">
        <v>87</v>
      </c>
      <c r="AG9" s="83" t="s">
        <v>473</v>
      </c>
    </row>
    <row r="10" ht="48.75" customHeight="1">
      <c r="A10" s="42">
        <v>9.0</v>
      </c>
      <c r="B10" s="176" t="s">
        <v>474</v>
      </c>
      <c r="C10" s="63">
        <v>71.0</v>
      </c>
      <c r="D10" s="56" t="str">
        <f t="shared" si="1"/>
        <v>B</v>
      </c>
      <c r="E10" s="73">
        <v>79.0</v>
      </c>
      <c r="F10" s="56" t="str">
        <f t="shared" si="2"/>
        <v>B</v>
      </c>
      <c r="G10" s="73">
        <v>60.0</v>
      </c>
      <c r="H10" s="56" t="str">
        <f t="shared" si="3"/>
        <v>C</v>
      </c>
      <c r="I10" s="72"/>
      <c r="J10" s="56" t="str">
        <f t="shared" si="4"/>
        <v>U</v>
      </c>
      <c r="K10" s="72"/>
      <c r="L10" s="56" t="str">
        <f t="shared" si="5"/>
        <v>U</v>
      </c>
      <c r="M10" s="72"/>
      <c r="N10" s="56" t="str">
        <f t="shared" si="6"/>
        <v>U</v>
      </c>
      <c r="O10" s="73">
        <v>60.0</v>
      </c>
      <c r="P10" s="56" t="str">
        <f t="shared" si="7"/>
        <v>C</v>
      </c>
      <c r="Q10" s="72"/>
      <c r="R10" s="56" t="str">
        <f t="shared" si="8"/>
        <v>U</v>
      </c>
      <c r="S10" s="236"/>
      <c r="T10" s="56" t="str">
        <f t="shared" si="9"/>
        <v>U</v>
      </c>
      <c r="U10" s="42"/>
      <c r="V10" s="56" t="str">
        <f t="shared" si="10"/>
        <v>U</v>
      </c>
      <c r="W10" s="66">
        <v>68.0</v>
      </c>
      <c r="X10" s="56" t="str">
        <f t="shared" si="11"/>
        <v>C</v>
      </c>
      <c r="Y10" s="42"/>
      <c r="Z10" s="233">
        <f t="shared" si="12"/>
        <v>67.5</v>
      </c>
      <c r="AA10" s="72">
        <f t="shared" si="13"/>
        <v>3</v>
      </c>
      <c r="AB10" s="134" t="s">
        <v>90</v>
      </c>
      <c r="AC10" s="134" t="s">
        <v>87</v>
      </c>
      <c r="AD10" s="134" t="s">
        <v>85</v>
      </c>
      <c r="AE10" s="134" t="s">
        <v>85</v>
      </c>
      <c r="AF10" s="134" t="s">
        <v>85</v>
      </c>
      <c r="AG10" s="83" t="s">
        <v>475</v>
      </c>
    </row>
    <row r="11" ht="36.0" customHeight="1">
      <c r="A11" s="42">
        <v>10.0</v>
      </c>
      <c r="B11" s="176" t="s">
        <v>476</v>
      </c>
      <c r="C11" s="63">
        <v>63.0</v>
      </c>
      <c r="D11" s="56" t="str">
        <f t="shared" si="1"/>
        <v>C</v>
      </c>
      <c r="E11" s="73">
        <v>35.0</v>
      </c>
      <c r="F11" s="56" t="str">
        <f t="shared" si="2"/>
        <v>F</v>
      </c>
      <c r="G11" s="72"/>
      <c r="H11" s="56" t="str">
        <f t="shared" si="3"/>
        <v>U</v>
      </c>
      <c r="I11" s="72"/>
      <c r="J11" s="56" t="str">
        <f t="shared" si="4"/>
        <v>U</v>
      </c>
      <c r="K11" s="72"/>
      <c r="L11" s="56" t="str">
        <f t="shared" si="5"/>
        <v>U</v>
      </c>
      <c r="M11" s="73">
        <v>44.0</v>
      </c>
      <c r="N11" s="56" t="str">
        <f t="shared" si="6"/>
        <v>E</v>
      </c>
      <c r="O11" s="73">
        <v>95.0</v>
      </c>
      <c r="P11" s="56" t="str">
        <f t="shared" si="7"/>
        <v>A*</v>
      </c>
      <c r="Q11" s="73">
        <v>45.0</v>
      </c>
      <c r="R11" s="56" t="str">
        <f t="shared" si="8"/>
        <v>E</v>
      </c>
      <c r="S11" s="207">
        <v>54.0</v>
      </c>
      <c r="T11" s="56" t="str">
        <f t="shared" si="9"/>
        <v>D</v>
      </c>
      <c r="U11" s="42"/>
      <c r="V11" s="56" t="str">
        <f t="shared" si="10"/>
        <v>U</v>
      </c>
      <c r="W11" s="56"/>
      <c r="X11" s="56" t="str">
        <f t="shared" si="11"/>
        <v>U</v>
      </c>
      <c r="Y11" s="42"/>
      <c r="Z11" s="233">
        <f t="shared" si="12"/>
        <v>56</v>
      </c>
      <c r="AA11" s="72">
        <f t="shared" si="13"/>
        <v>10</v>
      </c>
      <c r="AB11" s="134" t="s">
        <v>87</v>
      </c>
      <c r="AC11" s="134" t="s">
        <v>85</v>
      </c>
      <c r="AD11" s="134" t="s">
        <v>87</v>
      </c>
      <c r="AE11" s="134" t="s">
        <v>87</v>
      </c>
      <c r="AF11" s="134" t="s">
        <v>87</v>
      </c>
      <c r="AG11" s="235" t="s">
        <v>477</v>
      </c>
    </row>
    <row r="12" ht="49.5" customHeight="1">
      <c r="A12" s="42">
        <v>11.0</v>
      </c>
      <c r="B12" s="176" t="s">
        <v>478</v>
      </c>
      <c r="C12" s="63">
        <v>55.0</v>
      </c>
      <c r="D12" s="56" t="str">
        <f t="shared" si="1"/>
        <v>D</v>
      </c>
      <c r="E12" s="73">
        <v>63.0</v>
      </c>
      <c r="F12" s="56" t="str">
        <f t="shared" si="2"/>
        <v>C</v>
      </c>
      <c r="G12" s="72"/>
      <c r="H12" s="56" t="str">
        <f t="shared" si="3"/>
        <v>U</v>
      </c>
      <c r="I12" s="72"/>
      <c r="J12" s="56" t="str">
        <f t="shared" si="4"/>
        <v>U</v>
      </c>
      <c r="K12" s="72"/>
      <c r="L12" s="56" t="str">
        <f t="shared" si="5"/>
        <v>U</v>
      </c>
      <c r="M12" s="73">
        <v>39.0</v>
      </c>
      <c r="N12" s="56" t="str">
        <f t="shared" si="6"/>
        <v>F</v>
      </c>
      <c r="O12" s="73">
        <v>63.0</v>
      </c>
      <c r="P12" s="56" t="str">
        <f t="shared" si="7"/>
        <v>C</v>
      </c>
      <c r="Q12" s="73">
        <v>51.0</v>
      </c>
      <c r="R12" s="56" t="str">
        <f t="shared" si="8"/>
        <v>D</v>
      </c>
      <c r="S12" s="207">
        <v>60.0</v>
      </c>
      <c r="T12" s="56" t="str">
        <f t="shared" si="9"/>
        <v>C</v>
      </c>
      <c r="U12" s="43"/>
      <c r="V12" s="56" t="str">
        <f t="shared" si="10"/>
        <v>U</v>
      </c>
      <c r="W12" s="56"/>
      <c r="X12" s="56" t="str">
        <f t="shared" si="11"/>
        <v>U</v>
      </c>
      <c r="Y12" s="42"/>
      <c r="Z12" s="233">
        <f t="shared" si="12"/>
        <v>55.16666667</v>
      </c>
      <c r="AA12" s="72">
        <f t="shared" si="13"/>
        <v>11</v>
      </c>
      <c r="AB12" s="134" t="s">
        <v>90</v>
      </c>
      <c r="AC12" s="134" t="s">
        <v>87</v>
      </c>
      <c r="AD12" s="134" t="s">
        <v>90</v>
      </c>
      <c r="AE12" s="134" t="s">
        <v>87</v>
      </c>
      <c r="AF12" s="134" t="s">
        <v>87</v>
      </c>
      <c r="AG12" s="83" t="s">
        <v>479</v>
      </c>
    </row>
    <row r="13" ht="35.25" customHeight="1">
      <c r="A13" s="42">
        <v>12.0</v>
      </c>
      <c r="B13" s="176" t="s">
        <v>480</v>
      </c>
      <c r="C13" s="63">
        <v>61.0</v>
      </c>
      <c r="D13" s="56" t="str">
        <f t="shared" si="1"/>
        <v>C</v>
      </c>
      <c r="E13" s="73">
        <v>22.0</v>
      </c>
      <c r="F13" s="56" t="str">
        <f t="shared" si="2"/>
        <v>G</v>
      </c>
      <c r="G13" s="72"/>
      <c r="H13" s="56" t="str">
        <f t="shared" si="3"/>
        <v>U</v>
      </c>
      <c r="I13" s="72"/>
      <c r="J13" s="56" t="str">
        <f t="shared" si="4"/>
        <v>U</v>
      </c>
      <c r="K13" s="73">
        <v>69.0</v>
      </c>
      <c r="L13" s="56" t="str">
        <f t="shared" si="5"/>
        <v>C</v>
      </c>
      <c r="M13" s="73">
        <v>46.0</v>
      </c>
      <c r="N13" s="56" t="str">
        <f t="shared" si="6"/>
        <v>E</v>
      </c>
      <c r="O13" s="73">
        <v>65.0</v>
      </c>
      <c r="P13" s="56" t="str">
        <f t="shared" si="7"/>
        <v>C</v>
      </c>
      <c r="Q13" s="73">
        <v>41.0</v>
      </c>
      <c r="R13" s="56" t="str">
        <f t="shared" si="8"/>
        <v>E</v>
      </c>
      <c r="S13" s="236"/>
      <c r="T13" s="56" t="str">
        <f t="shared" si="9"/>
        <v>U</v>
      </c>
      <c r="U13" s="43"/>
      <c r="V13" s="56" t="str">
        <f t="shared" si="10"/>
        <v>U</v>
      </c>
      <c r="W13" s="66">
        <v>52.0</v>
      </c>
      <c r="X13" s="56" t="str">
        <f t="shared" si="11"/>
        <v>D</v>
      </c>
      <c r="Y13" s="42"/>
      <c r="Z13" s="233">
        <f t="shared" si="12"/>
        <v>50.66666667</v>
      </c>
      <c r="AA13" s="72">
        <f t="shared" si="13"/>
        <v>14</v>
      </c>
      <c r="AB13" s="134" t="s">
        <v>85</v>
      </c>
      <c r="AC13" s="134" t="s">
        <v>87</v>
      </c>
      <c r="AD13" s="134" t="s">
        <v>90</v>
      </c>
      <c r="AE13" s="134" t="s">
        <v>87</v>
      </c>
      <c r="AF13" s="134" t="s">
        <v>90</v>
      </c>
      <c r="AG13" s="235" t="s">
        <v>481</v>
      </c>
    </row>
    <row r="14" ht="30.75" customHeight="1">
      <c r="A14" s="42">
        <v>13.0</v>
      </c>
      <c r="B14" s="176" t="s">
        <v>482</v>
      </c>
      <c r="C14" s="63">
        <v>40.0</v>
      </c>
      <c r="D14" s="56" t="str">
        <f t="shared" si="1"/>
        <v>E</v>
      </c>
      <c r="E14" s="73">
        <v>43.0</v>
      </c>
      <c r="F14" s="56" t="str">
        <f t="shared" si="2"/>
        <v>E</v>
      </c>
      <c r="G14" s="72"/>
      <c r="H14" s="56" t="str">
        <f t="shared" si="3"/>
        <v>U</v>
      </c>
      <c r="I14" s="56"/>
      <c r="J14" s="56" t="str">
        <f t="shared" si="4"/>
        <v>U</v>
      </c>
      <c r="K14" s="73">
        <v>71.0</v>
      </c>
      <c r="L14" s="56" t="str">
        <f t="shared" si="5"/>
        <v>B</v>
      </c>
      <c r="M14" s="73">
        <v>41.0</v>
      </c>
      <c r="N14" s="56" t="str">
        <f t="shared" si="6"/>
        <v>E</v>
      </c>
      <c r="O14" s="73">
        <v>70.0</v>
      </c>
      <c r="P14" s="56" t="str">
        <f t="shared" si="7"/>
        <v>B</v>
      </c>
      <c r="Q14" s="73">
        <v>28.0</v>
      </c>
      <c r="R14" s="56" t="str">
        <f t="shared" si="8"/>
        <v>G</v>
      </c>
      <c r="S14" s="72"/>
      <c r="T14" s="56" t="str">
        <f t="shared" si="9"/>
        <v>U</v>
      </c>
      <c r="U14" s="42"/>
      <c r="V14" s="56" t="str">
        <f t="shared" si="10"/>
        <v>U</v>
      </c>
      <c r="W14" s="56"/>
      <c r="X14" s="56" t="str">
        <f t="shared" si="11"/>
        <v>U</v>
      </c>
      <c r="Y14" s="42"/>
      <c r="Z14" s="233">
        <f t="shared" si="12"/>
        <v>48.83333333</v>
      </c>
      <c r="AA14" s="72">
        <f t="shared" si="13"/>
        <v>16</v>
      </c>
      <c r="AB14" s="134" t="s">
        <v>90</v>
      </c>
      <c r="AC14" s="134" t="s">
        <v>90</v>
      </c>
      <c r="AD14" s="134" t="s">
        <v>93</v>
      </c>
      <c r="AE14" s="134" t="s">
        <v>87</v>
      </c>
      <c r="AF14" s="134" t="s">
        <v>93</v>
      </c>
      <c r="AG14" s="83" t="s">
        <v>483</v>
      </c>
    </row>
    <row r="15" ht="33.0" customHeight="1">
      <c r="A15" s="42">
        <v>14.0</v>
      </c>
      <c r="B15" s="176" t="s">
        <v>484</v>
      </c>
      <c r="C15" s="63">
        <v>74.0</v>
      </c>
      <c r="D15" s="56" t="str">
        <f t="shared" si="1"/>
        <v>B</v>
      </c>
      <c r="E15" s="73">
        <v>90.0</v>
      </c>
      <c r="F15" s="56" t="str">
        <f t="shared" si="2"/>
        <v>A*</v>
      </c>
      <c r="G15" s="72"/>
      <c r="H15" s="56" t="str">
        <f t="shared" si="3"/>
        <v>U</v>
      </c>
      <c r="I15" s="72"/>
      <c r="J15" s="56" t="str">
        <f t="shared" si="4"/>
        <v>U</v>
      </c>
      <c r="K15" s="72"/>
      <c r="L15" s="56" t="str">
        <f t="shared" si="5"/>
        <v>U</v>
      </c>
      <c r="M15" s="73">
        <v>69.0</v>
      </c>
      <c r="N15" s="56" t="str">
        <f t="shared" si="6"/>
        <v>C</v>
      </c>
      <c r="O15" s="73">
        <v>88.0</v>
      </c>
      <c r="P15" s="56" t="str">
        <f t="shared" si="7"/>
        <v>A</v>
      </c>
      <c r="Q15" s="73">
        <v>77.0</v>
      </c>
      <c r="R15" s="56" t="str">
        <f t="shared" si="8"/>
        <v>B</v>
      </c>
      <c r="S15" s="207">
        <v>90.0</v>
      </c>
      <c r="T15" s="56" t="str">
        <f t="shared" si="9"/>
        <v>A*</v>
      </c>
      <c r="U15" s="42"/>
      <c r="V15" s="56" t="str">
        <f t="shared" si="10"/>
        <v>U</v>
      </c>
      <c r="W15" s="56"/>
      <c r="X15" s="56" t="str">
        <f t="shared" si="11"/>
        <v>U</v>
      </c>
      <c r="Y15" s="42"/>
      <c r="Z15" s="233">
        <f t="shared" si="12"/>
        <v>81.33333333</v>
      </c>
      <c r="AA15" s="72">
        <f t="shared" si="13"/>
        <v>1</v>
      </c>
      <c r="AB15" s="134" t="s">
        <v>90</v>
      </c>
      <c r="AC15" s="134" t="s">
        <v>86</v>
      </c>
      <c r="AD15" s="134" t="s">
        <v>85</v>
      </c>
      <c r="AE15" s="134" t="s">
        <v>85</v>
      </c>
      <c r="AF15" s="134" t="s">
        <v>86</v>
      </c>
      <c r="AG15" s="83" t="s">
        <v>485</v>
      </c>
    </row>
    <row r="16" ht="27.75" customHeight="1">
      <c r="A16" s="42">
        <v>15.0</v>
      </c>
      <c r="B16" s="176" t="s">
        <v>486</v>
      </c>
      <c r="C16" s="63">
        <v>71.0</v>
      </c>
      <c r="D16" s="56" t="str">
        <f t="shared" si="1"/>
        <v>B</v>
      </c>
      <c r="E16" s="73">
        <v>30.0</v>
      </c>
      <c r="F16" s="56" t="str">
        <f t="shared" si="2"/>
        <v>F</v>
      </c>
      <c r="G16" s="72"/>
      <c r="H16" s="56" t="str">
        <f t="shared" si="3"/>
        <v>U</v>
      </c>
      <c r="I16" s="72"/>
      <c r="J16" s="56" t="str">
        <f t="shared" si="4"/>
        <v>U</v>
      </c>
      <c r="K16" s="73">
        <v>76.0</v>
      </c>
      <c r="L16" s="56" t="str">
        <f t="shared" si="5"/>
        <v>B</v>
      </c>
      <c r="M16" s="73">
        <v>53.0</v>
      </c>
      <c r="N16" s="56" t="str">
        <f t="shared" si="6"/>
        <v>D</v>
      </c>
      <c r="O16" s="73">
        <v>60.0</v>
      </c>
      <c r="P16" s="56" t="str">
        <f t="shared" si="7"/>
        <v>C</v>
      </c>
      <c r="Q16" s="73">
        <v>39.0</v>
      </c>
      <c r="R16" s="56" t="str">
        <f t="shared" si="8"/>
        <v>F</v>
      </c>
      <c r="S16" s="236"/>
      <c r="T16" s="56" t="str">
        <f t="shared" si="9"/>
        <v>U</v>
      </c>
      <c r="U16" s="42"/>
      <c r="V16" s="56" t="str">
        <f t="shared" si="10"/>
        <v>U</v>
      </c>
      <c r="W16" s="56"/>
      <c r="X16" s="56" t="str">
        <f t="shared" si="11"/>
        <v>U</v>
      </c>
      <c r="Y16" s="42"/>
      <c r="Z16" s="233">
        <f t="shared" si="12"/>
        <v>54.83333333</v>
      </c>
      <c r="AA16" s="72">
        <f t="shared" si="13"/>
        <v>12</v>
      </c>
      <c r="AB16" s="134" t="s">
        <v>87</v>
      </c>
      <c r="AC16" s="134" t="s">
        <v>87</v>
      </c>
      <c r="AD16" s="134" t="s">
        <v>87</v>
      </c>
      <c r="AE16" s="134" t="s">
        <v>87</v>
      </c>
      <c r="AF16" s="134" t="s">
        <v>87</v>
      </c>
      <c r="AG16" s="235" t="s">
        <v>487</v>
      </c>
    </row>
    <row r="17" ht="21.0" customHeight="1">
      <c r="A17" s="42">
        <v>16.0</v>
      </c>
      <c r="B17" s="176" t="s">
        <v>488</v>
      </c>
      <c r="C17" s="63">
        <v>54.0</v>
      </c>
      <c r="D17" s="56" t="str">
        <f t="shared" si="1"/>
        <v>D</v>
      </c>
      <c r="E17" s="73">
        <v>72.0</v>
      </c>
      <c r="F17" s="56" t="str">
        <f t="shared" si="2"/>
        <v>B</v>
      </c>
      <c r="G17" s="72"/>
      <c r="H17" s="56" t="str">
        <f t="shared" si="3"/>
        <v>U</v>
      </c>
      <c r="I17" s="72"/>
      <c r="J17" s="56" t="str">
        <f t="shared" si="4"/>
        <v>U</v>
      </c>
      <c r="K17" s="72"/>
      <c r="L17" s="56" t="str">
        <f t="shared" si="5"/>
        <v>U</v>
      </c>
      <c r="M17" s="73">
        <v>59.0</v>
      </c>
      <c r="N17" s="56" t="str">
        <f t="shared" si="6"/>
        <v>D</v>
      </c>
      <c r="O17" s="73">
        <v>63.0</v>
      </c>
      <c r="P17" s="56" t="str">
        <f t="shared" si="7"/>
        <v>C</v>
      </c>
      <c r="Q17" s="73">
        <v>52.0</v>
      </c>
      <c r="R17" s="56" t="str">
        <f t="shared" si="8"/>
        <v>D</v>
      </c>
      <c r="S17" s="73">
        <v>81.0</v>
      </c>
      <c r="T17" s="56" t="str">
        <f t="shared" si="9"/>
        <v>A</v>
      </c>
      <c r="U17" s="42"/>
      <c r="V17" s="56" t="str">
        <f t="shared" si="10"/>
        <v>U</v>
      </c>
      <c r="W17" s="66">
        <v>46.0</v>
      </c>
      <c r="X17" s="56" t="str">
        <f t="shared" si="11"/>
        <v>E</v>
      </c>
      <c r="Y17" s="42"/>
      <c r="Z17" s="233">
        <f t="shared" si="12"/>
        <v>63.5</v>
      </c>
      <c r="AA17" s="72">
        <f t="shared" si="13"/>
        <v>6</v>
      </c>
      <c r="AB17" s="134" t="s">
        <v>87</v>
      </c>
      <c r="AC17" s="134" t="s">
        <v>87</v>
      </c>
      <c r="AD17" s="134" t="s">
        <v>87</v>
      </c>
      <c r="AE17" s="134" t="s">
        <v>87</v>
      </c>
      <c r="AF17" s="134" t="s">
        <v>87</v>
      </c>
      <c r="AG17" s="83" t="s">
        <v>489</v>
      </c>
    </row>
    <row r="18" ht="34.5" customHeight="1">
      <c r="A18" s="42">
        <v>17.0</v>
      </c>
      <c r="B18" s="176" t="s">
        <v>490</v>
      </c>
      <c r="C18" s="63">
        <v>60.0</v>
      </c>
      <c r="D18" s="56" t="str">
        <f t="shared" si="1"/>
        <v>C</v>
      </c>
      <c r="E18" s="73">
        <v>60.0</v>
      </c>
      <c r="F18" s="56" t="str">
        <f t="shared" si="2"/>
        <v>C</v>
      </c>
      <c r="G18" s="72"/>
      <c r="H18" s="56" t="str">
        <f t="shared" si="3"/>
        <v>U</v>
      </c>
      <c r="I18" s="72"/>
      <c r="J18" s="56" t="str">
        <f t="shared" si="4"/>
        <v>U</v>
      </c>
      <c r="K18" s="72"/>
      <c r="L18" s="56" t="str">
        <f t="shared" si="5"/>
        <v>U</v>
      </c>
      <c r="M18" s="73">
        <v>51.0</v>
      </c>
      <c r="N18" s="56" t="str">
        <f t="shared" si="6"/>
        <v>D</v>
      </c>
      <c r="O18" s="73">
        <v>82.0</v>
      </c>
      <c r="P18" s="56" t="str">
        <f t="shared" si="7"/>
        <v>A</v>
      </c>
      <c r="Q18" s="73">
        <v>53.0</v>
      </c>
      <c r="R18" s="56" t="str">
        <f t="shared" si="8"/>
        <v>D</v>
      </c>
      <c r="S18" s="207">
        <v>72.0</v>
      </c>
      <c r="T18" s="56" t="str">
        <f t="shared" si="9"/>
        <v>B</v>
      </c>
      <c r="U18" s="43"/>
      <c r="V18" s="56" t="str">
        <f t="shared" si="10"/>
        <v>U</v>
      </c>
      <c r="W18" s="56"/>
      <c r="X18" s="56" t="str">
        <f t="shared" si="11"/>
        <v>U</v>
      </c>
      <c r="Y18" s="42"/>
      <c r="Z18" s="233">
        <f t="shared" si="12"/>
        <v>63</v>
      </c>
      <c r="AA18" s="72">
        <f t="shared" si="13"/>
        <v>7</v>
      </c>
      <c r="AB18" s="134" t="s">
        <v>87</v>
      </c>
      <c r="AC18" s="134" t="s">
        <v>85</v>
      </c>
      <c r="AD18" s="134" t="s">
        <v>87</v>
      </c>
      <c r="AE18" s="134" t="s">
        <v>85</v>
      </c>
      <c r="AF18" s="134" t="s">
        <v>87</v>
      </c>
      <c r="AG18" s="83" t="s">
        <v>491</v>
      </c>
    </row>
    <row r="19" ht="21.75" customHeight="1">
      <c r="A19" s="129">
        <v>18.0</v>
      </c>
    </row>
    <row r="20" ht="21.75" customHeight="1">
      <c r="A20" s="42">
        <v>19.0</v>
      </c>
      <c r="B20" s="95"/>
      <c r="C20" s="88"/>
      <c r="D20" s="56" t="str">
        <f t="shared" ref="D20:D22" si="14">VLOOKUP(C20,$B$32:$C$40,2)</f>
        <v>U</v>
      </c>
      <c r="E20" s="72"/>
      <c r="F20" s="56" t="str">
        <f t="shared" ref="F20:F22" si="15">VLOOKUP(E20,$B$32:$C$40,2)</f>
        <v>U</v>
      </c>
      <c r="G20" s="72"/>
      <c r="H20" s="56" t="str">
        <f t="shared" ref="H20:H22" si="16">VLOOKUP(G20,$B$32:$C$40,2)</f>
        <v>U</v>
      </c>
      <c r="I20" s="72"/>
      <c r="J20" s="56" t="str">
        <f t="shared" ref="J20:J22" si="17">VLOOKUP(I20,$B$32:$C$40,2)</f>
        <v>U</v>
      </c>
      <c r="K20" s="72"/>
      <c r="L20" s="56" t="str">
        <f t="shared" ref="L20:L22" si="18">VLOOKUP(K20,$B$32:$C$40,2)</f>
        <v>U</v>
      </c>
      <c r="M20" s="72"/>
      <c r="N20" s="56" t="str">
        <f t="shared" ref="N20:N22" si="19">VLOOKUP(M20,$B$32:$C$40,2)</f>
        <v>U</v>
      </c>
      <c r="O20" s="72"/>
      <c r="P20" s="56" t="str">
        <f t="shared" ref="P20:P22" si="20">VLOOKUP(O20,$B$32:$C$40,2)</f>
        <v>U</v>
      </c>
      <c r="Q20" s="72"/>
      <c r="R20" s="56" t="str">
        <f t="shared" ref="R20:R22" si="21">VLOOKUP(Q20,$B$32:$C$40,2)</f>
        <v>U</v>
      </c>
      <c r="S20" s="72"/>
      <c r="T20" s="56" t="str">
        <f t="shared" ref="T20:T22" si="22">VLOOKUP(S20,$B$32:$C$40,2)</f>
        <v>U</v>
      </c>
      <c r="U20" s="43"/>
      <c r="V20" s="56" t="str">
        <f t="shared" ref="V20:V22" si="23">VLOOKUP(U20,$B$32:$C$40,2)</f>
        <v>U</v>
      </c>
      <c r="W20" s="56"/>
      <c r="X20" s="56"/>
      <c r="Y20" s="42"/>
      <c r="Z20" s="233" t="str">
        <f t="shared" ref="Z20:Z22" si="24">AVERAGE(C20,E20,G20,I20,K20,M20,O20,Q20,S20,U20)</f>
        <v>#DIV/0!</v>
      </c>
      <c r="AA20" s="72" t="str">
        <f t="shared" ref="AA20:AA22" si="25">RANK(Z20,$Z$2:$Z$22)</f>
        <v>#DIV/0!</v>
      </c>
      <c r="AB20" s="176"/>
      <c r="AC20" s="176"/>
      <c r="AD20" s="176"/>
      <c r="AE20" s="176"/>
      <c r="AF20" s="176"/>
      <c r="AG20" s="193"/>
    </row>
    <row r="21" ht="24.0" customHeight="1">
      <c r="A21" s="42">
        <v>20.0</v>
      </c>
      <c r="B21" s="95"/>
      <c r="C21" s="88"/>
      <c r="D21" s="56" t="str">
        <f t="shared" si="14"/>
        <v>U</v>
      </c>
      <c r="E21" s="72"/>
      <c r="F21" s="56" t="str">
        <f t="shared" si="15"/>
        <v>U</v>
      </c>
      <c r="G21" s="72"/>
      <c r="H21" s="56" t="str">
        <f t="shared" si="16"/>
        <v>U</v>
      </c>
      <c r="I21" s="72"/>
      <c r="J21" s="56" t="str">
        <f t="shared" si="17"/>
        <v>U</v>
      </c>
      <c r="K21" s="72"/>
      <c r="L21" s="56" t="str">
        <f t="shared" si="18"/>
        <v>U</v>
      </c>
      <c r="M21" s="72"/>
      <c r="N21" s="56" t="str">
        <f t="shared" si="19"/>
        <v>U</v>
      </c>
      <c r="O21" s="72"/>
      <c r="P21" s="56" t="str">
        <f t="shared" si="20"/>
        <v>U</v>
      </c>
      <c r="Q21" s="72"/>
      <c r="R21" s="56" t="str">
        <f t="shared" si="21"/>
        <v>U</v>
      </c>
      <c r="S21" s="236"/>
      <c r="T21" s="56" t="str">
        <f t="shared" si="22"/>
        <v>U</v>
      </c>
      <c r="U21" s="43"/>
      <c r="V21" s="56" t="str">
        <f t="shared" si="23"/>
        <v>U</v>
      </c>
      <c r="W21" s="56"/>
      <c r="X21" s="56"/>
      <c r="Y21" s="42"/>
      <c r="Z21" s="233" t="str">
        <f t="shared" si="24"/>
        <v>#DIV/0!</v>
      </c>
      <c r="AA21" s="72" t="str">
        <f t="shared" si="25"/>
        <v>#DIV/0!</v>
      </c>
      <c r="AB21" s="176"/>
      <c r="AC21" s="176"/>
      <c r="AD21" s="176"/>
      <c r="AE21" s="176"/>
      <c r="AF21" s="176"/>
      <c r="AG21" s="193"/>
    </row>
    <row r="22" ht="25.5" customHeight="1">
      <c r="A22" s="42">
        <v>21.0</v>
      </c>
      <c r="B22" s="95"/>
      <c r="C22" s="88"/>
      <c r="D22" s="56" t="str">
        <f t="shared" si="14"/>
        <v>U</v>
      </c>
      <c r="E22" s="72"/>
      <c r="F22" s="56" t="str">
        <f t="shared" si="15"/>
        <v>U</v>
      </c>
      <c r="G22" s="72"/>
      <c r="H22" s="56" t="str">
        <f t="shared" si="16"/>
        <v>U</v>
      </c>
      <c r="I22" s="72"/>
      <c r="J22" s="56" t="str">
        <f t="shared" si="17"/>
        <v>U</v>
      </c>
      <c r="K22" s="72"/>
      <c r="L22" s="56" t="str">
        <f t="shared" si="18"/>
        <v>U</v>
      </c>
      <c r="M22" s="72"/>
      <c r="N22" s="56" t="str">
        <f t="shared" si="19"/>
        <v>U</v>
      </c>
      <c r="O22" s="72"/>
      <c r="P22" s="56" t="str">
        <f t="shared" si="20"/>
        <v>U</v>
      </c>
      <c r="Q22" s="72"/>
      <c r="R22" s="56" t="str">
        <f t="shared" si="21"/>
        <v>U</v>
      </c>
      <c r="S22" s="236"/>
      <c r="T22" s="56" t="str">
        <f t="shared" si="22"/>
        <v>U</v>
      </c>
      <c r="U22" s="43"/>
      <c r="V22" s="56" t="str">
        <f t="shared" si="23"/>
        <v>U</v>
      </c>
      <c r="W22" s="56"/>
      <c r="X22" s="56"/>
      <c r="Y22" s="42"/>
      <c r="Z22" s="233" t="str">
        <f t="shared" si="24"/>
        <v>#DIV/0!</v>
      </c>
      <c r="AA22" s="72" t="str">
        <f t="shared" si="25"/>
        <v>#DIV/0!</v>
      </c>
      <c r="AB22" s="176"/>
      <c r="AC22" s="176"/>
      <c r="AD22" s="176"/>
      <c r="AE22" s="176"/>
      <c r="AF22" s="176"/>
      <c r="AG22" s="193"/>
    </row>
    <row r="23" ht="15.75" customHeight="1">
      <c r="B23" s="101"/>
      <c r="C23" s="147"/>
      <c r="D23" s="103"/>
      <c r="E23" s="33"/>
      <c r="F23" s="105"/>
      <c r="G23" s="33"/>
      <c r="H23" s="105"/>
      <c r="I23" s="33"/>
      <c r="J23" s="105"/>
      <c r="K23" s="33"/>
      <c r="L23" s="105"/>
      <c r="M23" s="33"/>
      <c r="N23" s="105"/>
      <c r="O23" s="33"/>
      <c r="P23" s="105"/>
      <c r="Q23" s="33"/>
      <c r="R23" s="105"/>
      <c r="S23" s="33"/>
      <c r="T23" s="101"/>
      <c r="U23" s="33"/>
      <c r="V23" s="101"/>
      <c r="W23" s="101"/>
      <c r="X23" s="101"/>
      <c r="Y23" s="101"/>
      <c r="Z23" s="101"/>
      <c r="AA23" s="101"/>
      <c r="AB23" s="101"/>
      <c r="AC23" s="101"/>
      <c r="AG23" s="174"/>
    </row>
    <row r="24" ht="15.75" customHeight="1">
      <c r="B24" s="101"/>
      <c r="C24" s="147"/>
      <c r="D24" s="103"/>
      <c r="E24" s="33"/>
      <c r="F24" s="105"/>
      <c r="G24" s="33"/>
      <c r="H24" s="105"/>
      <c r="I24" s="33"/>
      <c r="J24" s="105"/>
      <c r="K24" s="33"/>
      <c r="L24" s="105"/>
      <c r="M24" s="33"/>
      <c r="N24" s="105"/>
      <c r="O24" s="33"/>
      <c r="P24" s="105"/>
      <c r="Q24" s="33"/>
      <c r="R24" s="105"/>
      <c r="S24" s="33"/>
      <c r="T24" s="101"/>
      <c r="U24" s="33"/>
      <c r="V24" s="101"/>
      <c r="W24" s="101"/>
      <c r="X24" s="101"/>
      <c r="Y24" s="101"/>
      <c r="Z24" s="101"/>
      <c r="AA24" s="101"/>
      <c r="AB24" s="101"/>
      <c r="AC24" s="101"/>
      <c r="AG24" s="174"/>
    </row>
    <row r="25" ht="15.75" customHeight="1">
      <c r="B25" s="101" t="s">
        <v>33</v>
      </c>
      <c r="C25" s="237">
        <f>AVERAGE(C2:C18)</f>
        <v>57.5</v>
      </c>
      <c r="D25" s="238"/>
      <c r="E25" s="237">
        <f>AVERAGE(E2:E18)</f>
        <v>56.11764706</v>
      </c>
      <c r="F25" s="105"/>
      <c r="G25" s="237">
        <f>AVERAGE(G2:G18)</f>
        <v>59</v>
      </c>
      <c r="H25" s="105"/>
      <c r="I25" s="237" t="str">
        <f>AVERAGE(I2:I18)</f>
        <v>#DIV/0!</v>
      </c>
      <c r="J25" s="105"/>
      <c r="K25" s="237">
        <f>AVERAGE(K2:K18)</f>
        <v>74.33333333</v>
      </c>
      <c r="L25" s="105"/>
      <c r="M25" s="237">
        <f>AVERAGE(M2:M18)</f>
        <v>47.78571429</v>
      </c>
      <c r="N25" s="105"/>
      <c r="O25" s="237">
        <f>AVERAGE(O2:O18)</f>
        <v>72.58823529</v>
      </c>
      <c r="P25" s="105"/>
      <c r="Q25" s="237">
        <f>AVERAGE(Q2:Q18)</f>
        <v>46.76923077</v>
      </c>
      <c r="R25" s="105"/>
      <c r="S25" s="237">
        <f>AVERAGE(S2:S18)</f>
        <v>68.44444444</v>
      </c>
      <c r="T25" s="101"/>
      <c r="U25" s="237">
        <f>AVERAGE(U2:U18)</f>
        <v>42.5</v>
      </c>
      <c r="V25" s="101"/>
      <c r="W25" s="237">
        <f>AVERAGE(W2:W18)</f>
        <v>60</v>
      </c>
      <c r="X25" s="101"/>
      <c r="Y25" s="101"/>
      <c r="Z25" s="101"/>
      <c r="AA25" s="101"/>
      <c r="AB25" s="101"/>
      <c r="AC25" s="101"/>
      <c r="AG25" s="174"/>
    </row>
    <row r="26" ht="15.75" customHeight="1">
      <c r="B26" s="101" t="s">
        <v>34</v>
      </c>
      <c r="C26" s="104">
        <f>COUNT(C2:C18)</f>
        <v>16</v>
      </c>
      <c r="D26" s="104"/>
      <c r="E26" s="104">
        <f>COUNT(E2:E18)</f>
        <v>17</v>
      </c>
      <c r="F26" s="105"/>
      <c r="G26" s="104">
        <f>COUNT(G2:G18)</f>
        <v>2</v>
      </c>
      <c r="H26" s="105"/>
      <c r="I26" s="104">
        <f>COUNT(I2:I18)</f>
        <v>0</v>
      </c>
      <c r="J26" s="105"/>
      <c r="K26" s="104">
        <f>COUNT(K2:K18)</f>
        <v>6</v>
      </c>
      <c r="L26" s="105"/>
      <c r="M26" s="104">
        <f>COUNT(M2:M18)</f>
        <v>14</v>
      </c>
      <c r="N26" s="105"/>
      <c r="O26" s="104">
        <f>COUNT(O2:O18)</f>
        <v>17</v>
      </c>
      <c r="P26" s="105"/>
      <c r="Q26" s="104">
        <f>COUNT(Q2:Q18)</f>
        <v>13</v>
      </c>
      <c r="R26" s="105"/>
      <c r="S26" s="104">
        <f>COUNT(S2:S18)</f>
        <v>9</v>
      </c>
      <c r="T26" s="101"/>
      <c r="U26" s="104">
        <f>COUNT(U2:U18)</f>
        <v>2</v>
      </c>
      <c r="V26" s="101"/>
      <c r="W26" s="104">
        <f>COUNT(W2:W18)</f>
        <v>4</v>
      </c>
      <c r="X26" s="101"/>
      <c r="Y26" s="101"/>
      <c r="Z26" s="101"/>
      <c r="AA26" s="101"/>
      <c r="AB26" s="101"/>
      <c r="AC26" s="101"/>
      <c r="AG26" s="174"/>
    </row>
    <row r="27" ht="15.75" customHeight="1">
      <c r="B27" s="101" t="s">
        <v>35</v>
      </c>
      <c r="C27" s="104">
        <f>COUNTIF(C2:C18,"&gt;49")</f>
        <v>12</v>
      </c>
      <c r="D27" s="104"/>
      <c r="E27" s="104">
        <f>COUNTIF(E2:E18,"&gt;49")</f>
        <v>10</v>
      </c>
      <c r="F27" s="105"/>
      <c r="G27" s="104">
        <f>COUNTIF(G2:G18,"&gt;49")</f>
        <v>2</v>
      </c>
      <c r="H27" s="105"/>
      <c r="I27" s="104">
        <f>COUNTIF(I2:I18,"&gt;49")</f>
        <v>0</v>
      </c>
      <c r="J27" s="105"/>
      <c r="K27" s="104">
        <f>COUNTIF(K2:K18,"&gt;49")</f>
        <v>6</v>
      </c>
      <c r="L27" s="105"/>
      <c r="M27" s="104">
        <f>COUNTIF(M2:M18,"&gt;49")</f>
        <v>5</v>
      </c>
      <c r="N27" s="105"/>
      <c r="O27" s="104">
        <f>COUNTIF(O2:O18,"&gt;49")</f>
        <v>17</v>
      </c>
      <c r="P27" s="105"/>
      <c r="Q27" s="104">
        <f>COUNTIF(Q2:Q18,"&gt;49")</f>
        <v>6</v>
      </c>
      <c r="R27" s="105"/>
      <c r="S27" s="104">
        <f>COUNTIF(S2:S18,"&gt;49")</f>
        <v>9</v>
      </c>
      <c r="T27" s="101"/>
      <c r="U27" s="104">
        <f>COUNTIF(U2:U18,"&gt;49")</f>
        <v>0</v>
      </c>
      <c r="V27" s="101"/>
      <c r="W27" s="104">
        <f>COUNTIF(W2:W18,"&gt;49")</f>
        <v>3</v>
      </c>
      <c r="X27" s="101"/>
      <c r="Y27" s="101"/>
      <c r="Z27" s="101"/>
      <c r="AA27" s="101"/>
      <c r="AB27" s="101"/>
      <c r="AC27" s="101"/>
      <c r="AG27" s="174"/>
    </row>
    <row r="28" ht="15.75" customHeight="1">
      <c r="B28" s="101" t="s">
        <v>36</v>
      </c>
      <c r="C28" s="104">
        <f>COUNTIF(C2:C18,"&lt;50")</f>
        <v>4</v>
      </c>
      <c r="D28" s="104"/>
      <c r="E28" s="104">
        <f>COUNTIF(E2:E18,"&lt;50")</f>
        <v>7</v>
      </c>
      <c r="F28" s="105"/>
      <c r="G28" s="104">
        <f>COUNTIF(G2:G18,"&lt;50")</f>
        <v>0</v>
      </c>
      <c r="H28" s="105"/>
      <c r="I28" s="104">
        <f>COUNTIF(I2:I18,"&lt;50")</f>
        <v>0</v>
      </c>
      <c r="J28" s="105"/>
      <c r="K28" s="104">
        <f>COUNTIF(K2:K18,"&lt;50")</f>
        <v>0</v>
      </c>
      <c r="L28" s="105"/>
      <c r="M28" s="104">
        <f>COUNTIF(M2:M18,"&lt;50")</f>
        <v>9</v>
      </c>
      <c r="N28" s="105"/>
      <c r="O28" s="104">
        <f>COUNTIF(O2:O18,"&lt;50")</f>
        <v>0</v>
      </c>
      <c r="P28" s="105"/>
      <c r="Q28" s="104">
        <f>COUNTIF(Q2:Q18,"&lt;50")</f>
        <v>7</v>
      </c>
      <c r="R28" s="105"/>
      <c r="S28" s="104">
        <f>COUNTIF(S2:S18,"&lt;50")</f>
        <v>0</v>
      </c>
      <c r="T28" s="101"/>
      <c r="U28" s="104">
        <f>COUNTIF(U2:U18,"&lt;50")</f>
        <v>2</v>
      </c>
      <c r="V28" s="101"/>
      <c r="W28" s="104">
        <f>COUNTIF(W2:W18,"&lt;50")</f>
        <v>1</v>
      </c>
      <c r="X28" s="101"/>
      <c r="Y28" s="101"/>
      <c r="Z28" s="101"/>
      <c r="AA28" s="101"/>
      <c r="AB28" s="101"/>
      <c r="AC28" s="101"/>
      <c r="AG28" s="174"/>
    </row>
    <row r="29" ht="15.75" customHeight="1">
      <c r="B29" s="31" t="s">
        <v>37</v>
      </c>
      <c r="C29" s="107">
        <f>C27*100/C26</f>
        <v>75</v>
      </c>
      <c r="D29" s="109"/>
      <c r="E29" s="107">
        <f>E27*100/E26</f>
        <v>58.82352941</v>
      </c>
      <c r="F29" s="110"/>
      <c r="G29" s="107">
        <f>G27*100/G26</f>
        <v>100</v>
      </c>
      <c r="H29" s="110"/>
      <c r="I29" s="107" t="str">
        <f>I27*100/I26</f>
        <v>#DIV/0!</v>
      </c>
      <c r="J29" s="110"/>
      <c r="K29" s="107">
        <f>K27*100/K26</f>
        <v>100</v>
      </c>
      <c r="L29" s="110"/>
      <c r="M29" s="107">
        <f>M27*100/M26</f>
        <v>35.71428571</v>
      </c>
      <c r="N29" s="110"/>
      <c r="O29" s="107">
        <f>O27*100/O26</f>
        <v>100</v>
      </c>
      <c r="P29" s="110"/>
      <c r="Q29" s="107">
        <f>Q27*100/Q26</f>
        <v>46.15384615</v>
      </c>
      <c r="R29" s="110"/>
      <c r="S29" s="107">
        <f>S27*100/S26</f>
        <v>100</v>
      </c>
      <c r="T29" s="31"/>
      <c r="U29" s="107">
        <f>U27*100/U26</f>
        <v>0</v>
      </c>
      <c r="V29" s="31"/>
      <c r="W29" s="107">
        <f>W27*100/W26</f>
        <v>75</v>
      </c>
      <c r="X29" s="31"/>
      <c r="Y29" s="31"/>
      <c r="Z29" s="31"/>
      <c r="AA29" s="31"/>
      <c r="AB29" s="31"/>
      <c r="AC29" s="31"/>
      <c r="AG29" s="174"/>
    </row>
    <row r="30" ht="15.75" customHeight="1">
      <c r="C30" s="98"/>
      <c r="D30" s="98"/>
      <c r="E30" s="39"/>
      <c r="F30" s="39"/>
      <c r="G30" s="39"/>
      <c r="H30" s="39"/>
      <c r="I30" s="39"/>
      <c r="J30" s="39"/>
      <c r="K30" s="39"/>
      <c r="L30" s="39"/>
      <c r="M30" s="39"/>
      <c r="N30" s="39"/>
      <c r="O30" s="39"/>
      <c r="P30" s="39"/>
      <c r="Q30" s="39"/>
      <c r="R30" s="39"/>
      <c r="S30" s="239"/>
      <c r="AG30" s="174"/>
    </row>
    <row r="31" ht="15.75" customHeight="1">
      <c r="C31" s="98"/>
      <c r="D31" s="98"/>
      <c r="E31" s="39"/>
      <c r="F31" s="39"/>
      <c r="G31" s="39"/>
      <c r="H31" s="39"/>
      <c r="I31" s="39"/>
      <c r="J31" s="39"/>
      <c r="K31" s="39"/>
      <c r="L31" s="39"/>
      <c r="M31" s="39"/>
      <c r="N31" s="39"/>
      <c r="O31" s="39"/>
      <c r="P31" s="39"/>
      <c r="Q31" s="39"/>
      <c r="R31" s="39"/>
      <c r="S31" s="239"/>
      <c r="AG31" s="174"/>
    </row>
    <row r="32" ht="15.75" customHeight="1">
      <c r="A32" s="26" t="s">
        <v>139</v>
      </c>
      <c r="B32" s="26">
        <v>0.0</v>
      </c>
      <c r="C32" s="113" t="s">
        <v>140</v>
      </c>
      <c r="D32" s="98"/>
      <c r="E32" s="39"/>
      <c r="F32" s="39"/>
      <c r="G32" s="39"/>
      <c r="H32" s="39"/>
      <c r="I32" s="39"/>
      <c r="J32" s="39"/>
      <c r="K32" s="39"/>
      <c r="L32" s="39"/>
      <c r="M32" s="39"/>
      <c r="N32" s="39"/>
      <c r="O32" s="39"/>
      <c r="P32" s="39"/>
      <c r="Q32" s="39"/>
      <c r="R32" s="39"/>
      <c r="S32" s="239"/>
      <c r="AG32" s="174"/>
    </row>
    <row r="33" ht="15.75" customHeight="1">
      <c r="A33" s="26" t="s">
        <v>141</v>
      </c>
      <c r="B33" s="26">
        <v>20.0</v>
      </c>
      <c r="C33" s="113" t="s">
        <v>142</v>
      </c>
      <c r="D33" s="98"/>
      <c r="E33" s="39"/>
      <c r="F33" s="39"/>
      <c r="G33" s="39"/>
      <c r="H33" s="39"/>
      <c r="I33" s="39"/>
      <c r="J33" s="39"/>
      <c r="K33" s="39"/>
      <c r="L33" s="39"/>
      <c r="M33" s="39"/>
      <c r="N33" s="39"/>
      <c r="O33" s="39"/>
      <c r="P33" s="39"/>
      <c r="Q33" s="39"/>
      <c r="R33" s="39"/>
      <c r="S33" s="239"/>
      <c r="AG33" s="174"/>
    </row>
    <row r="34" ht="15.75" customHeight="1">
      <c r="A34" s="114" t="s">
        <v>143</v>
      </c>
      <c r="B34" s="115">
        <v>30.0</v>
      </c>
      <c r="C34" s="114" t="s">
        <v>144</v>
      </c>
      <c r="D34" s="98"/>
      <c r="E34" s="39"/>
      <c r="F34" s="39"/>
      <c r="G34" s="39"/>
      <c r="H34" s="39"/>
      <c r="I34" s="39"/>
      <c r="J34" s="39"/>
      <c r="K34" s="39"/>
      <c r="L34" s="39"/>
      <c r="M34" s="39"/>
      <c r="N34" s="39"/>
      <c r="O34" s="39"/>
      <c r="P34" s="39"/>
      <c r="Q34" s="39"/>
      <c r="R34" s="39"/>
      <c r="S34" s="239"/>
      <c r="AG34" s="174"/>
    </row>
    <row r="35" ht="15.75" customHeight="1">
      <c r="A35" s="114" t="s">
        <v>145</v>
      </c>
      <c r="B35" s="115">
        <v>40.0</v>
      </c>
      <c r="C35" s="114" t="s">
        <v>146</v>
      </c>
      <c r="D35" s="98"/>
      <c r="E35" s="39"/>
      <c r="F35" s="39"/>
      <c r="G35" s="39"/>
      <c r="H35" s="39"/>
      <c r="I35" s="39"/>
      <c r="J35" s="39"/>
      <c r="K35" s="39"/>
      <c r="L35" s="39"/>
      <c r="M35" s="39"/>
      <c r="N35" s="39"/>
      <c r="O35" s="39"/>
      <c r="P35" s="39"/>
      <c r="Q35" s="39"/>
      <c r="R35" s="39"/>
      <c r="S35" s="239"/>
      <c r="AG35" s="174"/>
    </row>
    <row r="36" ht="15.75" customHeight="1">
      <c r="A36" s="114" t="s">
        <v>147</v>
      </c>
      <c r="B36" s="115">
        <v>50.0</v>
      </c>
      <c r="C36" s="114" t="s">
        <v>93</v>
      </c>
      <c r="D36" s="98"/>
      <c r="E36" s="39"/>
      <c r="F36" s="39"/>
      <c r="G36" s="39"/>
      <c r="H36" s="39"/>
      <c r="I36" s="39"/>
      <c r="J36" s="39"/>
      <c r="K36" s="39"/>
      <c r="L36" s="39"/>
      <c r="M36" s="39"/>
      <c r="N36" s="39"/>
      <c r="O36" s="39"/>
      <c r="P36" s="39"/>
      <c r="Q36" s="39"/>
      <c r="R36" s="39"/>
      <c r="S36" s="239"/>
      <c r="AG36" s="174"/>
    </row>
    <row r="37" ht="15.75" customHeight="1">
      <c r="A37" s="114" t="s">
        <v>148</v>
      </c>
      <c r="B37" s="115">
        <v>60.0</v>
      </c>
      <c r="C37" s="114" t="s">
        <v>90</v>
      </c>
      <c r="D37" s="98"/>
      <c r="E37" s="39"/>
      <c r="F37" s="39"/>
      <c r="G37" s="39"/>
      <c r="H37" s="39"/>
      <c r="I37" s="39"/>
      <c r="J37" s="39"/>
      <c r="K37" s="39"/>
      <c r="L37" s="39"/>
      <c r="M37" s="39"/>
      <c r="N37" s="39"/>
      <c r="O37" s="39"/>
      <c r="P37" s="39"/>
      <c r="Q37" s="39"/>
      <c r="R37" s="39"/>
      <c r="S37" s="239"/>
      <c r="AG37" s="174"/>
    </row>
    <row r="38" ht="15.75" customHeight="1">
      <c r="A38" s="114" t="s">
        <v>149</v>
      </c>
      <c r="B38" s="115">
        <v>70.0</v>
      </c>
      <c r="C38" s="114" t="s">
        <v>87</v>
      </c>
      <c r="D38" s="98"/>
      <c r="E38" s="39"/>
      <c r="F38" s="39"/>
      <c r="G38" s="39"/>
      <c r="H38" s="39"/>
      <c r="I38" s="39"/>
      <c r="J38" s="39"/>
      <c r="K38" s="39"/>
      <c r="L38" s="39"/>
      <c r="M38" s="39"/>
      <c r="N38" s="39"/>
      <c r="O38" s="39"/>
      <c r="P38" s="39"/>
      <c r="Q38" s="39"/>
      <c r="R38" s="39"/>
      <c r="S38" s="239"/>
      <c r="AG38" s="174"/>
    </row>
    <row r="39" ht="15.75" customHeight="1">
      <c r="A39" s="116" t="s">
        <v>150</v>
      </c>
      <c r="B39" s="117">
        <v>80.0</v>
      </c>
      <c r="C39" s="116" t="s">
        <v>85</v>
      </c>
      <c r="D39" s="98"/>
      <c r="E39" s="39"/>
      <c r="F39" s="39"/>
      <c r="G39" s="39"/>
      <c r="H39" s="39"/>
      <c r="I39" s="39"/>
      <c r="J39" s="39"/>
      <c r="K39" s="39"/>
      <c r="L39" s="39"/>
      <c r="M39" s="39"/>
      <c r="N39" s="39"/>
      <c r="O39" s="39"/>
      <c r="P39" s="39"/>
      <c r="Q39" s="39"/>
      <c r="R39" s="39"/>
      <c r="S39" s="239"/>
      <c r="AG39" s="174"/>
    </row>
    <row r="40" ht="15.75" customHeight="1">
      <c r="A40" s="116" t="s">
        <v>151</v>
      </c>
      <c r="B40" s="117">
        <v>90.0</v>
      </c>
      <c r="C40" s="116" t="s">
        <v>152</v>
      </c>
      <c r="D40" s="98"/>
      <c r="E40" s="39"/>
      <c r="F40" s="39"/>
      <c r="G40" s="39"/>
      <c r="H40" s="39"/>
      <c r="I40" s="39"/>
      <c r="J40" s="39"/>
      <c r="K40" s="39"/>
      <c r="L40" s="39"/>
      <c r="M40" s="39"/>
      <c r="N40" s="39"/>
      <c r="O40" s="39"/>
      <c r="P40" s="39"/>
      <c r="Q40" s="39"/>
      <c r="R40" s="39"/>
      <c r="S40" s="239"/>
      <c r="AG40" s="174"/>
    </row>
    <row r="41" ht="15.75" customHeight="1">
      <c r="C41" s="98"/>
      <c r="D41" s="98"/>
      <c r="E41" s="39"/>
      <c r="F41" s="39"/>
      <c r="G41" s="39"/>
      <c r="H41" s="39"/>
      <c r="I41" s="39"/>
      <c r="J41" s="39"/>
      <c r="K41" s="39"/>
      <c r="L41" s="39"/>
      <c r="M41" s="39"/>
      <c r="N41" s="39"/>
      <c r="O41" s="39"/>
      <c r="P41" s="39"/>
      <c r="Q41" s="39"/>
      <c r="R41" s="39"/>
      <c r="S41" s="239"/>
      <c r="AG41" s="174"/>
    </row>
    <row r="42" ht="15.75" customHeight="1">
      <c r="C42" s="98"/>
      <c r="D42" s="98"/>
      <c r="E42" s="39"/>
      <c r="F42" s="39"/>
      <c r="G42" s="39"/>
      <c r="H42" s="39"/>
      <c r="I42" s="39"/>
      <c r="J42" s="39"/>
      <c r="K42" s="39"/>
      <c r="L42" s="39"/>
      <c r="M42" s="39"/>
      <c r="N42" s="39"/>
      <c r="O42" s="39"/>
      <c r="P42" s="39"/>
      <c r="Q42" s="39"/>
      <c r="R42" s="39"/>
      <c r="S42" s="239"/>
      <c r="AG42" s="174"/>
    </row>
    <row r="43" ht="15.75" customHeight="1">
      <c r="C43" s="98"/>
      <c r="D43" s="98"/>
      <c r="E43" s="39"/>
      <c r="F43" s="39"/>
      <c r="G43" s="39"/>
      <c r="H43" s="39"/>
      <c r="I43" s="39"/>
      <c r="J43" s="39"/>
      <c r="K43" s="39"/>
      <c r="L43" s="39"/>
      <c r="M43" s="39"/>
      <c r="N43" s="39"/>
      <c r="O43" s="39"/>
      <c r="P43" s="39"/>
      <c r="Q43" s="39"/>
      <c r="R43" s="39"/>
      <c r="S43" s="239"/>
      <c r="AG43" s="174"/>
    </row>
    <row r="44" ht="15.75" customHeight="1">
      <c r="C44" s="98"/>
      <c r="D44" s="98"/>
      <c r="E44" s="39"/>
      <c r="F44" s="39"/>
      <c r="G44" s="39"/>
      <c r="H44" s="39"/>
      <c r="I44" s="39"/>
      <c r="J44" s="39"/>
      <c r="K44" s="39"/>
      <c r="L44" s="39"/>
      <c r="M44" s="39"/>
      <c r="N44" s="39"/>
      <c r="O44" s="39"/>
      <c r="P44" s="39"/>
      <c r="Q44" s="39"/>
      <c r="R44" s="39"/>
      <c r="S44" s="239"/>
      <c r="AG44" s="174"/>
    </row>
    <row r="45" ht="15.75" customHeight="1">
      <c r="C45" s="98"/>
      <c r="D45" s="98"/>
      <c r="E45" s="39"/>
      <c r="F45" s="39"/>
      <c r="G45" s="39"/>
      <c r="H45" s="39"/>
      <c r="I45" s="39"/>
      <c r="J45" s="39"/>
      <c r="K45" s="39"/>
      <c r="L45" s="39"/>
      <c r="M45" s="39"/>
      <c r="N45" s="39"/>
      <c r="O45" s="39"/>
      <c r="P45" s="39"/>
      <c r="Q45" s="39"/>
      <c r="R45" s="39"/>
      <c r="S45" s="239"/>
      <c r="AG45" s="174"/>
    </row>
    <row r="46" ht="15.75" customHeight="1">
      <c r="C46" s="98"/>
      <c r="D46" s="98"/>
      <c r="E46" s="39"/>
      <c r="F46" s="39"/>
      <c r="G46" s="39"/>
      <c r="H46" s="39"/>
      <c r="I46" s="39"/>
      <c r="J46" s="39"/>
      <c r="K46" s="39"/>
      <c r="L46" s="39"/>
      <c r="M46" s="39"/>
      <c r="N46" s="39"/>
      <c r="O46" s="39"/>
      <c r="P46" s="39"/>
      <c r="Q46" s="39"/>
      <c r="R46" s="39"/>
      <c r="S46" s="239"/>
      <c r="AG46" s="174"/>
    </row>
    <row r="47" ht="15.75" customHeight="1">
      <c r="C47" s="98"/>
      <c r="D47" s="98"/>
      <c r="E47" s="39"/>
      <c r="F47" s="39"/>
      <c r="G47" s="39"/>
      <c r="H47" s="39"/>
      <c r="I47" s="39"/>
      <c r="J47" s="39"/>
      <c r="K47" s="39"/>
      <c r="L47" s="39"/>
      <c r="M47" s="39"/>
      <c r="N47" s="39"/>
      <c r="O47" s="39"/>
      <c r="P47" s="39"/>
      <c r="Q47" s="39"/>
      <c r="R47" s="39"/>
      <c r="S47" s="239"/>
      <c r="AG47" s="174"/>
    </row>
    <row r="48" ht="15.75" customHeight="1">
      <c r="C48" s="98"/>
      <c r="D48" s="98"/>
      <c r="E48" s="39"/>
      <c r="F48" s="39"/>
      <c r="G48" s="39"/>
      <c r="H48" s="39"/>
      <c r="I48" s="39"/>
      <c r="J48" s="39"/>
      <c r="K48" s="39"/>
      <c r="L48" s="39"/>
      <c r="M48" s="39"/>
      <c r="N48" s="39"/>
      <c r="O48" s="39"/>
      <c r="P48" s="39"/>
      <c r="Q48" s="39"/>
      <c r="R48" s="39"/>
      <c r="S48" s="239"/>
      <c r="AG48" s="174"/>
    </row>
    <row r="49" ht="15.75" customHeight="1">
      <c r="C49" s="98"/>
      <c r="D49" s="98"/>
      <c r="E49" s="39"/>
      <c r="F49" s="39"/>
      <c r="G49" s="39"/>
      <c r="H49" s="39"/>
      <c r="I49" s="39"/>
      <c r="J49" s="39"/>
      <c r="K49" s="39"/>
      <c r="L49" s="39"/>
      <c r="M49" s="39"/>
      <c r="N49" s="39"/>
      <c r="O49" s="39"/>
      <c r="P49" s="39"/>
      <c r="Q49" s="39"/>
      <c r="R49" s="39"/>
      <c r="S49" s="239"/>
      <c r="AG49" s="174"/>
    </row>
    <row r="50" ht="15.75" customHeight="1">
      <c r="C50" s="98"/>
      <c r="D50" s="98"/>
      <c r="E50" s="39"/>
      <c r="F50" s="39"/>
      <c r="G50" s="39"/>
      <c r="H50" s="39"/>
      <c r="I50" s="39"/>
      <c r="J50" s="39"/>
      <c r="K50" s="39"/>
      <c r="L50" s="39"/>
      <c r="M50" s="39"/>
      <c r="N50" s="39"/>
      <c r="O50" s="39"/>
      <c r="P50" s="39"/>
      <c r="Q50" s="39"/>
      <c r="R50" s="39"/>
      <c r="S50" s="239"/>
      <c r="AG50" s="174"/>
    </row>
    <row r="51" ht="15.75" customHeight="1">
      <c r="C51" s="98"/>
      <c r="D51" s="98"/>
      <c r="E51" s="39"/>
      <c r="F51" s="39"/>
      <c r="G51" s="39"/>
      <c r="H51" s="39"/>
      <c r="I51" s="39"/>
      <c r="J51" s="39"/>
      <c r="K51" s="39"/>
      <c r="L51" s="39"/>
      <c r="M51" s="39"/>
      <c r="N51" s="39"/>
      <c r="O51" s="39"/>
      <c r="P51" s="39"/>
      <c r="Q51" s="39"/>
      <c r="R51" s="39"/>
      <c r="S51" s="239"/>
      <c r="AG51" s="174"/>
    </row>
    <row r="52" ht="15.75" customHeight="1">
      <c r="C52" s="98"/>
      <c r="D52" s="98"/>
      <c r="E52" s="39"/>
      <c r="F52" s="39"/>
      <c r="G52" s="39"/>
      <c r="H52" s="39"/>
      <c r="I52" s="39"/>
      <c r="J52" s="39"/>
      <c r="K52" s="39"/>
      <c r="L52" s="39"/>
      <c r="M52" s="39"/>
      <c r="N52" s="39"/>
      <c r="O52" s="39"/>
      <c r="P52" s="39"/>
      <c r="Q52" s="39"/>
      <c r="R52" s="39"/>
      <c r="S52" s="239"/>
      <c r="AG52" s="174"/>
    </row>
    <row r="53" ht="15.75" customHeight="1">
      <c r="C53" s="98"/>
      <c r="D53" s="98"/>
      <c r="E53" s="39"/>
      <c r="F53" s="39"/>
      <c r="G53" s="39"/>
      <c r="H53" s="39"/>
      <c r="I53" s="39"/>
      <c r="J53" s="39"/>
      <c r="K53" s="39"/>
      <c r="L53" s="39"/>
      <c r="M53" s="39"/>
      <c r="N53" s="39"/>
      <c r="O53" s="39"/>
      <c r="P53" s="39"/>
      <c r="Q53" s="39"/>
      <c r="R53" s="39"/>
      <c r="S53" s="239"/>
      <c r="AG53" s="174"/>
    </row>
    <row r="54" ht="15.75" customHeight="1">
      <c r="C54" s="98"/>
      <c r="D54" s="98"/>
      <c r="E54" s="39"/>
      <c r="F54" s="39"/>
      <c r="G54" s="39"/>
      <c r="H54" s="39"/>
      <c r="I54" s="39"/>
      <c r="J54" s="39"/>
      <c r="K54" s="39"/>
      <c r="L54" s="39"/>
      <c r="M54" s="39"/>
      <c r="N54" s="39"/>
      <c r="O54" s="39"/>
      <c r="P54" s="39"/>
      <c r="Q54" s="39"/>
      <c r="R54" s="39"/>
      <c r="S54" s="239"/>
      <c r="AG54" s="174"/>
    </row>
    <row r="55" ht="15.75" customHeight="1">
      <c r="C55" s="98"/>
      <c r="D55" s="98"/>
      <c r="E55" s="39"/>
      <c r="F55" s="39"/>
      <c r="G55" s="39"/>
      <c r="H55" s="39"/>
      <c r="I55" s="39"/>
      <c r="J55" s="39"/>
      <c r="K55" s="39"/>
      <c r="L55" s="39"/>
      <c r="M55" s="39"/>
      <c r="N55" s="39"/>
      <c r="O55" s="39"/>
      <c r="P55" s="39"/>
      <c r="Q55" s="39"/>
      <c r="R55" s="39"/>
      <c r="S55" s="239"/>
      <c r="AG55" s="174"/>
    </row>
    <row r="56" ht="15.75" customHeight="1">
      <c r="C56" s="98"/>
      <c r="D56" s="98"/>
      <c r="E56" s="39"/>
      <c r="F56" s="39"/>
      <c r="G56" s="39"/>
      <c r="H56" s="39"/>
      <c r="I56" s="39"/>
      <c r="J56" s="39"/>
      <c r="K56" s="39"/>
      <c r="L56" s="39"/>
      <c r="M56" s="39"/>
      <c r="N56" s="39"/>
      <c r="O56" s="39"/>
      <c r="P56" s="39"/>
      <c r="Q56" s="39"/>
      <c r="R56" s="39"/>
      <c r="S56" s="239"/>
      <c r="AG56" s="174"/>
    </row>
    <row r="57" ht="15.75" customHeight="1">
      <c r="C57" s="98"/>
      <c r="D57" s="98"/>
      <c r="E57" s="39"/>
      <c r="F57" s="39"/>
      <c r="G57" s="39"/>
      <c r="H57" s="39"/>
      <c r="I57" s="39"/>
      <c r="J57" s="39"/>
      <c r="K57" s="39"/>
      <c r="L57" s="39"/>
      <c r="M57" s="39"/>
      <c r="N57" s="39"/>
      <c r="O57" s="39"/>
      <c r="P57" s="39"/>
      <c r="Q57" s="39"/>
      <c r="R57" s="39"/>
      <c r="S57" s="239"/>
      <c r="AG57" s="174"/>
    </row>
    <row r="58" ht="15.75" customHeight="1">
      <c r="C58" s="98"/>
      <c r="D58" s="98"/>
      <c r="E58" s="39"/>
      <c r="F58" s="39"/>
      <c r="G58" s="39"/>
      <c r="H58" s="39"/>
      <c r="I58" s="39"/>
      <c r="J58" s="39"/>
      <c r="K58" s="39"/>
      <c r="L58" s="39"/>
      <c r="M58" s="39"/>
      <c r="N58" s="39"/>
      <c r="O58" s="39"/>
      <c r="P58" s="39"/>
      <c r="Q58" s="39"/>
      <c r="R58" s="39"/>
      <c r="S58" s="239"/>
      <c r="AG58" s="174"/>
    </row>
    <row r="59" ht="15.75" customHeight="1">
      <c r="C59" s="98"/>
      <c r="D59" s="98"/>
      <c r="E59" s="39"/>
      <c r="F59" s="39"/>
      <c r="G59" s="39"/>
      <c r="H59" s="39"/>
      <c r="I59" s="39"/>
      <c r="J59" s="39"/>
      <c r="K59" s="39"/>
      <c r="L59" s="39"/>
      <c r="M59" s="39"/>
      <c r="N59" s="39"/>
      <c r="O59" s="39"/>
      <c r="P59" s="39"/>
      <c r="Q59" s="39"/>
      <c r="R59" s="39"/>
      <c r="S59" s="239"/>
      <c r="AG59" s="174"/>
    </row>
    <row r="60" ht="15.75" customHeight="1">
      <c r="C60" s="98"/>
      <c r="D60" s="98"/>
      <c r="E60" s="39"/>
      <c r="F60" s="39"/>
      <c r="G60" s="39"/>
      <c r="H60" s="39"/>
      <c r="I60" s="39"/>
      <c r="J60" s="39"/>
      <c r="K60" s="39"/>
      <c r="L60" s="39"/>
      <c r="M60" s="39"/>
      <c r="N60" s="39"/>
      <c r="O60" s="39"/>
      <c r="P60" s="39"/>
      <c r="Q60" s="39"/>
      <c r="R60" s="39"/>
      <c r="S60" s="239"/>
      <c r="AG60" s="174"/>
    </row>
    <row r="61" ht="15.75" customHeight="1">
      <c r="C61" s="98"/>
      <c r="D61" s="98"/>
      <c r="E61" s="39"/>
      <c r="F61" s="39"/>
      <c r="G61" s="39"/>
      <c r="H61" s="39"/>
      <c r="I61" s="39"/>
      <c r="J61" s="39"/>
      <c r="K61" s="39"/>
      <c r="L61" s="39"/>
      <c r="M61" s="39"/>
      <c r="N61" s="39"/>
      <c r="O61" s="39"/>
      <c r="P61" s="39"/>
      <c r="Q61" s="39"/>
      <c r="R61" s="39"/>
      <c r="S61" s="239"/>
      <c r="AG61" s="174"/>
    </row>
    <row r="62" ht="15.75" customHeight="1">
      <c r="C62" s="98"/>
      <c r="D62" s="98"/>
      <c r="E62" s="39"/>
      <c r="F62" s="39"/>
      <c r="G62" s="39"/>
      <c r="H62" s="39"/>
      <c r="I62" s="39"/>
      <c r="J62" s="39"/>
      <c r="K62" s="39"/>
      <c r="L62" s="39"/>
      <c r="M62" s="39"/>
      <c r="N62" s="39"/>
      <c r="O62" s="39"/>
      <c r="P62" s="39"/>
      <c r="Q62" s="39"/>
      <c r="R62" s="39"/>
      <c r="S62" s="239"/>
      <c r="AG62" s="174"/>
    </row>
    <row r="63" ht="15.75" customHeight="1">
      <c r="C63" s="98"/>
      <c r="D63" s="98"/>
      <c r="E63" s="39"/>
      <c r="F63" s="39"/>
      <c r="G63" s="39"/>
      <c r="H63" s="39"/>
      <c r="I63" s="39"/>
      <c r="J63" s="39"/>
      <c r="K63" s="39"/>
      <c r="L63" s="39"/>
      <c r="M63" s="39"/>
      <c r="N63" s="39"/>
      <c r="O63" s="39"/>
      <c r="P63" s="39"/>
      <c r="Q63" s="39"/>
      <c r="R63" s="39"/>
      <c r="S63" s="239"/>
      <c r="AG63" s="174"/>
    </row>
    <row r="64" ht="15.75" customHeight="1">
      <c r="C64" s="98"/>
      <c r="D64" s="98"/>
      <c r="E64" s="39"/>
      <c r="F64" s="39"/>
      <c r="G64" s="39"/>
      <c r="H64" s="39"/>
      <c r="I64" s="39"/>
      <c r="J64" s="39"/>
      <c r="K64" s="39"/>
      <c r="L64" s="39"/>
      <c r="M64" s="39"/>
      <c r="N64" s="39"/>
      <c r="O64" s="39"/>
      <c r="P64" s="39"/>
      <c r="Q64" s="39"/>
      <c r="R64" s="39"/>
      <c r="S64" s="239"/>
      <c r="AG64" s="174"/>
    </row>
    <row r="65" ht="15.75" customHeight="1">
      <c r="C65" s="98"/>
      <c r="D65" s="98"/>
      <c r="E65" s="39"/>
      <c r="F65" s="39"/>
      <c r="G65" s="39"/>
      <c r="H65" s="39"/>
      <c r="I65" s="39"/>
      <c r="J65" s="39"/>
      <c r="K65" s="39"/>
      <c r="L65" s="39"/>
      <c r="M65" s="39"/>
      <c r="N65" s="39"/>
      <c r="O65" s="39"/>
      <c r="P65" s="39"/>
      <c r="Q65" s="39"/>
      <c r="R65" s="39"/>
      <c r="S65" s="239"/>
      <c r="AG65" s="174"/>
    </row>
    <row r="66" ht="15.75" customHeight="1">
      <c r="C66" s="98"/>
      <c r="D66" s="98"/>
      <c r="E66" s="39"/>
      <c r="F66" s="39"/>
      <c r="G66" s="39"/>
      <c r="H66" s="39"/>
      <c r="I66" s="39"/>
      <c r="J66" s="39"/>
      <c r="K66" s="39"/>
      <c r="L66" s="39"/>
      <c r="M66" s="39"/>
      <c r="N66" s="39"/>
      <c r="O66" s="39"/>
      <c r="P66" s="39"/>
      <c r="Q66" s="39"/>
      <c r="R66" s="39"/>
      <c r="S66" s="239"/>
      <c r="AG66" s="174"/>
    </row>
    <row r="67" ht="15.75" customHeight="1">
      <c r="C67" s="98"/>
      <c r="D67" s="98"/>
      <c r="E67" s="39"/>
      <c r="F67" s="39"/>
      <c r="G67" s="39"/>
      <c r="H67" s="39"/>
      <c r="I67" s="39"/>
      <c r="J67" s="39"/>
      <c r="K67" s="39"/>
      <c r="L67" s="39"/>
      <c r="M67" s="39"/>
      <c r="N67" s="39"/>
      <c r="O67" s="39"/>
      <c r="P67" s="39"/>
      <c r="Q67" s="39"/>
      <c r="R67" s="39"/>
      <c r="S67" s="239"/>
      <c r="AG67" s="174"/>
    </row>
    <row r="68" ht="15.75" customHeight="1">
      <c r="C68" s="98"/>
      <c r="D68" s="98"/>
      <c r="E68" s="39"/>
      <c r="F68" s="39"/>
      <c r="G68" s="39"/>
      <c r="H68" s="39"/>
      <c r="I68" s="39"/>
      <c r="J68" s="39"/>
      <c r="K68" s="39"/>
      <c r="L68" s="39"/>
      <c r="M68" s="39"/>
      <c r="N68" s="39"/>
      <c r="O68" s="39"/>
      <c r="P68" s="39"/>
      <c r="Q68" s="39"/>
      <c r="R68" s="39"/>
      <c r="S68" s="239"/>
      <c r="AG68" s="174"/>
    </row>
    <row r="69" ht="15.75" customHeight="1">
      <c r="C69" s="98"/>
      <c r="D69" s="98"/>
      <c r="E69" s="39"/>
      <c r="F69" s="39"/>
      <c r="G69" s="39"/>
      <c r="H69" s="39"/>
      <c r="I69" s="39"/>
      <c r="J69" s="39"/>
      <c r="K69" s="39"/>
      <c r="L69" s="39"/>
      <c r="M69" s="39"/>
      <c r="N69" s="39"/>
      <c r="O69" s="39"/>
      <c r="P69" s="39"/>
      <c r="Q69" s="39"/>
      <c r="R69" s="39"/>
      <c r="S69" s="239"/>
      <c r="AG69" s="174"/>
    </row>
    <row r="70" ht="15.75" customHeight="1">
      <c r="C70" s="98"/>
      <c r="D70" s="98"/>
      <c r="E70" s="39"/>
      <c r="F70" s="39"/>
      <c r="G70" s="39"/>
      <c r="H70" s="39"/>
      <c r="I70" s="39"/>
      <c r="J70" s="39"/>
      <c r="K70" s="39"/>
      <c r="L70" s="39"/>
      <c r="M70" s="39"/>
      <c r="N70" s="39"/>
      <c r="O70" s="39"/>
      <c r="P70" s="39"/>
      <c r="Q70" s="39"/>
      <c r="R70" s="39"/>
      <c r="S70" s="239"/>
      <c r="AG70" s="174"/>
    </row>
    <row r="71" ht="15.75" customHeight="1">
      <c r="C71" s="98"/>
      <c r="D71" s="98"/>
      <c r="E71" s="39"/>
      <c r="F71" s="39"/>
      <c r="G71" s="39"/>
      <c r="H71" s="39"/>
      <c r="I71" s="39"/>
      <c r="J71" s="39"/>
      <c r="K71" s="39"/>
      <c r="L71" s="39"/>
      <c r="M71" s="39"/>
      <c r="N71" s="39"/>
      <c r="O71" s="39"/>
      <c r="P71" s="39"/>
      <c r="Q71" s="39"/>
      <c r="R71" s="39"/>
      <c r="S71" s="239"/>
      <c r="AG71" s="174"/>
    </row>
    <row r="72" ht="15.75" customHeight="1">
      <c r="C72" s="98"/>
      <c r="D72" s="98"/>
      <c r="E72" s="39"/>
      <c r="F72" s="39"/>
      <c r="G72" s="39"/>
      <c r="H72" s="39"/>
      <c r="I72" s="39"/>
      <c r="J72" s="39"/>
      <c r="K72" s="39"/>
      <c r="L72" s="39"/>
      <c r="M72" s="39"/>
      <c r="N72" s="39"/>
      <c r="O72" s="39"/>
      <c r="P72" s="39"/>
      <c r="Q72" s="39"/>
      <c r="R72" s="39"/>
      <c r="S72" s="239"/>
      <c r="AG72" s="174"/>
    </row>
    <row r="73" ht="15.75" customHeight="1">
      <c r="C73" s="98"/>
      <c r="D73" s="98"/>
      <c r="E73" s="39"/>
      <c r="F73" s="39"/>
      <c r="G73" s="39"/>
      <c r="H73" s="39"/>
      <c r="I73" s="39"/>
      <c r="J73" s="39"/>
      <c r="K73" s="39"/>
      <c r="L73" s="39"/>
      <c r="M73" s="39"/>
      <c r="N73" s="39"/>
      <c r="O73" s="39"/>
      <c r="P73" s="39"/>
      <c r="Q73" s="39"/>
      <c r="R73" s="39"/>
      <c r="S73" s="239"/>
      <c r="AG73" s="174"/>
    </row>
    <row r="74" ht="15.75" customHeight="1">
      <c r="C74" s="98"/>
      <c r="D74" s="98"/>
      <c r="E74" s="39"/>
      <c r="F74" s="39"/>
      <c r="G74" s="39"/>
      <c r="H74" s="39"/>
      <c r="I74" s="39"/>
      <c r="J74" s="39"/>
      <c r="K74" s="39"/>
      <c r="L74" s="39"/>
      <c r="M74" s="39"/>
      <c r="N74" s="39"/>
      <c r="O74" s="39"/>
      <c r="P74" s="39"/>
      <c r="Q74" s="39"/>
      <c r="R74" s="39"/>
      <c r="S74" s="239"/>
      <c r="AG74" s="174"/>
    </row>
    <row r="75" ht="15.75" customHeight="1">
      <c r="C75" s="98"/>
      <c r="D75" s="98"/>
      <c r="E75" s="39"/>
      <c r="F75" s="39"/>
      <c r="G75" s="39"/>
      <c r="H75" s="39"/>
      <c r="I75" s="39"/>
      <c r="J75" s="39"/>
      <c r="K75" s="39"/>
      <c r="L75" s="39"/>
      <c r="M75" s="39"/>
      <c r="N75" s="39"/>
      <c r="O75" s="39"/>
      <c r="P75" s="39"/>
      <c r="Q75" s="39"/>
      <c r="R75" s="39"/>
      <c r="S75" s="239"/>
      <c r="AG75" s="174"/>
    </row>
    <row r="76" ht="15.75" customHeight="1">
      <c r="C76" s="98"/>
      <c r="D76" s="98"/>
      <c r="E76" s="39"/>
      <c r="F76" s="39"/>
      <c r="G76" s="39"/>
      <c r="H76" s="39"/>
      <c r="I76" s="39"/>
      <c r="J76" s="39"/>
      <c r="K76" s="39"/>
      <c r="L76" s="39"/>
      <c r="M76" s="39"/>
      <c r="N76" s="39"/>
      <c r="O76" s="39"/>
      <c r="P76" s="39"/>
      <c r="Q76" s="39"/>
      <c r="R76" s="39"/>
      <c r="S76" s="239"/>
      <c r="AG76" s="174"/>
    </row>
    <row r="77" ht="15.75" customHeight="1">
      <c r="C77" s="98"/>
      <c r="D77" s="98"/>
      <c r="E77" s="39"/>
      <c r="F77" s="39"/>
      <c r="G77" s="39"/>
      <c r="H77" s="39"/>
      <c r="I77" s="39"/>
      <c r="J77" s="39"/>
      <c r="K77" s="39"/>
      <c r="L77" s="39"/>
      <c r="M77" s="39"/>
      <c r="N77" s="39"/>
      <c r="O77" s="39"/>
      <c r="P77" s="39"/>
      <c r="Q77" s="39"/>
      <c r="R77" s="39"/>
      <c r="S77" s="239"/>
      <c r="AG77" s="174"/>
    </row>
    <row r="78" ht="15.75" customHeight="1">
      <c r="C78" s="98"/>
      <c r="D78" s="98"/>
      <c r="E78" s="39"/>
      <c r="F78" s="39"/>
      <c r="G78" s="39"/>
      <c r="H78" s="39"/>
      <c r="I78" s="39"/>
      <c r="J78" s="39"/>
      <c r="K78" s="39"/>
      <c r="L78" s="39"/>
      <c r="M78" s="39"/>
      <c r="N78" s="39"/>
      <c r="O78" s="39"/>
      <c r="P78" s="39"/>
      <c r="Q78" s="39"/>
      <c r="R78" s="39"/>
      <c r="S78" s="239"/>
      <c r="AG78" s="174"/>
    </row>
    <row r="79" ht="15.75" customHeight="1">
      <c r="C79" s="98"/>
      <c r="D79" s="98"/>
      <c r="E79" s="39"/>
      <c r="F79" s="39"/>
      <c r="G79" s="39"/>
      <c r="H79" s="39"/>
      <c r="I79" s="39"/>
      <c r="J79" s="39"/>
      <c r="K79" s="39"/>
      <c r="L79" s="39"/>
      <c r="M79" s="39"/>
      <c r="N79" s="39"/>
      <c r="O79" s="39"/>
      <c r="P79" s="39"/>
      <c r="Q79" s="39"/>
      <c r="R79" s="39"/>
      <c r="S79" s="239"/>
      <c r="AG79" s="174"/>
    </row>
    <row r="80" ht="15.75" customHeight="1">
      <c r="C80" s="98"/>
      <c r="D80" s="98"/>
      <c r="E80" s="39"/>
      <c r="F80" s="39"/>
      <c r="G80" s="39"/>
      <c r="H80" s="39"/>
      <c r="I80" s="39"/>
      <c r="J80" s="39"/>
      <c r="K80" s="39"/>
      <c r="L80" s="39"/>
      <c r="M80" s="39"/>
      <c r="N80" s="39"/>
      <c r="O80" s="39"/>
      <c r="P80" s="39"/>
      <c r="Q80" s="39"/>
      <c r="R80" s="39"/>
      <c r="S80" s="239"/>
      <c r="AG80" s="174"/>
    </row>
    <row r="81" ht="15.75" customHeight="1">
      <c r="C81" s="98"/>
      <c r="D81" s="98"/>
      <c r="E81" s="39"/>
      <c r="F81" s="39"/>
      <c r="G81" s="39"/>
      <c r="H81" s="39"/>
      <c r="I81" s="39"/>
      <c r="J81" s="39"/>
      <c r="K81" s="39"/>
      <c r="L81" s="39"/>
      <c r="M81" s="39"/>
      <c r="N81" s="39"/>
      <c r="O81" s="39"/>
      <c r="P81" s="39"/>
      <c r="Q81" s="39"/>
      <c r="R81" s="39"/>
      <c r="S81" s="239"/>
      <c r="AG81" s="174"/>
    </row>
    <row r="82" ht="15.75" customHeight="1">
      <c r="C82" s="98"/>
      <c r="D82" s="98"/>
      <c r="E82" s="39"/>
      <c r="F82" s="39"/>
      <c r="G82" s="39"/>
      <c r="H82" s="39"/>
      <c r="I82" s="39"/>
      <c r="J82" s="39"/>
      <c r="K82" s="39"/>
      <c r="L82" s="39"/>
      <c r="M82" s="39"/>
      <c r="N82" s="39"/>
      <c r="O82" s="39"/>
      <c r="P82" s="39"/>
      <c r="Q82" s="39"/>
      <c r="R82" s="39"/>
      <c r="S82" s="239"/>
      <c r="AG82" s="174"/>
    </row>
    <row r="83" ht="15.75" customHeight="1">
      <c r="C83" s="98"/>
      <c r="D83" s="98"/>
      <c r="E83" s="39"/>
      <c r="F83" s="39"/>
      <c r="G83" s="39"/>
      <c r="H83" s="39"/>
      <c r="I83" s="39"/>
      <c r="J83" s="39"/>
      <c r="K83" s="39"/>
      <c r="L83" s="39"/>
      <c r="M83" s="39"/>
      <c r="N83" s="39"/>
      <c r="O83" s="39"/>
      <c r="P83" s="39"/>
      <c r="Q83" s="39"/>
      <c r="R83" s="39"/>
      <c r="S83" s="239"/>
      <c r="AG83" s="174"/>
    </row>
    <row r="84" ht="15.75" customHeight="1">
      <c r="C84" s="98"/>
      <c r="D84" s="98"/>
      <c r="E84" s="39"/>
      <c r="F84" s="39"/>
      <c r="G84" s="39"/>
      <c r="H84" s="39"/>
      <c r="I84" s="39"/>
      <c r="J84" s="39"/>
      <c r="K84" s="39"/>
      <c r="L84" s="39"/>
      <c r="M84" s="39"/>
      <c r="N84" s="39"/>
      <c r="O84" s="39"/>
      <c r="P84" s="39"/>
      <c r="Q84" s="39"/>
      <c r="R84" s="39"/>
      <c r="S84" s="239"/>
      <c r="AG84" s="174"/>
    </row>
    <row r="85" ht="15.75" customHeight="1">
      <c r="C85" s="98"/>
      <c r="D85" s="98"/>
      <c r="E85" s="39"/>
      <c r="F85" s="39"/>
      <c r="G85" s="39"/>
      <c r="H85" s="39"/>
      <c r="I85" s="39"/>
      <c r="J85" s="39"/>
      <c r="K85" s="39"/>
      <c r="L85" s="39"/>
      <c r="M85" s="39"/>
      <c r="N85" s="39"/>
      <c r="O85" s="39"/>
      <c r="P85" s="39"/>
      <c r="Q85" s="39"/>
      <c r="R85" s="39"/>
      <c r="S85" s="239"/>
      <c r="AG85" s="174"/>
    </row>
    <row r="86" ht="15.75" customHeight="1">
      <c r="C86" s="98"/>
      <c r="D86" s="98"/>
      <c r="E86" s="39"/>
      <c r="F86" s="39"/>
      <c r="G86" s="39"/>
      <c r="H86" s="39"/>
      <c r="I86" s="39"/>
      <c r="J86" s="39"/>
      <c r="K86" s="39"/>
      <c r="L86" s="39"/>
      <c r="M86" s="39"/>
      <c r="N86" s="39"/>
      <c r="O86" s="39"/>
      <c r="P86" s="39"/>
      <c r="Q86" s="39"/>
      <c r="R86" s="39"/>
      <c r="S86" s="239"/>
      <c r="AG86" s="174"/>
    </row>
    <row r="87" ht="15.75" customHeight="1">
      <c r="C87" s="98"/>
      <c r="D87" s="98"/>
      <c r="E87" s="39"/>
      <c r="F87" s="39"/>
      <c r="G87" s="39"/>
      <c r="H87" s="39"/>
      <c r="I87" s="39"/>
      <c r="J87" s="39"/>
      <c r="K87" s="39"/>
      <c r="L87" s="39"/>
      <c r="M87" s="39"/>
      <c r="N87" s="39"/>
      <c r="O87" s="39"/>
      <c r="P87" s="39"/>
      <c r="Q87" s="39"/>
      <c r="R87" s="39"/>
      <c r="S87" s="239"/>
      <c r="AG87" s="174"/>
    </row>
    <row r="88" ht="15.75" customHeight="1">
      <c r="C88" s="98"/>
      <c r="D88" s="98"/>
      <c r="E88" s="39"/>
      <c r="F88" s="39"/>
      <c r="G88" s="39"/>
      <c r="H88" s="39"/>
      <c r="I88" s="39"/>
      <c r="J88" s="39"/>
      <c r="K88" s="39"/>
      <c r="L88" s="39"/>
      <c r="M88" s="39"/>
      <c r="N88" s="39"/>
      <c r="O88" s="39"/>
      <c r="P88" s="39"/>
      <c r="Q88" s="39"/>
      <c r="R88" s="39"/>
      <c r="S88" s="239"/>
      <c r="AG88" s="174"/>
    </row>
    <row r="89" ht="15.75" customHeight="1">
      <c r="C89" s="98"/>
      <c r="D89" s="98"/>
      <c r="E89" s="39"/>
      <c r="F89" s="39"/>
      <c r="G89" s="39"/>
      <c r="H89" s="39"/>
      <c r="I89" s="39"/>
      <c r="J89" s="39"/>
      <c r="K89" s="39"/>
      <c r="L89" s="39"/>
      <c r="M89" s="39"/>
      <c r="N89" s="39"/>
      <c r="O89" s="39"/>
      <c r="P89" s="39"/>
      <c r="Q89" s="39"/>
      <c r="R89" s="39"/>
      <c r="S89" s="239"/>
      <c r="AG89" s="174"/>
    </row>
    <row r="90" ht="15.75" customHeight="1">
      <c r="C90" s="98"/>
      <c r="D90" s="98"/>
      <c r="E90" s="39"/>
      <c r="F90" s="39"/>
      <c r="G90" s="39"/>
      <c r="H90" s="39"/>
      <c r="I90" s="39"/>
      <c r="J90" s="39"/>
      <c r="K90" s="39"/>
      <c r="L90" s="39"/>
      <c r="M90" s="39"/>
      <c r="N90" s="39"/>
      <c r="O90" s="39"/>
      <c r="P90" s="39"/>
      <c r="Q90" s="39"/>
      <c r="R90" s="39"/>
      <c r="S90" s="239"/>
      <c r="AG90" s="174"/>
    </row>
    <row r="91" ht="15.75" customHeight="1">
      <c r="C91" s="98"/>
      <c r="D91" s="98"/>
      <c r="E91" s="39"/>
      <c r="F91" s="39"/>
      <c r="G91" s="39"/>
      <c r="H91" s="39"/>
      <c r="I91" s="39"/>
      <c r="J91" s="39"/>
      <c r="K91" s="39"/>
      <c r="L91" s="39"/>
      <c r="M91" s="39"/>
      <c r="N91" s="39"/>
      <c r="O91" s="39"/>
      <c r="P91" s="39"/>
      <c r="Q91" s="39"/>
      <c r="R91" s="39"/>
      <c r="S91" s="239"/>
      <c r="AG91" s="174"/>
    </row>
    <row r="92" ht="15.75" customHeight="1">
      <c r="C92" s="98"/>
      <c r="D92" s="98"/>
      <c r="E92" s="39"/>
      <c r="F92" s="39"/>
      <c r="G92" s="39"/>
      <c r="H92" s="39"/>
      <c r="I92" s="39"/>
      <c r="J92" s="39"/>
      <c r="K92" s="39"/>
      <c r="L92" s="39"/>
      <c r="M92" s="39"/>
      <c r="N92" s="39"/>
      <c r="O92" s="39"/>
      <c r="P92" s="39"/>
      <c r="Q92" s="39"/>
      <c r="R92" s="39"/>
      <c r="S92" s="239"/>
      <c r="AG92" s="174"/>
    </row>
    <row r="93" ht="15.75" customHeight="1">
      <c r="C93" s="98"/>
      <c r="D93" s="98"/>
      <c r="E93" s="39"/>
      <c r="F93" s="39"/>
      <c r="G93" s="39"/>
      <c r="H93" s="39"/>
      <c r="I93" s="39"/>
      <c r="J93" s="39"/>
      <c r="K93" s="39"/>
      <c r="L93" s="39"/>
      <c r="M93" s="39"/>
      <c r="N93" s="39"/>
      <c r="O93" s="39"/>
      <c r="P93" s="39"/>
      <c r="Q93" s="39"/>
      <c r="R93" s="39"/>
      <c r="S93" s="239"/>
      <c r="AG93" s="174"/>
    </row>
    <row r="94" ht="15.75" customHeight="1">
      <c r="C94" s="98"/>
      <c r="D94" s="98"/>
      <c r="E94" s="39"/>
      <c r="F94" s="39"/>
      <c r="G94" s="39"/>
      <c r="H94" s="39"/>
      <c r="I94" s="39"/>
      <c r="J94" s="39"/>
      <c r="K94" s="39"/>
      <c r="L94" s="39"/>
      <c r="M94" s="39"/>
      <c r="N94" s="39"/>
      <c r="O94" s="39"/>
      <c r="P94" s="39"/>
      <c r="Q94" s="39"/>
      <c r="R94" s="39"/>
      <c r="S94" s="239"/>
      <c r="AG94" s="174"/>
    </row>
    <row r="95" ht="15.75" customHeight="1">
      <c r="C95" s="98"/>
      <c r="D95" s="98"/>
      <c r="E95" s="39"/>
      <c r="F95" s="39"/>
      <c r="G95" s="39"/>
      <c r="H95" s="39"/>
      <c r="I95" s="39"/>
      <c r="J95" s="39"/>
      <c r="K95" s="39"/>
      <c r="L95" s="39"/>
      <c r="M95" s="39"/>
      <c r="N95" s="39"/>
      <c r="O95" s="39"/>
      <c r="P95" s="39"/>
      <c r="Q95" s="39"/>
      <c r="R95" s="39"/>
      <c r="S95" s="239"/>
      <c r="AG95" s="174"/>
    </row>
    <row r="96" ht="15.75" customHeight="1">
      <c r="C96" s="98"/>
      <c r="D96" s="98"/>
      <c r="E96" s="39"/>
      <c r="F96" s="39"/>
      <c r="G96" s="39"/>
      <c r="H96" s="39"/>
      <c r="I96" s="39"/>
      <c r="J96" s="39"/>
      <c r="K96" s="39"/>
      <c r="L96" s="39"/>
      <c r="M96" s="39"/>
      <c r="N96" s="39"/>
      <c r="O96" s="39"/>
      <c r="P96" s="39"/>
      <c r="Q96" s="39"/>
      <c r="R96" s="39"/>
      <c r="S96" s="239"/>
      <c r="AG96" s="174"/>
    </row>
    <row r="97" ht="15.75" customHeight="1">
      <c r="C97" s="98"/>
      <c r="D97" s="98"/>
      <c r="E97" s="39"/>
      <c r="F97" s="39"/>
      <c r="G97" s="39"/>
      <c r="H97" s="39"/>
      <c r="I97" s="39"/>
      <c r="J97" s="39"/>
      <c r="K97" s="39"/>
      <c r="L97" s="39"/>
      <c r="M97" s="39"/>
      <c r="N97" s="39"/>
      <c r="O97" s="39"/>
      <c r="P97" s="39"/>
      <c r="Q97" s="39"/>
      <c r="R97" s="39"/>
      <c r="S97" s="239"/>
      <c r="AG97" s="174"/>
    </row>
    <row r="98" ht="15.75" customHeight="1">
      <c r="C98" s="98"/>
      <c r="D98" s="98"/>
      <c r="E98" s="39"/>
      <c r="F98" s="39"/>
      <c r="G98" s="39"/>
      <c r="H98" s="39"/>
      <c r="I98" s="39"/>
      <c r="J98" s="39"/>
      <c r="K98" s="39"/>
      <c r="L98" s="39"/>
      <c r="M98" s="39"/>
      <c r="N98" s="39"/>
      <c r="O98" s="39"/>
      <c r="P98" s="39"/>
      <c r="Q98" s="39"/>
      <c r="R98" s="39"/>
      <c r="S98" s="239"/>
      <c r="AG98" s="174"/>
    </row>
    <row r="99" ht="15.75" customHeight="1">
      <c r="C99" s="98"/>
      <c r="D99" s="98"/>
      <c r="E99" s="39"/>
      <c r="F99" s="39"/>
      <c r="G99" s="39"/>
      <c r="H99" s="39"/>
      <c r="I99" s="39"/>
      <c r="J99" s="39"/>
      <c r="K99" s="39"/>
      <c r="L99" s="39"/>
      <c r="M99" s="39"/>
      <c r="N99" s="39"/>
      <c r="O99" s="39"/>
      <c r="P99" s="39"/>
      <c r="Q99" s="39"/>
      <c r="R99" s="39"/>
      <c r="S99" s="239"/>
      <c r="AG99" s="174"/>
    </row>
    <row r="100" ht="15.75" customHeight="1">
      <c r="C100" s="98"/>
      <c r="D100" s="98"/>
      <c r="E100" s="39"/>
      <c r="F100" s="39"/>
      <c r="G100" s="39"/>
      <c r="H100" s="39"/>
      <c r="I100" s="39"/>
      <c r="J100" s="39"/>
      <c r="K100" s="39"/>
      <c r="L100" s="39"/>
      <c r="M100" s="39"/>
      <c r="N100" s="39"/>
      <c r="O100" s="39"/>
      <c r="P100" s="39"/>
      <c r="Q100" s="39"/>
      <c r="R100" s="39"/>
      <c r="S100" s="239"/>
      <c r="AG100" s="174"/>
    </row>
    <row r="101" ht="15.75" customHeight="1">
      <c r="C101" s="98"/>
      <c r="D101" s="98"/>
      <c r="E101" s="39"/>
      <c r="F101" s="39"/>
      <c r="G101" s="39"/>
      <c r="H101" s="39"/>
      <c r="I101" s="39"/>
      <c r="J101" s="39"/>
      <c r="K101" s="39"/>
      <c r="L101" s="39"/>
      <c r="M101" s="39"/>
      <c r="N101" s="39"/>
      <c r="O101" s="39"/>
      <c r="P101" s="39"/>
      <c r="Q101" s="39"/>
      <c r="R101" s="39"/>
      <c r="S101" s="239"/>
      <c r="AG101" s="174"/>
    </row>
    <row r="102" ht="15.75" customHeight="1">
      <c r="C102" s="98"/>
      <c r="D102" s="98"/>
      <c r="E102" s="39"/>
      <c r="F102" s="39"/>
      <c r="G102" s="39"/>
      <c r="H102" s="39"/>
      <c r="I102" s="39"/>
      <c r="J102" s="39"/>
      <c r="K102" s="39"/>
      <c r="L102" s="39"/>
      <c r="M102" s="39"/>
      <c r="N102" s="39"/>
      <c r="O102" s="39"/>
      <c r="P102" s="39"/>
      <c r="Q102" s="39"/>
      <c r="R102" s="39"/>
      <c r="S102" s="239"/>
      <c r="AG102" s="174"/>
    </row>
    <row r="103" ht="15.75" customHeight="1">
      <c r="C103" s="98"/>
      <c r="D103" s="98"/>
      <c r="E103" s="39"/>
      <c r="F103" s="39"/>
      <c r="G103" s="39"/>
      <c r="H103" s="39"/>
      <c r="I103" s="39"/>
      <c r="J103" s="39"/>
      <c r="K103" s="39"/>
      <c r="L103" s="39"/>
      <c r="M103" s="39"/>
      <c r="N103" s="39"/>
      <c r="O103" s="39"/>
      <c r="P103" s="39"/>
      <c r="Q103" s="39"/>
      <c r="R103" s="39"/>
      <c r="S103" s="239"/>
      <c r="AG103" s="174"/>
    </row>
    <row r="104" ht="15.75" customHeight="1">
      <c r="C104" s="98"/>
      <c r="D104" s="98"/>
      <c r="E104" s="39"/>
      <c r="F104" s="39"/>
      <c r="G104" s="39"/>
      <c r="H104" s="39"/>
      <c r="I104" s="39"/>
      <c r="J104" s="39"/>
      <c r="K104" s="39"/>
      <c r="L104" s="39"/>
      <c r="M104" s="39"/>
      <c r="N104" s="39"/>
      <c r="O104" s="39"/>
      <c r="P104" s="39"/>
      <c r="Q104" s="39"/>
      <c r="R104" s="39"/>
      <c r="S104" s="239"/>
      <c r="AG104" s="174"/>
    </row>
    <row r="105" ht="15.75" customHeight="1">
      <c r="C105" s="98"/>
      <c r="D105" s="98"/>
      <c r="E105" s="39"/>
      <c r="F105" s="39"/>
      <c r="G105" s="39"/>
      <c r="H105" s="39"/>
      <c r="I105" s="39"/>
      <c r="J105" s="39"/>
      <c r="K105" s="39"/>
      <c r="L105" s="39"/>
      <c r="M105" s="39"/>
      <c r="N105" s="39"/>
      <c r="O105" s="39"/>
      <c r="P105" s="39"/>
      <c r="Q105" s="39"/>
      <c r="R105" s="39"/>
      <c r="S105" s="239"/>
      <c r="AG105" s="174"/>
    </row>
    <row r="106" ht="15.75" customHeight="1">
      <c r="C106" s="98"/>
      <c r="D106" s="98"/>
      <c r="E106" s="39"/>
      <c r="F106" s="39"/>
      <c r="G106" s="39"/>
      <c r="H106" s="39"/>
      <c r="I106" s="39"/>
      <c r="J106" s="39"/>
      <c r="K106" s="39"/>
      <c r="L106" s="39"/>
      <c r="M106" s="39"/>
      <c r="N106" s="39"/>
      <c r="O106" s="39"/>
      <c r="P106" s="39"/>
      <c r="Q106" s="39"/>
      <c r="R106" s="39"/>
      <c r="S106" s="239"/>
      <c r="AG106" s="174"/>
    </row>
    <row r="107" ht="15.75" customHeight="1">
      <c r="C107" s="98"/>
      <c r="D107" s="98"/>
      <c r="E107" s="39"/>
      <c r="F107" s="39"/>
      <c r="G107" s="39"/>
      <c r="H107" s="39"/>
      <c r="I107" s="39"/>
      <c r="J107" s="39"/>
      <c r="K107" s="39"/>
      <c r="L107" s="39"/>
      <c r="M107" s="39"/>
      <c r="N107" s="39"/>
      <c r="O107" s="39"/>
      <c r="P107" s="39"/>
      <c r="Q107" s="39"/>
      <c r="R107" s="39"/>
      <c r="S107" s="239"/>
      <c r="AG107" s="174"/>
    </row>
    <row r="108" ht="15.75" customHeight="1">
      <c r="C108" s="98"/>
      <c r="D108" s="98"/>
      <c r="E108" s="39"/>
      <c r="F108" s="39"/>
      <c r="G108" s="39"/>
      <c r="H108" s="39"/>
      <c r="I108" s="39"/>
      <c r="J108" s="39"/>
      <c r="K108" s="39"/>
      <c r="L108" s="39"/>
      <c r="M108" s="39"/>
      <c r="N108" s="39"/>
      <c r="O108" s="39"/>
      <c r="P108" s="39"/>
      <c r="Q108" s="39"/>
      <c r="R108" s="39"/>
      <c r="S108" s="239"/>
      <c r="AG108" s="174"/>
    </row>
    <row r="109" ht="15.75" customHeight="1">
      <c r="C109" s="98"/>
      <c r="D109" s="98"/>
      <c r="E109" s="39"/>
      <c r="F109" s="39"/>
      <c r="G109" s="39"/>
      <c r="H109" s="39"/>
      <c r="I109" s="39"/>
      <c r="J109" s="39"/>
      <c r="K109" s="39"/>
      <c r="L109" s="39"/>
      <c r="M109" s="39"/>
      <c r="N109" s="39"/>
      <c r="O109" s="39"/>
      <c r="P109" s="39"/>
      <c r="Q109" s="39"/>
      <c r="R109" s="39"/>
      <c r="S109" s="239"/>
      <c r="AG109" s="174"/>
    </row>
    <row r="110" ht="15.75" customHeight="1">
      <c r="C110" s="98"/>
      <c r="D110" s="98"/>
      <c r="E110" s="39"/>
      <c r="F110" s="39"/>
      <c r="G110" s="39"/>
      <c r="H110" s="39"/>
      <c r="I110" s="39"/>
      <c r="J110" s="39"/>
      <c r="K110" s="39"/>
      <c r="L110" s="39"/>
      <c r="M110" s="39"/>
      <c r="N110" s="39"/>
      <c r="O110" s="39"/>
      <c r="P110" s="39"/>
      <c r="Q110" s="39"/>
      <c r="R110" s="39"/>
      <c r="S110" s="239"/>
      <c r="AG110" s="174"/>
    </row>
    <row r="111" ht="15.75" customHeight="1">
      <c r="C111" s="98"/>
      <c r="D111" s="98"/>
      <c r="E111" s="39"/>
      <c r="F111" s="39"/>
      <c r="G111" s="39"/>
      <c r="H111" s="39"/>
      <c r="I111" s="39"/>
      <c r="J111" s="39"/>
      <c r="K111" s="39"/>
      <c r="L111" s="39"/>
      <c r="M111" s="39"/>
      <c r="N111" s="39"/>
      <c r="O111" s="39"/>
      <c r="P111" s="39"/>
      <c r="Q111" s="39"/>
      <c r="R111" s="39"/>
      <c r="S111" s="239"/>
      <c r="AG111" s="174"/>
    </row>
    <row r="112" ht="15.75" customHeight="1">
      <c r="C112" s="98"/>
      <c r="D112" s="98"/>
      <c r="E112" s="39"/>
      <c r="F112" s="39"/>
      <c r="G112" s="39"/>
      <c r="H112" s="39"/>
      <c r="I112" s="39"/>
      <c r="J112" s="39"/>
      <c r="K112" s="39"/>
      <c r="L112" s="39"/>
      <c r="M112" s="39"/>
      <c r="N112" s="39"/>
      <c r="O112" s="39"/>
      <c r="P112" s="39"/>
      <c r="Q112" s="39"/>
      <c r="R112" s="39"/>
      <c r="S112" s="239"/>
      <c r="AG112" s="174"/>
    </row>
    <row r="113" ht="15.75" customHeight="1">
      <c r="C113" s="98"/>
      <c r="D113" s="98"/>
      <c r="E113" s="39"/>
      <c r="F113" s="39"/>
      <c r="G113" s="39"/>
      <c r="H113" s="39"/>
      <c r="I113" s="39"/>
      <c r="J113" s="39"/>
      <c r="K113" s="39"/>
      <c r="L113" s="39"/>
      <c r="M113" s="39"/>
      <c r="N113" s="39"/>
      <c r="O113" s="39"/>
      <c r="P113" s="39"/>
      <c r="Q113" s="39"/>
      <c r="R113" s="39"/>
      <c r="S113" s="239"/>
      <c r="AG113" s="174"/>
    </row>
    <row r="114" ht="15.75" customHeight="1">
      <c r="C114" s="98"/>
      <c r="D114" s="98"/>
      <c r="E114" s="39"/>
      <c r="F114" s="39"/>
      <c r="G114" s="39"/>
      <c r="H114" s="39"/>
      <c r="I114" s="39"/>
      <c r="J114" s="39"/>
      <c r="K114" s="39"/>
      <c r="L114" s="39"/>
      <c r="M114" s="39"/>
      <c r="N114" s="39"/>
      <c r="O114" s="39"/>
      <c r="P114" s="39"/>
      <c r="Q114" s="39"/>
      <c r="R114" s="39"/>
      <c r="S114" s="239"/>
      <c r="AG114" s="174"/>
    </row>
    <row r="115" ht="15.75" customHeight="1">
      <c r="C115" s="98"/>
      <c r="D115" s="98"/>
      <c r="E115" s="39"/>
      <c r="F115" s="39"/>
      <c r="G115" s="39"/>
      <c r="H115" s="39"/>
      <c r="I115" s="39"/>
      <c r="J115" s="39"/>
      <c r="K115" s="39"/>
      <c r="L115" s="39"/>
      <c r="M115" s="39"/>
      <c r="N115" s="39"/>
      <c r="O115" s="39"/>
      <c r="P115" s="39"/>
      <c r="Q115" s="39"/>
      <c r="R115" s="39"/>
      <c r="S115" s="239"/>
      <c r="AG115" s="174"/>
    </row>
    <row r="116" ht="15.75" customHeight="1">
      <c r="C116" s="98"/>
      <c r="D116" s="98"/>
      <c r="E116" s="39"/>
      <c r="F116" s="39"/>
      <c r="G116" s="39"/>
      <c r="H116" s="39"/>
      <c r="I116" s="39"/>
      <c r="J116" s="39"/>
      <c r="K116" s="39"/>
      <c r="L116" s="39"/>
      <c r="M116" s="39"/>
      <c r="N116" s="39"/>
      <c r="O116" s="39"/>
      <c r="P116" s="39"/>
      <c r="Q116" s="39"/>
      <c r="R116" s="39"/>
      <c r="S116" s="239"/>
      <c r="AG116" s="174"/>
    </row>
    <row r="117" ht="15.75" customHeight="1">
      <c r="C117" s="98"/>
      <c r="D117" s="98"/>
      <c r="E117" s="39"/>
      <c r="F117" s="39"/>
      <c r="G117" s="39"/>
      <c r="H117" s="39"/>
      <c r="I117" s="39"/>
      <c r="J117" s="39"/>
      <c r="K117" s="39"/>
      <c r="L117" s="39"/>
      <c r="M117" s="39"/>
      <c r="N117" s="39"/>
      <c r="O117" s="39"/>
      <c r="P117" s="39"/>
      <c r="Q117" s="39"/>
      <c r="R117" s="39"/>
      <c r="S117" s="239"/>
      <c r="AG117" s="174"/>
    </row>
    <row r="118" ht="15.75" customHeight="1">
      <c r="C118" s="98"/>
      <c r="D118" s="98"/>
      <c r="E118" s="39"/>
      <c r="F118" s="39"/>
      <c r="G118" s="39"/>
      <c r="H118" s="39"/>
      <c r="I118" s="39"/>
      <c r="J118" s="39"/>
      <c r="K118" s="39"/>
      <c r="L118" s="39"/>
      <c r="M118" s="39"/>
      <c r="N118" s="39"/>
      <c r="O118" s="39"/>
      <c r="P118" s="39"/>
      <c r="Q118" s="39"/>
      <c r="R118" s="39"/>
      <c r="S118" s="239"/>
      <c r="AG118" s="174"/>
    </row>
    <row r="119" ht="15.75" customHeight="1">
      <c r="C119" s="98"/>
      <c r="D119" s="98"/>
      <c r="E119" s="39"/>
      <c r="F119" s="39"/>
      <c r="G119" s="39"/>
      <c r="H119" s="39"/>
      <c r="I119" s="39"/>
      <c r="J119" s="39"/>
      <c r="K119" s="39"/>
      <c r="L119" s="39"/>
      <c r="M119" s="39"/>
      <c r="N119" s="39"/>
      <c r="O119" s="39"/>
      <c r="P119" s="39"/>
      <c r="Q119" s="39"/>
      <c r="R119" s="39"/>
      <c r="S119" s="239"/>
      <c r="AG119" s="174"/>
    </row>
    <row r="120" ht="15.75" customHeight="1">
      <c r="C120" s="98"/>
      <c r="D120" s="98"/>
      <c r="E120" s="39"/>
      <c r="F120" s="39"/>
      <c r="G120" s="39"/>
      <c r="H120" s="39"/>
      <c r="I120" s="39"/>
      <c r="J120" s="39"/>
      <c r="K120" s="39"/>
      <c r="L120" s="39"/>
      <c r="M120" s="39"/>
      <c r="N120" s="39"/>
      <c r="O120" s="39"/>
      <c r="P120" s="39"/>
      <c r="Q120" s="39"/>
      <c r="R120" s="39"/>
      <c r="S120" s="239"/>
      <c r="AG120" s="174"/>
    </row>
    <row r="121" ht="15.75" customHeight="1">
      <c r="C121" s="98"/>
      <c r="D121" s="98"/>
      <c r="E121" s="39"/>
      <c r="F121" s="39"/>
      <c r="G121" s="39"/>
      <c r="H121" s="39"/>
      <c r="I121" s="39"/>
      <c r="J121" s="39"/>
      <c r="K121" s="39"/>
      <c r="L121" s="39"/>
      <c r="M121" s="39"/>
      <c r="N121" s="39"/>
      <c r="O121" s="39"/>
      <c r="P121" s="39"/>
      <c r="Q121" s="39"/>
      <c r="R121" s="39"/>
      <c r="S121" s="239"/>
      <c r="AG121" s="174"/>
    </row>
    <row r="122" ht="15.75" customHeight="1">
      <c r="C122" s="98"/>
      <c r="D122" s="98"/>
      <c r="E122" s="39"/>
      <c r="F122" s="39"/>
      <c r="G122" s="39"/>
      <c r="H122" s="39"/>
      <c r="I122" s="39"/>
      <c r="J122" s="39"/>
      <c r="K122" s="39"/>
      <c r="L122" s="39"/>
      <c r="M122" s="39"/>
      <c r="N122" s="39"/>
      <c r="O122" s="39"/>
      <c r="P122" s="39"/>
      <c r="Q122" s="39"/>
      <c r="R122" s="39"/>
      <c r="S122" s="239"/>
      <c r="AG122" s="174"/>
    </row>
    <row r="123" ht="15.75" customHeight="1">
      <c r="C123" s="98"/>
      <c r="D123" s="98"/>
      <c r="E123" s="39"/>
      <c r="F123" s="39"/>
      <c r="G123" s="39"/>
      <c r="H123" s="39"/>
      <c r="I123" s="39"/>
      <c r="J123" s="39"/>
      <c r="K123" s="39"/>
      <c r="L123" s="39"/>
      <c r="M123" s="39"/>
      <c r="N123" s="39"/>
      <c r="O123" s="39"/>
      <c r="P123" s="39"/>
      <c r="Q123" s="39"/>
      <c r="R123" s="39"/>
      <c r="S123" s="239"/>
      <c r="AG123" s="174"/>
    </row>
    <row r="124" ht="15.75" customHeight="1">
      <c r="C124" s="98"/>
      <c r="D124" s="98"/>
      <c r="E124" s="39"/>
      <c r="F124" s="39"/>
      <c r="G124" s="39"/>
      <c r="H124" s="39"/>
      <c r="I124" s="39"/>
      <c r="J124" s="39"/>
      <c r="K124" s="39"/>
      <c r="L124" s="39"/>
      <c r="M124" s="39"/>
      <c r="N124" s="39"/>
      <c r="O124" s="39"/>
      <c r="P124" s="39"/>
      <c r="Q124" s="39"/>
      <c r="R124" s="39"/>
      <c r="S124" s="239"/>
      <c r="AG124" s="174"/>
    </row>
    <row r="125" ht="15.75" customHeight="1">
      <c r="C125" s="98"/>
      <c r="D125" s="98"/>
      <c r="E125" s="39"/>
      <c r="F125" s="39"/>
      <c r="G125" s="39"/>
      <c r="H125" s="39"/>
      <c r="I125" s="39"/>
      <c r="J125" s="39"/>
      <c r="K125" s="39"/>
      <c r="L125" s="39"/>
      <c r="M125" s="39"/>
      <c r="N125" s="39"/>
      <c r="O125" s="39"/>
      <c r="P125" s="39"/>
      <c r="Q125" s="39"/>
      <c r="R125" s="39"/>
      <c r="S125" s="239"/>
      <c r="AG125" s="174"/>
    </row>
    <row r="126" ht="15.75" customHeight="1">
      <c r="C126" s="98"/>
      <c r="D126" s="98"/>
      <c r="E126" s="39"/>
      <c r="F126" s="39"/>
      <c r="G126" s="39"/>
      <c r="H126" s="39"/>
      <c r="I126" s="39"/>
      <c r="J126" s="39"/>
      <c r="K126" s="39"/>
      <c r="L126" s="39"/>
      <c r="M126" s="39"/>
      <c r="N126" s="39"/>
      <c r="O126" s="39"/>
      <c r="P126" s="39"/>
      <c r="Q126" s="39"/>
      <c r="R126" s="39"/>
      <c r="S126" s="239"/>
      <c r="AG126" s="174"/>
    </row>
    <row r="127" ht="15.75" customHeight="1">
      <c r="C127" s="98"/>
      <c r="D127" s="98"/>
      <c r="E127" s="39"/>
      <c r="F127" s="39"/>
      <c r="G127" s="39"/>
      <c r="H127" s="39"/>
      <c r="I127" s="39"/>
      <c r="J127" s="39"/>
      <c r="K127" s="39"/>
      <c r="L127" s="39"/>
      <c r="M127" s="39"/>
      <c r="N127" s="39"/>
      <c r="O127" s="39"/>
      <c r="P127" s="39"/>
      <c r="Q127" s="39"/>
      <c r="R127" s="39"/>
      <c r="S127" s="239"/>
      <c r="AG127" s="174"/>
    </row>
    <row r="128" ht="15.75" customHeight="1">
      <c r="C128" s="98"/>
      <c r="D128" s="98"/>
      <c r="E128" s="39"/>
      <c r="F128" s="39"/>
      <c r="G128" s="39"/>
      <c r="H128" s="39"/>
      <c r="I128" s="39"/>
      <c r="J128" s="39"/>
      <c r="K128" s="39"/>
      <c r="L128" s="39"/>
      <c r="M128" s="39"/>
      <c r="N128" s="39"/>
      <c r="O128" s="39"/>
      <c r="P128" s="39"/>
      <c r="Q128" s="39"/>
      <c r="R128" s="39"/>
      <c r="S128" s="239"/>
      <c r="AG128" s="174"/>
    </row>
    <row r="129" ht="15.75" customHeight="1">
      <c r="C129" s="98"/>
      <c r="D129" s="98"/>
      <c r="E129" s="39"/>
      <c r="F129" s="39"/>
      <c r="G129" s="39"/>
      <c r="H129" s="39"/>
      <c r="I129" s="39"/>
      <c r="J129" s="39"/>
      <c r="K129" s="39"/>
      <c r="L129" s="39"/>
      <c r="M129" s="39"/>
      <c r="N129" s="39"/>
      <c r="O129" s="39"/>
      <c r="P129" s="39"/>
      <c r="Q129" s="39"/>
      <c r="R129" s="39"/>
      <c r="S129" s="239"/>
      <c r="AG129" s="174"/>
    </row>
    <row r="130" ht="15.75" customHeight="1">
      <c r="C130" s="98"/>
      <c r="D130" s="98"/>
      <c r="E130" s="39"/>
      <c r="F130" s="39"/>
      <c r="G130" s="39"/>
      <c r="H130" s="39"/>
      <c r="I130" s="39"/>
      <c r="J130" s="39"/>
      <c r="K130" s="39"/>
      <c r="L130" s="39"/>
      <c r="M130" s="39"/>
      <c r="N130" s="39"/>
      <c r="O130" s="39"/>
      <c r="P130" s="39"/>
      <c r="Q130" s="39"/>
      <c r="R130" s="39"/>
      <c r="S130" s="239"/>
      <c r="AG130" s="174"/>
    </row>
    <row r="131" ht="15.75" customHeight="1">
      <c r="C131" s="98"/>
      <c r="D131" s="98"/>
      <c r="E131" s="39"/>
      <c r="F131" s="39"/>
      <c r="G131" s="39"/>
      <c r="H131" s="39"/>
      <c r="I131" s="39"/>
      <c r="J131" s="39"/>
      <c r="K131" s="39"/>
      <c r="L131" s="39"/>
      <c r="M131" s="39"/>
      <c r="N131" s="39"/>
      <c r="O131" s="39"/>
      <c r="P131" s="39"/>
      <c r="Q131" s="39"/>
      <c r="R131" s="39"/>
      <c r="S131" s="239"/>
      <c r="AG131" s="174"/>
    </row>
    <row r="132" ht="15.75" customHeight="1">
      <c r="C132" s="98"/>
      <c r="D132" s="98"/>
      <c r="E132" s="39"/>
      <c r="F132" s="39"/>
      <c r="G132" s="39"/>
      <c r="H132" s="39"/>
      <c r="I132" s="39"/>
      <c r="J132" s="39"/>
      <c r="K132" s="39"/>
      <c r="L132" s="39"/>
      <c r="M132" s="39"/>
      <c r="N132" s="39"/>
      <c r="O132" s="39"/>
      <c r="P132" s="39"/>
      <c r="Q132" s="39"/>
      <c r="R132" s="39"/>
      <c r="S132" s="239"/>
      <c r="AG132" s="174"/>
    </row>
    <row r="133" ht="15.75" customHeight="1">
      <c r="C133" s="98"/>
      <c r="D133" s="98"/>
      <c r="E133" s="39"/>
      <c r="F133" s="39"/>
      <c r="G133" s="39"/>
      <c r="H133" s="39"/>
      <c r="I133" s="39"/>
      <c r="J133" s="39"/>
      <c r="K133" s="39"/>
      <c r="L133" s="39"/>
      <c r="M133" s="39"/>
      <c r="N133" s="39"/>
      <c r="O133" s="39"/>
      <c r="P133" s="39"/>
      <c r="Q133" s="39"/>
      <c r="R133" s="39"/>
      <c r="S133" s="239"/>
      <c r="AG133" s="174"/>
    </row>
    <row r="134" ht="15.75" customHeight="1">
      <c r="C134" s="98"/>
      <c r="D134" s="98"/>
      <c r="E134" s="39"/>
      <c r="F134" s="39"/>
      <c r="G134" s="39"/>
      <c r="H134" s="39"/>
      <c r="I134" s="39"/>
      <c r="J134" s="39"/>
      <c r="K134" s="39"/>
      <c r="L134" s="39"/>
      <c r="M134" s="39"/>
      <c r="N134" s="39"/>
      <c r="O134" s="39"/>
      <c r="P134" s="39"/>
      <c r="Q134" s="39"/>
      <c r="R134" s="39"/>
      <c r="S134" s="239"/>
      <c r="AG134" s="174"/>
    </row>
    <row r="135" ht="15.75" customHeight="1">
      <c r="C135" s="98"/>
      <c r="D135" s="98"/>
      <c r="E135" s="39"/>
      <c r="F135" s="39"/>
      <c r="G135" s="39"/>
      <c r="H135" s="39"/>
      <c r="I135" s="39"/>
      <c r="J135" s="39"/>
      <c r="K135" s="39"/>
      <c r="L135" s="39"/>
      <c r="M135" s="39"/>
      <c r="N135" s="39"/>
      <c r="O135" s="39"/>
      <c r="P135" s="39"/>
      <c r="Q135" s="39"/>
      <c r="R135" s="39"/>
      <c r="S135" s="239"/>
      <c r="AG135" s="174"/>
    </row>
    <row r="136" ht="15.75" customHeight="1">
      <c r="C136" s="98"/>
      <c r="D136" s="98"/>
      <c r="E136" s="39"/>
      <c r="F136" s="39"/>
      <c r="G136" s="39"/>
      <c r="H136" s="39"/>
      <c r="I136" s="39"/>
      <c r="J136" s="39"/>
      <c r="K136" s="39"/>
      <c r="L136" s="39"/>
      <c r="M136" s="39"/>
      <c r="N136" s="39"/>
      <c r="O136" s="39"/>
      <c r="P136" s="39"/>
      <c r="Q136" s="39"/>
      <c r="R136" s="39"/>
      <c r="S136" s="239"/>
      <c r="AG136" s="174"/>
    </row>
    <row r="137" ht="15.75" customHeight="1">
      <c r="C137" s="98"/>
      <c r="D137" s="98"/>
      <c r="E137" s="39"/>
      <c r="F137" s="39"/>
      <c r="G137" s="39"/>
      <c r="H137" s="39"/>
      <c r="I137" s="39"/>
      <c r="J137" s="39"/>
      <c r="K137" s="39"/>
      <c r="L137" s="39"/>
      <c r="M137" s="39"/>
      <c r="N137" s="39"/>
      <c r="O137" s="39"/>
      <c r="P137" s="39"/>
      <c r="Q137" s="39"/>
      <c r="R137" s="39"/>
      <c r="S137" s="239"/>
      <c r="AG137" s="174"/>
    </row>
    <row r="138" ht="15.75" customHeight="1">
      <c r="C138" s="98"/>
      <c r="D138" s="98"/>
      <c r="E138" s="39"/>
      <c r="F138" s="39"/>
      <c r="G138" s="39"/>
      <c r="H138" s="39"/>
      <c r="I138" s="39"/>
      <c r="J138" s="39"/>
      <c r="K138" s="39"/>
      <c r="L138" s="39"/>
      <c r="M138" s="39"/>
      <c r="N138" s="39"/>
      <c r="O138" s="39"/>
      <c r="P138" s="39"/>
      <c r="Q138" s="39"/>
      <c r="R138" s="39"/>
      <c r="S138" s="239"/>
      <c r="AG138" s="174"/>
    </row>
    <row r="139" ht="15.75" customHeight="1">
      <c r="C139" s="98"/>
      <c r="D139" s="98"/>
      <c r="E139" s="39"/>
      <c r="F139" s="39"/>
      <c r="G139" s="39"/>
      <c r="H139" s="39"/>
      <c r="I139" s="39"/>
      <c r="J139" s="39"/>
      <c r="K139" s="39"/>
      <c r="L139" s="39"/>
      <c r="M139" s="39"/>
      <c r="N139" s="39"/>
      <c r="O139" s="39"/>
      <c r="P139" s="39"/>
      <c r="Q139" s="39"/>
      <c r="R139" s="39"/>
      <c r="S139" s="239"/>
      <c r="AG139" s="174"/>
    </row>
    <row r="140" ht="15.75" customHeight="1">
      <c r="C140" s="98"/>
      <c r="D140" s="98"/>
      <c r="E140" s="39"/>
      <c r="F140" s="39"/>
      <c r="G140" s="39"/>
      <c r="H140" s="39"/>
      <c r="I140" s="39"/>
      <c r="J140" s="39"/>
      <c r="K140" s="39"/>
      <c r="L140" s="39"/>
      <c r="M140" s="39"/>
      <c r="N140" s="39"/>
      <c r="O140" s="39"/>
      <c r="P140" s="39"/>
      <c r="Q140" s="39"/>
      <c r="R140" s="39"/>
      <c r="S140" s="239"/>
      <c r="AG140" s="174"/>
    </row>
    <row r="141" ht="15.75" customHeight="1">
      <c r="C141" s="98"/>
      <c r="D141" s="98"/>
      <c r="E141" s="39"/>
      <c r="F141" s="39"/>
      <c r="G141" s="39"/>
      <c r="H141" s="39"/>
      <c r="I141" s="39"/>
      <c r="J141" s="39"/>
      <c r="K141" s="39"/>
      <c r="L141" s="39"/>
      <c r="M141" s="39"/>
      <c r="N141" s="39"/>
      <c r="O141" s="39"/>
      <c r="P141" s="39"/>
      <c r="Q141" s="39"/>
      <c r="R141" s="39"/>
      <c r="S141" s="239"/>
      <c r="AG141" s="174"/>
    </row>
    <row r="142" ht="15.75" customHeight="1">
      <c r="C142" s="98"/>
      <c r="D142" s="98"/>
      <c r="E142" s="39"/>
      <c r="F142" s="39"/>
      <c r="G142" s="39"/>
      <c r="H142" s="39"/>
      <c r="I142" s="39"/>
      <c r="J142" s="39"/>
      <c r="K142" s="39"/>
      <c r="L142" s="39"/>
      <c r="M142" s="39"/>
      <c r="N142" s="39"/>
      <c r="O142" s="39"/>
      <c r="P142" s="39"/>
      <c r="Q142" s="39"/>
      <c r="R142" s="39"/>
      <c r="S142" s="239"/>
      <c r="AG142" s="174"/>
    </row>
    <row r="143" ht="15.75" customHeight="1">
      <c r="C143" s="98"/>
      <c r="D143" s="98"/>
      <c r="E143" s="39"/>
      <c r="F143" s="39"/>
      <c r="G143" s="39"/>
      <c r="H143" s="39"/>
      <c r="I143" s="39"/>
      <c r="J143" s="39"/>
      <c r="K143" s="39"/>
      <c r="L143" s="39"/>
      <c r="M143" s="39"/>
      <c r="N143" s="39"/>
      <c r="O143" s="39"/>
      <c r="P143" s="39"/>
      <c r="Q143" s="39"/>
      <c r="R143" s="39"/>
      <c r="S143" s="239"/>
      <c r="AG143" s="174"/>
    </row>
    <row r="144" ht="15.75" customHeight="1">
      <c r="C144" s="98"/>
      <c r="D144" s="98"/>
      <c r="E144" s="39"/>
      <c r="F144" s="39"/>
      <c r="G144" s="39"/>
      <c r="H144" s="39"/>
      <c r="I144" s="39"/>
      <c r="J144" s="39"/>
      <c r="K144" s="39"/>
      <c r="L144" s="39"/>
      <c r="M144" s="39"/>
      <c r="N144" s="39"/>
      <c r="O144" s="39"/>
      <c r="P144" s="39"/>
      <c r="Q144" s="39"/>
      <c r="R144" s="39"/>
      <c r="S144" s="239"/>
      <c r="AG144" s="174"/>
    </row>
    <row r="145" ht="15.75" customHeight="1">
      <c r="C145" s="98"/>
      <c r="D145" s="98"/>
      <c r="E145" s="39"/>
      <c r="F145" s="39"/>
      <c r="G145" s="39"/>
      <c r="H145" s="39"/>
      <c r="I145" s="39"/>
      <c r="J145" s="39"/>
      <c r="K145" s="39"/>
      <c r="L145" s="39"/>
      <c r="M145" s="39"/>
      <c r="N145" s="39"/>
      <c r="O145" s="39"/>
      <c r="P145" s="39"/>
      <c r="Q145" s="39"/>
      <c r="R145" s="39"/>
      <c r="S145" s="239"/>
      <c r="AG145" s="174"/>
    </row>
    <row r="146" ht="15.75" customHeight="1">
      <c r="C146" s="98"/>
      <c r="D146" s="98"/>
      <c r="E146" s="39"/>
      <c r="F146" s="39"/>
      <c r="G146" s="39"/>
      <c r="H146" s="39"/>
      <c r="I146" s="39"/>
      <c r="J146" s="39"/>
      <c r="K146" s="39"/>
      <c r="L146" s="39"/>
      <c r="M146" s="39"/>
      <c r="N146" s="39"/>
      <c r="O146" s="39"/>
      <c r="P146" s="39"/>
      <c r="Q146" s="39"/>
      <c r="R146" s="39"/>
      <c r="S146" s="239"/>
      <c r="AG146" s="174"/>
    </row>
    <row r="147" ht="15.75" customHeight="1">
      <c r="C147" s="98"/>
      <c r="D147" s="98"/>
      <c r="E147" s="39"/>
      <c r="F147" s="39"/>
      <c r="G147" s="39"/>
      <c r="H147" s="39"/>
      <c r="I147" s="39"/>
      <c r="J147" s="39"/>
      <c r="K147" s="39"/>
      <c r="L147" s="39"/>
      <c r="M147" s="39"/>
      <c r="N147" s="39"/>
      <c r="O147" s="39"/>
      <c r="P147" s="39"/>
      <c r="Q147" s="39"/>
      <c r="R147" s="39"/>
      <c r="S147" s="239"/>
      <c r="AG147" s="174"/>
    </row>
    <row r="148" ht="15.75" customHeight="1">
      <c r="C148" s="98"/>
      <c r="D148" s="98"/>
      <c r="E148" s="39"/>
      <c r="F148" s="39"/>
      <c r="G148" s="39"/>
      <c r="H148" s="39"/>
      <c r="I148" s="39"/>
      <c r="J148" s="39"/>
      <c r="K148" s="39"/>
      <c r="L148" s="39"/>
      <c r="M148" s="39"/>
      <c r="N148" s="39"/>
      <c r="O148" s="39"/>
      <c r="P148" s="39"/>
      <c r="Q148" s="39"/>
      <c r="R148" s="39"/>
      <c r="S148" s="239"/>
      <c r="AG148" s="174"/>
    </row>
    <row r="149" ht="15.75" customHeight="1">
      <c r="C149" s="98"/>
      <c r="D149" s="98"/>
      <c r="E149" s="39"/>
      <c r="F149" s="39"/>
      <c r="G149" s="39"/>
      <c r="H149" s="39"/>
      <c r="I149" s="39"/>
      <c r="J149" s="39"/>
      <c r="K149" s="39"/>
      <c r="L149" s="39"/>
      <c r="M149" s="39"/>
      <c r="N149" s="39"/>
      <c r="O149" s="39"/>
      <c r="P149" s="39"/>
      <c r="Q149" s="39"/>
      <c r="R149" s="39"/>
      <c r="S149" s="239"/>
      <c r="AG149" s="174"/>
    </row>
    <row r="150" ht="15.75" customHeight="1">
      <c r="C150" s="98"/>
      <c r="D150" s="98"/>
      <c r="E150" s="39"/>
      <c r="F150" s="39"/>
      <c r="G150" s="39"/>
      <c r="H150" s="39"/>
      <c r="I150" s="39"/>
      <c r="J150" s="39"/>
      <c r="K150" s="39"/>
      <c r="L150" s="39"/>
      <c r="M150" s="39"/>
      <c r="N150" s="39"/>
      <c r="O150" s="39"/>
      <c r="P150" s="39"/>
      <c r="Q150" s="39"/>
      <c r="R150" s="39"/>
      <c r="S150" s="239"/>
      <c r="AG150" s="174"/>
    </row>
    <row r="151" ht="15.75" customHeight="1">
      <c r="C151" s="98"/>
      <c r="D151" s="98"/>
      <c r="E151" s="39"/>
      <c r="F151" s="39"/>
      <c r="G151" s="39"/>
      <c r="H151" s="39"/>
      <c r="I151" s="39"/>
      <c r="J151" s="39"/>
      <c r="K151" s="39"/>
      <c r="L151" s="39"/>
      <c r="M151" s="39"/>
      <c r="N151" s="39"/>
      <c r="O151" s="39"/>
      <c r="P151" s="39"/>
      <c r="Q151" s="39"/>
      <c r="R151" s="39"/>
      <c r="S151" s="239"/>
      <c r="AG151" s="174"/>
    </row>
    <row r="152" ht="15.75" customHeight="1">
      <c r="C152" s="98"/>
      <c r="D152" s="98"/>
      <c r="E152" s="39"/>
      <c r="F152" s="39"/>
      <c r="G152" s="39"/>
      <c r="H152" s="39"/>
      <c r="I152" s="39"/>
      <c r="J152" s="39"/>
      <c r="K152" s="39"/>
      <c r="L152" s="39"/>
      <c r="M152" s="39"/>
      <c r="N152" s="39"/>
      <c r="O152" s="39"/>
      <c r="P152" s="39"/>
      <c r="Q152" s="39"/>
      <c r="R152" s="39"/>
      <c r="S152" s="239"/>
      <c r="AG152" s="174"/>
    </row>
    <row r="153" ht="15.75" customHeight="1">
      <c r="C153" s="98"/>
      <c r="D153" s="98"/>
      <c r="E153" s="39"/>
      <c r="F153" s="39"/>
      <c r="G153" s="39"/>
      <c r="H153" s="39"/>
      <c r="I153" s="39"/>
      <c r="J153" s="39"/>
      <c r="K153" s="39"/>
      <c r="L153" s="39"/>
      <c r="M153" s="39"/>
      <c r="N153" s="39"/>
      <c r="O153" s="39"/>
      <c r="P153" s="39"/>
      <c r="Q153" s="39"/>
      <c r="R153" s="39"/>
      <c r="S153" s="239"/>
      <c r="AG153" s="174"/>
    </row>
    <row r="154" ht="15.75" customHeight="1">
      <c r="C154" s="98"/>
      <c r="D154" s="98"/>
      <c r="E154" s="39"/>
      <c r="F154" s="39"/>
      <c r="G154" s="39"/>
      <c r="H154" s="39"/>
      <c r="I154" s="39"/>
      <c r="J154" s="39"/>
      <c r="K154" s="39"/>
      <c r="L154" s="39"/>
      <c r="M154" s="39"/>
      <c r="N154" s="39"/>
      <c r="O154" s="39"/>
      <c r="P154" s="39"/>
      <c r="Q154" s="39"/>
      <c r="R154" s="39"/>
      <c r="S154" s="239"/>
      <c r="AG154" s="174"/>
    </row>
    <row r="155" ht="15.75" customHeight="1">
      <c r="C155" s="98"/>
      <c r="D155" s="98"/>
      <c r="E155" s="39"/>
      <c r="F155" s="39"/>
      <c r="G155" s="39"/>
      <c r="H155" s="39"/>
      <c r="I155" s="39"/>
      <c r="J155" s="39"/>
      <c r="K155" s="39"/>
      <c r="L155" s="39"/>
      <c r="M155" s="39"/>
      <c r="N155" s="39"/>
      <c r="O155" s="39"/>
      <c r="P155" s="39"/>
      <c r="Q155" s="39"/>
      <c r="R155" s="39"/>
      <c r="S155" s="239"/>
      <c r="AG155" s="174"/>
    </row>
    <row r="156" ht="15.75" customHeight="1">
      <c r="C156" s="98"/>
      <c r="D156" s="98"/>
      <c r="E156" s="39"/>
      <c r="F156" s="39"/>
      <c r="G156" s="39"/>
      <c r="H156" s="39"/>
      <c r="I156" s="39"/>
      <c r="J156" s="39"/>
      <c r="K156" s="39"/>
      <c r="L156" s="39"/>
      <c r="M156" s="39"/>
      <c r="N156" s="39"/>
      <c r="O156" s="39"/>
      <c r="P156" s="39"/>
      <c r="Q156" s="39"/>
      <c r="R156" s="39"/>
      <c r="S156" s="239"/>
      <c r="AG156" s="174"/>
    </row>
    <row r="157" ht="15.75" customHeight="1">
      <c r="C157" s="98"/>
      <c r="D157" s="98"/>
      <c r="E157" s="39"/>
      <c r="F157" s="39"/>
      <c r="G157" s="39"/>
      <c r="H157" s="39"/>
      <c r="I157" s="39"/>
      <c r="J157" s="39"/>
      <c r="K157" s="39"/>
      <c r="L157" s="39"/>
      <c r="M157" s="39"/>
      <c r="N157" s="39"/>
      <c r="O157" s="39"/>
      <c r="P157" s="39"/>
      <c r="Q157" s="39"/>
      <c r="R157" s="39"/>
      <c r="S157" s="239"/>
      <c r="AG157" s="174"/>
    </row>
    <row r="158" ht="15.75" customHeight="1">
      <c r="C158" s="98"/>
      <c r="D158" s="98"/>
      <c r="E158" s="39"/>
      <c r="F158" s="39"/>
      <c r="G158" s="39"/>
      <c r="H158" s="39"/>
      <c r="I158" s="39"/>
      <c r="J158" s="39"/>
      <c r="K158" s="39"/>
      <c r="L158" s="39"/>
      <c r="M158" s="39"/>
      <c r="N158" s="39"/>
      <c r="O158" s="39"/>
      <c r="P158" s="39"/>
      <c r="Q158" s="39"/>
      <c r="R158" s="39"/>
      <c r="S158" s="239"/>
      <c r="AG158" s="174"/>
    </row>
    <row r="159" ht="15.75" customHeight="1">
      <c r="C159" s="98"/>
      <c r="D159" s="98"/>
      <c r="E159" s="39"/>
      <c r="F159" s="39"/>
      <c r="G159" s="39"/>
      <c r="H159" s="39"/>
      <c r="I159" s="39"/>
      <c r="J159" s="39"/>
      <c r="K159" s="39"/>
      <c r="L159" s="39"/>
      <c r="M159" s="39"/>
      <c r="N159" s="39"/>
      <c r="O159" s="39"/>
      <c r="P159" s="39"/>
      <c r="Q159" s="39"/>
      <c r="R159" s="39"/>
      <c r="S159" s="239"/>
      <c r="AG159" s="174"/>
    </row>
    <row r="160" ht="15.75" customHeight="1">
      <c r="C160" s="98"/>
      <c r="D160" s="98"/>
      <c r="E160" s="39"/>
      <c r="F160" s="39"/>
      <c r="G160" s="39"/>
      <c r="H160" s="39"/>
      <c r="I160" s="39"/>
      <c r="J160" s="39"/>
      <c r="K160" s="39"/>
      <c r="L160" s="39"/>
      <c r="M160" s="39"/>
      <c r="N160" s="39"/>
      <c r="O160" s="39"/>
      <c r="P160" s="39"/>
      <c r="Q160" s="39"/>
      <c r="R160" s="39"/>
      <c r="S160" s="239"/>
      <c r="AG160" s="174"/>
    </row>
    <row r="161" ht="15.75" customHeight="1">
      <c r="C161" s="98"/>
      <c r="D161" s="98"/>
      <c r="E161" s="39"/>
      <c r="F161" s="39"/>
      <c r="G161" s="39"/>
      <c r="H161" s="39"/>
      <c r="I161" s="39"/>
      <c r="J161" s="39"/>
      <c r="K161" s="39"/>
      <c r="L161" s="39"/>
      <c r="M161" s="39"/>
      <c r="N161" s="39"/>
      <c r="O161" s="39"/>
      <c r="P161" s="39"/>
      <c r="Q161" s="39"/>
      <c r="R161" s="39"/>
      <c r="S161" s="239"/>
      <c r="AG161" s="174"/>
    </row>
    <row r="162" ht="15.75" customHeight="1">
      <c r="C162" s="98"/>
      <c r="D162" s="98"/>
      <c r="E162" s="39"/>
      <c r="F162" s="39"/>
      <c r="G162" s="39"/>
      <c r="H162" s="39"/>
      <c r="I162" s="39"/>
      <c r="J162" s="39"/>
      <c r="K162" s="39"/>
      <c r="L162" s="39"/>
      <c r="M162" s="39"/>
      <c r="N162" s="39"/>
      <c r="O162" s="39"/>
      <c r="P162" s="39"/>
      <c r="Q162" s="39"/>
      <c r="R162" s="39"/>
      <c r="S162" s="239"/>
      <c r="AG162" s="174"/>
    </row>
    <row r="163" ht="15.75" customHeight="1">
      <c r="C163" s="98"/>
      <c r="D163" s="98"/>
      <c r="E163" s="39"/>
      <c r="F163" s="39"/>
      <c r="G163" s="39"/>
      <c r="H163" s="39"/>
      <c r="I163" s="39"/>
      <c r="J163" s="39"/>
      <c r="K163" s="39"/>
      <c r="L163" s="39"/>
      <c r="M163" s="39"/>
      <c r="N163" s="39"/>
      <c r="O163" s="39"/>
      <c r="P163" s="39"/>
      <c r="Q163" s="39"/>
      <c r="R163" s="39"/>
      <c r="S163" s="239"/>
      <c r="AG163" s="174"/>
    </row>
    <row r="164" ht="15.75" customHeight="1">
      <c r="C164" s="98"/>
      <c r="D164" s="98"/>
      <c r="E164" s="39"/>
      <c r="F164" s="39"/>
      <c r="G164" s="39"/>
      <c r="H164" s="39"/>
      <c r="I164" s="39"/>
      <c r="J164" s="39"/>
      <c r="K164" s="39"/>
      <c r="L164" s="39"/>
      <c r="M164" s="39"/>
      <c r="N164" s="39"/>
      <c r="O164" s="39"/>
      <c r="P164" s="39"/>
      <c r="Q164" s="39"/>
      <c r="R164" s="39"/>
      <c r="S164" s="239"/>
      <c r="AG164" s="174"/>
    </row>
    <row r="165" ht="15.75" customHeight="1">
      <c r="C165" s="98"/>
      <c r="D165" s="98"/>
      <c r="E165" s="39"/>
      <c r="F165" s="39"/>
      <c r="G165" s="39"/>
      <c r="H165" s="39"/>
      <c r="I165" s="39"/>
      <c r="J165" s="39"/>
      <c r="K165" s="39"/>
      <c r="L165" s="39"/>
      <c r="M165" s="39"/>
      <c r="N165" s="39"/>
      <c r="O165" s="39"/>
      <c r="P165" s="39"/>
      <c r="Q165" s="39"/>
      <c r="R165" s="39"/>
      <c r="S165" s="239"/>
      <c r="AG165" s="174"/>
    </row>
    <row r="166" ht="15.75" customHeight="1">
      <c r="C166" s="98"/>
      <c r="D166" s="98"/>
      <c r="E166" s="39"/>
      <c r="F166" s="39"/>
      <c r="G166" s="39"/>
      <c r="H166" s="39"/>
      <c r="I166" s="39"/>
      <c r="J166" s="39"/>
      <c r="K166" s="39"/>
      <c r="L166" s="39"/>
      <c r="M166" s="39"/>
      <c r="N166" s="39"/>
      <c r="O166" s="39"/>
      <c r="P166" s="39"/>
      <c r="Q166" s="39"/>
      <c r="R166" s="39"/>
      <c r="S166" s="239"/>
      <c r="AG166" s="174"/>
    </row>
    <row r="167" ht="15.75" customHeight="1">
      <c r="C167" s="98"/>
      <c r="D167" s="98"/>
      <c r="E167" s="39"/>
      <c r="F167" s="39"/>
      <c r="G167" s="39"/>
      <c r="H167" s="39"/>
      <c r="I167" s="39"/>
      <c r="J167" s="39"/>
      <c r="K167" s="39"/>
      <c r="L167" s="39"/>
      <c r="M167" s="39"/>
      <c r="N167" s="39"/>
      <c r="O167" s="39"/>
      <c r="P167" s="39"/>
      <c r="Q167" s="39"/>
      <c r="R167" s="39"/>
      <c r="S167" s="239"/>
      <c r="AG167" s="174"/>
    </row>
    <row r="168" ht="15.75" customHeight="1">
      <c r="C168" s="98"/>
      <c r="D168" s="98"/>
      <c r="E168" s="39"/>
      <c r="F168" s="39"/>
      <c r="G168" s="39"/>
      <c r="H168" s="39"/>
      <c r="I168" s="39"/>
      <c r="J168" s="39"/>
      <c r="K168" s="39"/>
      <c r="L168" s="39"/>
      <c r="M168" s="39"/>
      <c r="N168" s="39"/>
      <c r="O168" s="39"/>
      <c r="P168" s="39"/>
      <c r="Q168" s="39"/>
      <c r="R168" s="39"/>
      <c r="S168" s="239"/>
      <c r="AG168" s="174"/>
    </row>
    <row r="169" ht="15.75" customHeight="1">
      <c r="C169" s="98"/>
      <c r="D169" s="98"/>
      <c r="E169" s="39"/>
      <c r="F169" s="39"/>
      <c r="G169" s="39"/>
      <c r="H169" s="39"/>
      <c r="I169" s="39"/>
      <c r="J169" s="39"/>
      <c r="K169" s="39"/>
      <c r="L169" s="39"/>
      <c r="M169" s="39"/>
      <c r="N169" s="39"/>
      <c r="O169" s="39"/>
      <c r="P169" s="39"/>
      <c r="Q169" s="39"/>
      <c r="R169" s="39"/>
      <c r="S169" s="239"/>
      <c r="AG169" s="174"/>
    </row>
    <row r="170" ht="15.75" customHeight="1">
      <c r="C170" s="98"/>
      <c r="D170" s="98"/>
      <c r="E170" s="39"/>
      <c r="F170" s="39"/>
      <c r="G170" s="39"/>
      <c r="H170" s="39"/>
      <c r="I170" s="39"/>
      <c r="J170" s="39"/>
      <c r="K170" s="39"/>
      <c r="L170" s="39"/>
      <c r="M170" s="39"/>
      <c r="N170" s="39"/>
      <c r="O170" s="39"/>
      <c r="P170" s="39"/>
      <c r="Q170" s="39"/>
      <c r="R170" s="39"/>
      <c r="S170" s="239"/>
      <c r="AG170" s="174"/>
    </row>
    <row r="171" ht="15.75" customHeight="1">
      <c r="C171" s="98"/>
      <c r="D171" s="98"/>
      <c r="E171" s="39"/>
      <c r="F171" s="39"/>
      <c r="G171" s="39"/>
      <c r="H171" s="39"/>
      <c r="I171" s="39"/>
      <c r="J171" s="39"/>
      <c r="K171" s="39"/>
      <c r="L171" s="39"/>
      <c r="M171" s="39"/>
      <c r="N171" s="39"/>
      <c r="O171" s="39"/>
      <c r="P171" s="39"/>
      <c r="Q171" s="39"/>
      <c r="R171" s="39"/>
      <c r="S171" s="239"/>
      <c r="AG171" s="174"/>
    </row>
    <row r="172" ht="15.75" customHeight="1">
      <c r="C172" s="98"/>
      <c r="D172" s="98"/>
      <c r="E172" s="39"/>
      <c r="F172" s="39"/>
      <c r="G172" s="39"/>
      <c r="H172" s="39"/>
      <c r="I172" s="39"/>
      <c r="J172" s="39"/>
      <c r="K172" s="39"/>
      <c r="L172" s="39"/>
      <c r="M172" s="39"/>
      <c r="N172" s="39"/>
      <c r="O172" s="39"/>
      <c r="P172" s="39"/>
      <c r="Q172" s="39"/>
      <c r="R172" s="39"/>
      <c r="S172" s="239"/>
      <c r="AG172" s="174"/>
    </row>
    <row r="173" ht="15.75" customHeight="1">
      <c r="C173" s="98"/>
      <c r="D173" s="98"/>
      <c r="E173" s="39"/>
      <c r="F173" s="39"/>
      <c r="G173" s="39"/>
      <c r="H173" s="39"/>
      <c r="I173" s="39"/>
      <c r="J173" s="39"/>
      <c r="K173" s="39"/>
      <c r="L173" s="39"/>
      <c r="M173" s="39"/>
      <c r="N173" s="39"/>
      <c r="O173" s="39"/>
      <c r="P173" s="39"/>
      <c r="Q173" s="39"/>
      <c r="R173" s="39"/>
      <c r="S173" s="239"/>
      <c r="AG173" s="174"/>
    </row>
    <row r="174" ht="15.75" customHeight="1">
      <c r="C174" s="98"/>
      <c r="D174" s="98"/>
      <c r="E174" s="39"/>
      <c r="F174" s="39"/>
      <c r="G174" s="39"/>
      <c r="H174" s="39"/>
      <c r="I174" s="39"/>
      <c r="J174" s="39"/>
      <c r="K174" s="39"/>
      <c r="L174" s="39"/>
      <c r="M174" s="39"/>
      <c r="N174" s="39"/>
      <c r="O174" s="39"/>
      <c r="P174" s="39"/>
      <c r="Q174" s="39"/>
      <c r="R174" s="39"/>
      <c r="S174" s="239"/>
      <c r="AG174" s="174"/>
    </row>
    <row r="175" ht="15.75" customHeight="1">
      <c r="C175" s="98"/>
      <c r="D175" s="98"/>
      <c r="E175" s="39"/>
      <c r="F175" s="39"/>
      <c r="G175" s="39"/>
      <c r="H175" s="39"/>
      <c r="I175" s="39"/>
      <c r="J175" s="39"/>
      <c r="K175" s="39"/>
      <c r="L175" s="39"/>
      <c r="M175" s="39"/>
      <c r="N175" s="39"/>
      <c r="O175" s="39"/>
      <c r="P175" s="39"/>
      <c r="Q175" s="39"/>
      <c r="R175" s="39"/>
      <c r="S175" s="239"/>
      <c r="AG175" s="174"/>
    </row>
    <row r="176" ht="15.75" customHeight="1">
      <c r="C176" s="98"/>
      <c r="D176" s="98"/>
      <c r="E176" s="39"/>
      <c r="F176" s="39"/>
      <c r="G176" s="39"/>
      <c r="H176" s="39"/>
      <c r="I176" s="39"/>
      <c r="J176" s="39"/>
      <c r="K176" s="39"/>
      <c r="L176" s="39"/>
      <c r="M176" s="39"/>
      <c r="N176" s="39"/>
      <c r="O176" s="39"/>
      <c r="P176" s="39"/>
      <c r="Q176" s="39"/>
      <c r="R176" s="39"/>
      <c r="S176" s="239"/>
      <c r="AG176" s="174"/>
    </row>
    <row r="177" ht="15.75" customHeight="1">
      <c r="C177" s="98"/>
      <c r="D177" s="98"/>
      <c r="E177" s="39"/>
      <c r="F177" s="39"/>
      <c r="G177" s="39"/>
      <c r="H177" s="39"/>
      <c r="I177" s="39"/>
      <c r="J177" s="39"/>
      <c r="K177" s="39"/>
      <c r="L177" s="39"/>
      <c r="M177" s="39"/>
      <c r="N177" s="39"/>
      <c r="O177" s="39"/>
      <c r="P177" s="39"/>
      <c r="Q177" s="39"/>
      <c r="R177" s="39"/>
      <c r="S177" s="239"/>
      <c r="AG177" s="174"/>
    </row>
    <row r="178" ht="15.75" customHeight="1">
      <c r="C178" s="98"/>
      <c r="D178" s="98"/>
      <c r="E178" s="39"/>
      <c r="F178" s="39"/>
      <c r="G178" s="39"/>
      <c r="H178" s="39"/>
      <c r="I178" s="39"/>
      <c r="J178" s="39"/>
      <c r="K178" s="39"/>
      <c r="L178" s="39"/>
      <c r="M178" s="39"/>
      <c r="N178" s="39"/>
      <c r="O178" s="39"/>
      <c r="P178" s="39"/>
      <c r="Q178" s="39"/>
      <c r="R178" s="39"/>
      <c r="S178" s="239"/>
      <c r="AG178" s="174"/>
    </row>
    <row r="179" ht="15.75" customHeight="1">
      <c r="C179" s="98"/>
      <c r="D179" s="98"/>
      <c r="E179" s="39"/>
      <c r="F179" s="39"/>
      <c r="G179" s="39"/>
      <c r="H179" s="39"/>
      <c r="I179" s="39"/>
      <c r="J179" s="39"/>
      <c r="K179" s="39"/>
      <c r="L179" s="39"/>
      <c r="M179" s="39"/>
      <c r="N179" s="39"/>
      <c r="O179" s="39"/>
      <c r="P179" s="39"/>
      <c r="Q179" s="39"/>
      <c r="R179" s="39"/>
      <c r="S179" s="239"/>
      <c r="AG179" s="174"/>
    </row>
    <row r="180" ht="15.75" customHeight="1">
      <c r="C180" s="98"/>
      <c r="D180" s="98"/>
      <c r="E180" s="39"/>
      <c r="F180" s="39"/>
      <c r="G180" s="39"/>
      <c r="H180" s="39"/>
      <c r="I180" s="39"/>
      <c r="J180" s="39"/>
      <c r="K180" s="39"/>
      <c r="L180" s="39"/>
      <c r="M180" s="39"/>
      <c r="N180" s="39"/>
      <c r="O180" s="39"/>
      <c r="P180" s="39"/>
      <c r="Q180" s="39"/>
      <c r="R180" s="39"/>
      <c r="S180" s="239"/>
      <c r="AG180" s="174"/>
    </row>
    <row r="181" ht="15.75" customHeight="1">
      <c r="C181" s="98"/>
      <c r="D181" s="98"/>
      <c r="E181" s="39"/>
      <c r="F181" s="39"/>
      <c r="G181" s="39"/>
      <c r="H181" s="39"/>
      <c r="I181" s="39"/>
      <c r="J181" s="39"/>
      <c r="K181" s="39"/>
      <c r="L181" s="39"/>
      <c r="M181" s="39"/>
      <c r="N181" s="39"/>
      <c r="O181" s="39"/>
      <c r="P181" s="39"/>
      <c r="Q181" s="39"/>
      <c r="R181" s="39"/>
      <c r="S181" s="239"/>
      <c r="AG181" s="174"/>
    </row>
    <row r="182" ht="15.75" customHeight="1">
      <c r="C182" s="98"/>
      <c r="D182" s="98"/>
      <c r="E182" s="39"/>
      <c r="F182" s="39"/>
      <c r="G182" s="39"/>
      <c r="H182" s="39"/>
      <c r="I182" s="39"/>
      <c r="J182" s="39"/>
      <c r="K182" s="39"/>
      <c r="L182" s="39"/>
      <c r="M182" s="39"/>
      <c r="N182" s="39"/>
      <c r="O182" s="39"/>
      <c r="P182" s="39"/>
      <c r="Q182" s="39"/>
      <c r="R182" s="39"/>
      <c r="S182" s="239"/>
      <c r="AG182" s="174"/>
    </row>
    <row r="183" ht="15.75" customHeight="1">
      <c r="C183" s="98"/>
      <c r="D183" s="98"/>
      <c r="E183" s="39"/>
      <c r="F183" s="39"/>
      <c r="G183" s="39"/>
      <c r="H183" s="39"/>
      <c r="I183" s="39"/>
      <c r="J183" s="39"/>
      <c r="K183" s="39"/>
      <c r="L183" s="39"/>
      <c r="M183" s="39"/>
      <c r="N183" s="39"/>
      <c r="O183" s="39"/>
      <c r="P183" s="39"/>
      <c r="Q183" s="39"/>
      <c r="R183" s="39"/>
      <c r="S183" s="239"/>
      <c r="AG183" s="174"/>
    </row>
    <row r="184" ht="15.75" customHeight="1">
      <c r="C184" s="98"/>
      <c r="D184" s="98"/>
      <c r="E184" s="39"/>
      <c r="F184" s="39"/>
      <c r="G184" s="39"/>
      <c r="H184" s="39"/>
      <c r="I184" s="39"/>
      <c r="J184" s="39"/>
      <c r="K184" s="39"/>
      <c r="L184" s="39"/>
      <c r="M184" s="39"/>
      <c r="N184" s="39"/>
      <c r="O184" s="39"/>
      <c r="P184" s="39"/>
      <c r="Q184" s="39"/>
      <c r="R184" s="39"/>
      <c r="S184" s="239"/>
      <c r="AG184" s="174"/>
    </row>
    <row r="185" ht="15.75" customHeight="1">
      <c r="C185" s="98"/>
      <c r="D185" s="98"/>
      <c r="E185" s="39"/>
      <c r="F185" s="39"/>
      <c r="G185" s="39"/>
      <c r="H185" s="39"/>
      <c r="I185" s="39"/>
      <c r="J185" s="39"/>
      <c r="K185" s="39"/>
      <c r="L185" s="39"/>
      <c r="M185" s="39"/>
      <c r="N185" s="39"/>
      <c r="O185" s="39"/>
      <c r="P185" s="39"/>
      <c r="Q185" s="39"/>
      <c r="R185" s="39"/>
      <c r="S185" s="239"/>
      <c r="AG185" s="174"/>
    </row>
    <row r="186" ht="15.75" customHeight="1">
      <c r="C186" s="98"/>
      <c r="D186" s="98"/>
      <c r="E186" s="39"/>
      <c r="F186" s="39"/>
      <c r="G186" s="39"/>
      <c r="H186" s="39"/>
      <c r="I186" s="39"/>
      <c r="J186" s="39"/>
      <c r="K186" s="39"/>
      <c r="L186" s="39"/>
      <c r="M186" s="39"/>
      <c r="N186" s="39"/>
      <c r="O186" s="39"/>
      <c r="P186" s="39"/>
      <c r="Q186" s="39"/>
      <c r="R186" s="39"/>
      <c r="S186" s="239"/>
      <c r="AG186" s="174"/>
    </row>
    <row r="187" ht="15.75" customHeight="1">
      <c r="C187" s="98"/>
      <c r="D187" s="98"/>
      <c r="E187" s="39"/>
      <c r="F187" s="39"/>
      <c r="G187" s="39"/>
      <c r="H187" s="39"/>
      <c r="I187" s="39"/>
      <c r="J187" s="39"/>
      <c r="K187" s="39"/>
      <c r="L187" s="39"/>
      <c r="M187" s="39"/>
      <c r="N187" s="39"/>
      <c r="O187" s="39"/>
      <c r="P187" s="39"/>
      <c r="Q187" s="39"/>
      <c r="R187" s="39"/>
      <c r="S187" s="239"/>
      <c r="AG187" s="174"/>
    </row>
    <row r="188" ht="15.75" customHeight="1">
      <c r="C188" s="98"/>
      <c r="D188" s="98"/>
      <c r="E188" s="39"/>
      <c r="F188" s="39"/>
      <c r="G188" s="39"/>
      <c r="H188" s="39"/>
      <c r="I188" s="39"/>
      <c r="J188" s="39"/>
      <c r="K188" s="39"/>
      <c r="L188" s="39"/>
      <c r="M188" s="39"/>
      <c r="N188" s="39"/>
      <c r="O188" s="39"/>
      <c r="P188" s="39"/>
      <c r="Q188" s="39"/>
      <c r="R188" s="39"/>
      <c r="S188" s="239"/>
      <c r="AG188" s="174"/>
    </row>
    <row r="189" ht="15.75" customHeight="1">
      <c r="C189" s="98"/>
      <c r="D189" s="98"/>
      <c r="E189" s="39"/>
      <c r="F189" s="39"/>
      <c r="G189" s="39"/>
      <c r="H189" s="39"/>
      <c r="I189" s="39"/>
      <c r="J189" s="39"/>
      <c r="K189" s="39"/>
      <c r="L189" s="39"/>
      <c r="M189" s="39"/>
      <c r="N189" s="39"/>
      <c r="O189" s="39"/>
      <c r="P189" s="39"/>
      <c r="Q189" s="39"/>
      <c r="R189" s="39"/>
      <c r="S189" s="239"/>
      <c r="AG189" s="174"/>
    </row>
    <row r="190" ht="15.75" customHeight="1">
      <c r="C190" s="98"/>
      <c r="D190" s="98"/>
      <c r="E190" s="39"/>
      <c r="F190" s="39"/>
      <c r="G190" s="39"/>
      <c r="H190" s="39"/>
      <c r="I190" s="39"/>
      <c r="J190" s="39"/>
      <c r="K190" s="39"/>
      <c r="L190" s="39"/>
      <c r="M190" s="39"/>
      <c r="N190" s="39"/>
      <c r="O190" s="39"/>
      <c r="P190" s="39"/>
      <c r="Q190" s="39"/>
      <c r="R190" s="39"/>
      <c r="S190" s="239"/>
      <c r="AG190" s="174"/>
    </row>
    <row r="191" ht="15.75" customHeight="1">
      <c r="C191" s="98"/>
      <c r="D191" s="98"/>
      <c r="E191" s="39"/>
      <c r="F191" s="39"/>
      <c r="G191" s="39"/>
      <c r="H191" s="39"/>
      <c r="I191" s="39"/>
      <c r="J191" s="39"/>
      <c r="K191" s="39"/>
      <c r="L191" s="39"/>
      <c r="M191" s="39"/>
      <c r="N191" s="39"/>
      <c r="O191" s="39"/>
      <c r="P191" s="39"/>
      <c r="Q191" s="39"/>
      <c r="R191" s="39"/>
      <c r="S191" s="239"/>
      <c r="AG191" s="174"/>
    </row>
    <row r="192" ht="15.75" customHeight="1">
      <c r="C192" s="98"/>
      <c r="D192" s="98"/>
      <c r="E192" s="39"/>
      <c r="F192" s="39"/>
      <c r="G192" s="39"/>
      <c r="H192" s="39"/>
      <c r="I192" s="39"/>
      <c r="J192" s="39"/>
      <c r="K192" s="39"/>
      <c r="L192" s="39"/>
      <c r="M192" s="39"/>
      <c r="N192" s="39"/>
      <c r="O192" s="39"/>
      <c r="P192" s="39"/>
      <c r="Q192" s="39"/>
      <c r="R192" s="39"/>
      <c r="S192" s="239"/>
      <c r="AG192" s="174"/>
    </row>
    <row r="193" ht="15.75" customHeight="1">
      <c r="C193" s="98"/>
      <c r="D193" s="98"/>
      <c r="E193" s="39"/>
      <c r="F193" s="39"/>
      <c r="G193" s="39"/>
      <c r="H193" s="39"/>
      <c r="I193" s="39"/>
      <c r="J193" s="39"/>
      <c r="K193" s="39"/>
      <c r="L193" s="39"/>
      <c r="M193" s="39"/>
      <c r="N193" s="39"/>
      <c r="O193" s="39"/>
      <c r="P193" s="39"/>
      <c r="Q193" s="39"/>
      <c r="R193" s="39"/>
      <c r="S193" s="239"/>
      <c r="AG193" s="174"/>
    </row>
    <row r="194" ht="15.75" customHeight="1">
      <c r="C194" s="98"/>
      <c r="D194" s="98"/>
      <c r="E194" s="39"/>
      <c r="F194" s="39"/>
      <c r="G194" s="39"/>
      <c r="H194" s="39"/>
      <c r="I194" s="39"/>
      <c r="J194" s="39"/>
      <c r="K194" s="39"/>
      <c r="L194" s="39"/>
      <c r="M194" s="39"/>
      <c r="N194" s="39"/>
      <c r="O194" s="39"/>
      <c r="P194" s="39"/>
      <c r="Q194" s="39"/>
      <c r="R194" s="39"/>
      <c r="S194" s="239"/>
      <c r="AG194" s="174"/>
    </row>
    <row r="195" ht="15.75" customHeight="1">
      <c r="C195" s="98"/>
      <c r="D195" s="98"/>
      <c r="E195" s="39"/>
      <c r="F195" s="39"/>
      <c r="G195" s="39"/>
      <c r="H195" s="39"/>
      <c r="I195" s="39"/>
      <c r="J195" s="39"/>
      <c r="K195" s="39"/>
      <c r="L195" s="39"/>
      <c r="M195" s="39"/>
      <c r="N195" s="39"/>
      <c r="O195" s="39"/>
      <c r="P195" s="39"/>
      <c r="Q195" s="39"/>
      <c r="R195" s="39"/>
      <c r="S195" s="239"/>
      <c r="AG195" s="174"/>
    </row>
    <row r="196" ht="15.75" customHeight="1">
      <c r="C196" s="98"/>
      <c r="D196" s="98"/>
      <c r="E196" s="39"/>
      <c r="F196" s="39"/>
      <c r="G196" s="39"/>
      <c r="H196" s="39"/>
      <c r="I196" s="39"/>
      <c r="J196" s="39"/>
      <c r="K196" s="39"/>
      <c r="L196" s="39"/>
      <c r="M196" s="39"/>
      <c r="N196" s="39"/>
      <c r="O196" s="39"/>
      <c r="P196" s="39"/>
      <c r="Q196" s="39"/>
      <c r="R196" s="39"/>
      <c r="S196" s="239"/>
      <c r="AG196" s="174"/>
    </row>
    <row r="197" ht="15.75" customHeight="1">
      <c r="C197" s="98"/>
      <c r="D197" s="98"/>
      <c r="E197" s="39"/>
      <c r="F197" s="39"/>
      <c r="G197" s="39"/>
      <c r="H197" s="39"/>
      <c r="I197" s="39"/>
      <c r="J197" s="39"/>
      <c r="K197" s="39"/>
      <c r="L197" s="39"/>
      <c r="M197" s="39"/>
      <c r="N197" s="39"/>
      <c r="O197" s="39"/>
      <c r="P197" s="39"/>
      <c r="Q197" s="39"/>
      <c r="R197" s="39"/>
      <c r="S197" s="239"/>
      <c r="AG197" s="174"/>
    </row>
    <row r="198" ht="15.75" customHeight="1">
      <c r="C198" s="98"/>
      <c r="D198" s="98"/>
      <c r="E198" s="39"/>
      <c r="F198" s="39"/>
      <c r="G198" s="39"/>
      <c r="H198" s="39"/>
      <c r="I198" s="39"/>
      <c r="J198" s="39"/>
      <c r="K198" s="39"/>
      <c r="L198" s="39"/>
      <c r="M198" s="39"/>
      <c r="N198" s="39"/>
      <c r="O198" s="39"/>
      <c r="P198" s="39"/>
      <c r="Q198" s="39"/>
      <c r="R198" s="39"/>
      <c r="S198" s="239"/>
      <c r="AG198" s="174"/>
    </row>
    <row r="199" ht="15.75" customHeight="1">
      <c r="C199" s="98"/>
      <c r="D199" s="98"/>
      <c r="E199" s="39"/>
      <c r="F199" s="39"/>
      <c r="G199" s="39"/>
      <c r="H199" s="39"/>
      <c r="I199" s="39"/>
      <c r="J199" s="39"/>
      <c r="K199" s="39"/>
      <c r="L199" s="39"/>
      <c r="M199" s="39"/>
      <c r="N199" s="39"/>
      <c r="O199" s="39"/>
      <c r="P199" s="39"/>
      <c r="Q199" s="39"/>
      <c r="R199" s="39"/>
      <c r="S199" s="239"/>
      <c r="AG199" s="174"/>
    </row>
    <row r="200" ht="15.75" customHeight="1">
      <c r="C200" s="98"/>
      <c r="D200" s="98"/>
      <c r="E200" s="39"/>
      <c r="F200" s="39"/>
      <c r="G200" s="39"/>
      <c r="H200" s="39"/>
      <c r="I200" s="39"/>
      <c r="J200" s="39"/>
      <c r="K200" s="39"/>
      <c r="L200" s="39"/>
      <c r="M200" s="39"/>
      <c r="N200" s="39"/>
      <c r="O200" s="39"/>
      <c r="P200" s="39"/>
      <c r="Q200" s="39"/>
      <c r="R200" s="39"/>
      <c r="S200" s="239"/>
      <c r="AG200" s="174"/>
    </row>
    <row r="201" ht="15.75" customHeight="1">
      <c r="C201" s="98"/>
      <c r="D201" s="98"/>
      <c r="E201" s="39"/>
      <c r="F201" s="39"/>
      <c r="G201" s="39"/>
      <c r="H201" s="39"/>
      <c r="I201" s="39"/>
      <c r="J201" s="39"/>
      <c r="K201" s="39"/>
      <c r="L201" s="39"/>
      <c r="M201" s="39"/>
      <c r="N201" s="39"/>
      <c r="O201" s="39"/>
      <c r="P201" s="39"/>
      <c r="Q201" s="39"/>
      <c r="R201" s="39"/>
      <c r="S201" s="239"/>
      <c r="AG201" s="174"/>
    </row>
    <row r="202" ht="15.75" customHeight="1">
      <c r="C202" s="98"/>
      <c r="D202" s="98"/>
      <c r="E202" s="39"/>
      <c r="F202" s="39"/>
      <c r="G202" s="39"/>
      <c r="H202" s="39"/>
      <c r="I202" s="39"/>
      <c r="J202" s="39"/>
      <c r="K202" s="39"/>
      <c r="L202" s="39"/>
      <c r="M202" s="39"/>
      <c r="N202" s="39"/>
      <c r="O202" s="39"/>
      <c r="P202" s="39"/>
      <c r="Q202" s="39"/>
      <c r="R202" s="39"/>
      <c r="S202" s="239"/>
      <c r="AG202" s="174"/>
    </row>
    <row r="203" ht="15.75" customHeight="1">
      <c r="C203" s="98"/>
      <c r="D203" s="98"/>
      <c r="E203" s="39"/>
      <c r="F203" s="39"/>
      <c r="G203" s="39"/>
      <c r="H203" s="39"/>
      <c r="I203" s="39"/>
      <c r="J203" s="39"/>
      <c r="K203" s="39"/>
      <c r="L203" s="39"/>
      <c r="M203" s="39"/>
      <c r="N203" s="39"/>
      <c r="O203" s="39"/>
      <c r="P203" s="39"/>
      <c r="Q203" s="39"/>
      <c r="R203" s="39"/>
      <c r="S203" s="239"/>
      <c r="AG203" s="174"/>
    </row>
    <row r="204" ht="15.75" customHeight="1">
      <c r="C204" s="98"/>
      <c r="D204" s="98"/>
      <c r="E204" s="39"/>
      <c r="F204" s="39"/>
      <c r="G204" s="39"/>
      <c r="H204" s="39"/>
      <c r="I204" s="39"/>
      <c r="J204" s="39"/>
      <c r="K204" s="39"/>
      <c r="L204" s="39"/>
      <c r="M204" s="39"/>
      <c r="N204" s="39"/>
      <c r="O204" s="39"/>
      <c r="P204" s="39"/>
      <c r="Q204" s="39"/>
      <c r="R204" s="39"/>
      <c r="S204" s="239"/>
      <c r="AG204" s="174"/>
    </row>
    <row r="205" ht="15.75" customHeight="1">
      <c r="C205" s="98"/>
      <c r="D205" s="98"/>
      <c r="E205" s="39"/>
      <c r="F205" s="39"/>
      <c r="G205" s="39"/>
      <c r="H205" s="39"/>
      <c r="I205" s="39"/>
      <c r="J205" s="39"/>
      <c r="K205" s="39"/>
      <c r="L205" s="39"/>
      <c r="M205" s="39"/>
      <c r="N205" s="39"/>
      <c r="O205" s="39"/>
      <c r="P205" s="39"/>
      <c r="Q205" s="39"/>
      <c r="R205" s="39"/>
      <c r="S205" s="239"/>
      <c r="AG205" s="174"/>
    </row>
    <row r="206" ht="15.75" customHeight="1">
      <c r="C206" s="98"/>
      <c r="D206" s="98"/>
      <c r="E206" s="39"/>
      <c r="F206" s="39"/>
      <c r="G206" s="39"/>
      <c r="H206" s="39"/>
      <c r="I206" s="39"/>
      <c r="J206" s="39"/>
      <c r="K206" s="39"/>
      <c r="L206" s="39"/>
      <c r="M206" s="39"/>
      <c r="N206" s="39"/>
      <c r="O206" s="39"/>
      <c r="P206" s="39"/>
      <c r="Q206" s="39"/>
      <c r="R206" s="39"/>
      <c r="S206" s="239"/>
      <c r="AG206" s="174"/>
    </row>
    <row r="207" ht="15.75" customHeight="1">
      <c r="C207" s="98"/>
      <c r="D207" s="98"/>
      <c r="E207" s="39"/>
      <c r="F207" s="39"/>
      <c r="G207" s="39"/>
      <c r="H207" s="39"/>
      <c r="I207" s="39"/>
      <c r="J207" s="39"/>
      <c r="K207" s="39"/>
      <c r="L207" s="39"/>
      <c r="M207" s="39"/>
      <c r="N207" s="39"/>
      <c r="O207" s="39"/>
      <c r="P207" s="39"/>
      <c r="Q207" s="39"/>
      <c r="R207" s="39"/>
      <c r="S207" s="239"/>
      <c r="AG207" s="174"/>
    </row>
    <row r="208" ht="15.75" customHeight="1">
      <c r="C208" s="98"/>
      <c r="D208" s="98"/>
      <c r="E208" s="39"/>
      <c r="F208" s="39"/>
      <c r="G208" s="39"/>
      <c r="H208" s="39"/>
      <c r="I208" s="39"/>
      <c r="J208" s="39"/>
      <c r="K208" s="39"/>
      <c r="L208" s="39"/>
      <c r="M208" s="39"/>
      <c r="N208" s="39"/>
      <c r="O208" s="39"/>
      <c r="P208" s="39"/>
      <c r="Q208" s="39"/>
      <c r="R208" s="39"/>
      <c r="S208" s="239"/>
      <c r="AG208" s="174"/>
    </row>
    <row r="209" ht="15.75" customHeight="1">
      <c r="C209" s="98"/>
      <c r="D209" s="98"/>
      <c r="E209" s="39"/>
      <c r="F209" s="39"/>
      <c r="G209" s="39"/>
      <c r="H209" s="39"/>
      <c r="I209" s="39"/>
      <c r="J209" s="39"/>
      <c r="K209" s="39"/>
      <c r="L209" s="39"/>
      <c r="M209" s="39"/>
      <c r="N209" s="39"/>
      <c r="O209" s="39"/>
      <c r="P209" s="39"/>
      <c r="Q209" s="39"/>
      <c r="R209" s="39"/>
      <c r="S209" s="239"/>
      <c r="AG209" s="174"/>
    </row>
    <row r="210" ht="15.75" customHeight="1">
      <c r="C210" s="98"/>
      <c r="D210" s="98"/>
      <c r="E210" s="39"/>
      <c r="F210" s="39"/>
      <c r="G210" s="39"/>
      <c r="H210" s="39"/>
      <c r="I210" s="39"/>
      <c r="J210" s="39"/>
      <c r="K210" s="39"/>
      <c r="L210" s="39"/>
      <c r="M210" s="39"/>
      <c r="N210" s="39"/>
      <c r="O210" s="39"/>
      <c r="P210" s="39"/>
      <c r="Q210" s="39"/>
      <c r="R210" s="39"/>
      <c r="S210" s="239"/>
      <c r="AG210" s="174"/>
    </row>
    <row r="211" ht="15.75" customHeight="1">
      <c r="C211" s="98"/>
      <c r="D211" s="98"/>
      <c r="E211" s="39"/>
      <c r="F211" s="39"/>
      <c r="G211" s="39"/>
      <c r="H211" s="39"/>
      <c r="I211" s="39"/>
      <c r="J211" s="39"/>
      <c r="K211" s="39"/>
      <c r="L211" s="39"/>
      <c r="M211" s="39"/>
      <c r="N211" s="39"/>
      <c r="O211" s="39"/>
      <c r="P211" s="39"/>
      <c r="Q211" s="39"/>
      <c r="R211" s="39"/>
      <c r="S211" s="239"/>
      <c r="AG211" s="174"/>
    </row>
    <row r="212" ht="15.75" customHeight="1">
      <c r="C212" s="98"/>
      <c r="D212" s="98"/>
      <c r="E212" s="39"/>
      <c r="F212" s="39"/>
      <c r="G212" s="39"/>
      <c r="H212" s="39"/>
      <c r="I212" s="39"/>
      <c r="J212" s="39"/>
      <c r="K212" s="39"/>
      <c r="L212" s="39"/>
      <c r="M212" s="39"/>
      <c r="N212" s="39"/>
      <c r="O212" s="39"/>
      <c r="P212" s="39"/>
      <c r="Q212" s="39"/>
      <c r="R212" s="39"/>
      <c r="S212" s="239"/>
      <c r="AG212" s="174"/>
    </row>
    <row r="213" ht="15.75" customHeight="1">
      <c r="C213" s="98"/>
      <c r="D213" s="98"/>
      <c r="E213" s="39"/>
      <c r="F213" s="39"/>
      <c r="G213" s="39"/>
      <c r="H213" s="39"/>
      <c r="I213" s="39"/>
      <c r="J213" s="39"/>
      <c r="K213" s="39"/>
      <c r="L213" s="39"/>
      <c r="M213" s="39"/>
      <c r="N213" s="39"/>
      <c r="O213" s="39"/>
      <c r="P213" s="39"/>
      <c r="Q213" s="39"/>
      <c r="R213" s="39"/>
      <c r="S213" s="239"/>
      <c r="AG213" s="174"/>
    </row>
    <row r="214" ht="15.75" customHeight="1">
      <c r="C214" s="98"/>
      <c r="D214" s="98"/>
      <c r="E214" s="39"/>
      <c r="F214" s="39"/>
      <c r="G214" s="39"/>
      <c r="H214" s="39"/>
      <c r="I214" s="39"/>
      <c r="J214" s="39"/>
      <c r="K214" s="39"/>
      <c r="L214" s="39"/>
      <c r="M214" s="39"/>
      <c r="N214" s="39"/>
      <c r="O214" s="39"/>
      <c r="P214" s="39"/>
      <c r="Q214" s="39"/>
      <c r="R214" s="39"/>
      <c r="S214" s="239"/>
      <c r="AG214" s="174"/>
    </row>
    <row r="215" ht="15.75" customHeight="1">
      <c r="C215" s="98"/>
      <c r="D215" s="98"/>
      <c r="E215" s="39"/>
      <c r="F215" s="39"/>
      <c r="G215" s="39"/>
      <c r="H215" s="39"/>
      <c r="I215" s="39"/>
      <c r="J215" s="39"/>
      <c r="K215" s="39"/>
      <c r="L215" s="39"/>
      <c r="M215" s="39"/>
      <c r="N215" s="39"/>
      <c r="O215" s="39"/>
      <c r="P215" s="39"/>
      <c r="Q215" s="39"/>
      <c r="R215" s="39"/>
      <c r="S215" s="239"/>
      <c r="AG215" s="174"/>
    </row>
    <row r="216" ht="15.75" customHeight="1">
      <c r="C216" s="98"/>
      <c r="D216" s="98"/>
      <c r="E216" s="39"/>
      <c r="F216" s="39"/>
      <c r="G216" s="39"/>
      <c r="H216" s="39"/>
      <c r="I216" s="39"/>
      <c r="J216" s="39"/>
      <c r="K216" s="39"/>
      <c r="L216" s="39"/>
      <c r="M216" s="39"/>
      <c r="N216" s="39"/>
      <c r="O216" s="39"/>
      <c r="P216" s="39"/>
      <c r="Q216" s="39"/>
      <c r="R216" s="39"/>
      <c r="S216" s="239"/>
      <c r="AG216" s="174"/>
    </row>
    <row r="217" ht="15.75" customHeight="1">
      <c r="C217" s="98"/>
      <c r="D217" s="98"/>
      <c r="E217" s="39"/>
      <c r="F217" s="39"/>
      <c r="G217" s="39"/>
      <c r="H217" s="39"/>
      <c r="I217" s="39"/>
      <c r="J217" s="39"/>
      <c r="K217" s="39"/>
      <c r="L217" s="39"/>
      <c r="M217" s="39"/>
      <c r="N217" s="39"/>
      <c r="O217" s="39"/>
      <c r="P217" s="39"/>
      <c r="Q217" s="39"/>
      <c r="R217" s="39"/>
      <c r="S217" s="239"/>
      <c r="AG217" s="174"/>
    </row>
    <row r="218" ht="15.75" customHeight="1">
      <c r="C218" s="98"/>
      <c r="D218" s="98"/>
      <c r="E218" s="39"/>
      <c r="F218" s="39"/>
      <c r="G218" s="39"/>
      <c r="H218" s="39"/>
      <c r="I218" s="39"/>
      <c r="J218" s="39"/>
      <c r="K218" s="39"/>
      <c r="L218" s="39"/>
      <c r="M218" s="39"/>
      <c r="N218" s="39"/>
      <c r="O218" s="39"/>
      <c r="P218" s="39"/>
      <c r="Q218" s="39"/>
      <c r="R218" s="39"/>
      <c r="S218" s="239"/>
      <c r="AG218" s="174"/>
    </row>
    <row r="219" ht="15.75" customHeight="1">
      <c r="C219" s="98"/>
      <c r="D219" s="98"/>
      <c r="E219" s="39"/>
      <c r="F219" s="39"/>
      <c r="G219" s="39"/>
      <c r="H219" s="39"/>
      <c r="I219" s="39"/>
      <c r="J219" s="39"/>
      <c r="K219" s="39"/>
      <c r="L219" s="39"/>
      <c r="M219" s="39"/>
      <c r="N219" s="39"/>
      <c r="O219" s="39"/>
      <c r="P219" s="39"/>
      <c r="Q219" s="39"/>
      <c r="R219" s="39"/>
      <c r="S219" s="239"/>
      <c r="AG219" s="174"/>
    </row>
    <row r="220" ht="15.75" customHeight="1">
      <c r="C220" s="98"/>
      <c r="D220" s="98"/>
      <c r="E220" s="39"/>
      <c r="F220" s="39"/>
      <c r="G220" s="39"/>
      <c r="H220" s="39"/>
      <c r="I220" s="39"/>
      <c r="J220" s="39"/>
      <c r="K220" s="39"/>
      <c r="L220" s="39"/>
      <c r="M220" s="39"/>
      <c r="N220" s="39"/>
      <c r="O220" s="39"/>
      <c r="P220" s="39"/>
      <c r="Q220" s="39"/>
      <c r="R220" s="39"/>
      <c r="S220" s="239"/>
      <c r="AG220" s="174"/>
    </row>
    <row r="221" ht="15.75" customHeight="1">
      <c r="C221" s="98"/>
      <c r="D221" s="98"/>
      <c r="E221" s="39"/>
      <c r="F221" s="39"/>
      <c r="G221" s="39"/>
      <c r="H221" s="39"/>
      <c r="I221" s="39"/>
      <c r="J221" s="39"/>
      <c r="K221" s="39"/>
      <c r="L221" s="39"/>
      <c r="M221" s="39"/>
      <c r="N221" s="39"/>
      <c r="O221" s="39"/>
      <c r="P221" s="39"/>
      <c r="Q221" s="39"/>
      <c r="R221" s="39"/>
      <c r="S221" s="239"/>
      <c r="AG221" s="174"/>
    </row>
    <row r="222" ht="15.75" customHeight="1">
      <c r="C222" s="98"/>
      <c r="D222" s="98"/>
      <c r="E222" s="39"/>
      <c r="F222" s="39"/>
      <c r="G222" s="39"/>
      <c r="H222" s="39"/>
      <c r="I222" s="39"/>
      <c r="J222" s="39"/>
      <c r="K222" s="39"/>
      <c r="L222" s="39"/>
      <c r="M222" s="39"/>
      <c r="N222" s="39"/>
      <c r="O222" s="39"/>
      <c r="P222" s="39"/>
      <c r="Q222" s="39"/>
      <c r="R222" s="39"/>
      <c r="S222" s="239"/>
      <c r="AG222" s="174"/>
    </row>
    <row r="223" ht="15.75" customHeight="1">
      <c r="C223" s="98"/>
      <c r="D223" s="98"/>
      <c r="E223" s="39"/>
      <c r="F223" s="39"/>
      <c r="G223" s="39"/>
      <c r="H223" s="39"/>
      <c r="I223" s="39"/>
      <c r="J223" s="39"/>
      <c r="K223" s="39"/>
      <c r="L223" s="39"/>
      <c r="M223" s="39"/>
      <c r="N223" s="39"/>
      <c r="O223" s="39"/>
      <c r="P223" s="39"/>
      <c r="Q223" s="39"/>
      <c r="R223" s="39"/>
      <c r="S223" s="239"/>
      <c r="AG223" s="174"/>
    </row>
    <row r="224" ht="15.75" customHeight="1">
      <c r="C224" s="98"/>
      <c r="D224" s="98"/>
      <c r="E224" s="39"/>
      <c r="F224" s="39"/>
      <c r="G224" s="39"/>
      <c r="H224" s="39"/>
      <c r="I224" s="39"/>
      <c r="J224" s="39"/>
      <c r="K224" s="39"/>
      <c r="L224" s="39"/>
      <c r="M224" s="39"/>
      <c r="N224" s="39"/>
      <c r="O224" s="39"/>
      <c r="P224" s="39"/>
      <c r="Q224" s="39"/>
      <c r="R224" s="39"/>
      <c r="S224" s="239"/>
      <c r="AG224" s="174"/>
    </row>
    <row r="225" ht="15.75" customHeight="1">
      <c r="C225" s="98"/>
      <c r="D225" s="98"/>
      <c r="E225" s="39"/>
      <c r="F225" s="39"/>
      <c r="G225" s="39"/>
      <c r="H225" s="39"/>
      <c r="I225" s="39"/>
      <c r="J225" s="39"/>
      <c r="K225" s="39"/>
      <c r="L225" s="39"/>
      <c r="M225" s="39"/>
      <c r="N225" s="39"/>
      <c r="O225" s="39"/>
      <c r="P225" s="39"/>
      <c r="Q225" s="39"/>
      <c r="R225" s="39"/>
      <c r="S225" s="239"/>
      <c r="AG225" s="174"/>
    </row>
    <row r="226" ht="15.75" customHeight="1">
      <c r="C226" s="98"/>
      <c r="D226" s="98"/>
      <c r="E226" s="39"/>
      <c r="F226" s="39"/>
      <c r="G226" s="39"/>
      <c r="H226" s="39"/>
      <c r="I226" s="39"/>
      <c r="J226" s="39"/>
      <c r="K226" s="39"/>
      <c r="L226" s="39"/>
      <c r="M226" s="39"/>
      <c r="N226" s="39"/>
      <c r="O226" s="39"/>
      <c r="P226" s="39"/>
      <c r="Q226" s="39"/>
      <c r="R226" s="39"/>
      <c r="S226" s="239"/>
      <c r="AG226" s="174"/>
    </row>
    <row r="227" ht="15.75" customHeight="1">
      <c r="C227" s="98"/>
      <c r="D227" s="98"/>
      <c r="E227" s="39"/>
      <c r="F227" s="39"/>
      <c r="G227" s="39"/>
      <c r="H227" s="39"/>
      <c r="I227" s="39"/>
      <c r="J227" s="39"/>
      <c r="K227" s="39"/>
      <c r="L227" s="39"/>
      <c r="M227" s="39"/>
      <c r="N227" s="39"/>
      <c r="O227" s="39"/>
      <c r="P227" s="39"/>
      <c r="Q227" s="39"/>
      <c r="R227" s="39"/>
      <c r="S227" s="239"/>
      <c r="AG227" s="174"/>
    </row>
    <row r="228" ht="15.75" customHeight="1">
      <c r="C228" s="98"/>
      <c r="D228" s="98"/>
      <c r="E228" s="39"/>
      <c r="F228" s="39"/>
      <c r="G228" s="39"/>
      <c r="H228" s="39"/>
      <c r="I228" s="39"/>
      <c r="J228" s="39"/>
      <c r="K228" s="39"/>
      <c r="L228" s="39"/>
      <c r="M228" s="39"/>
      <c r="N228" s="39"/>
      <c r="O228" s="39"/>
      <c r="P228" s="39"/>
      <c r="Q228" s="39"/>
      <c r="R228" s="39"/>
      <c r="S228" s="239"/>
      <c r="AG228" s="174"/>
    </row>
    <row r="229" ht="15.75" customHeight="1">
      <c r="C229" s="98"/>
      <c r="D229" s="98"/>
      <c r="E229" s="39"/>
      <c r="F229" s="39"/>
      <c r="G229" s="39"/>
      <c r="H229" s="39"/>
      <c r="I229" s="39"/>
      <c r="J229" s="39"/>
      <c r="K229" s="39"/>
      <c r="L229" s="39"/>
      <c r="M229" s="39"/>
      <c r="N229" s="39"/>
      <c r="O229" s="39"/>
      <c r="P229" s="39"/>
      <c r="Q229" s="39"/>
      <c r="R229" s="39"/>
      <c r="S229" s="239"/>
      <c r="AG229" s="174"/>
    </row>
    <row r="230" ht="15.75" customHeight="1">
      <c r="S230" s="239"/>
      <c r="AG230" s="174"/>
    </row>
    <row r="231" ht="15.75" customHeight="1">
      <c r="S231" s="239"/>
      <c r="AG231" s="174"/>
    </row>
    <row r="232" ht="15.75" customHeight="1">
      <c r="S232" s="239"/>
      <c r="AG232" s="174"/>
    </row>
    <row r="233" ht="15.75" customHeight="1">
      <c r="S233" s="239"/>
      <c r="AG233" s="174"/>
    </row>
    <row r="234" ht="15.75" customHeight="1">
      <c r="S234" s="239"/>
      <c r="AG234" s="174"/>
    </row>
    <row r="235" ht="15.75" customHeight="1">
      <c r="S235" s="239"/>
      <c r="AG235" s="174"/>
    </row>
    <row r="236" ht="15.75" customHeight="1">
      <c r="S236" s="239"/>
      <c r="AG236" s="174"/>
    </row>
    <row r="237" ht="15.75" customHeight="1">
      <c r="S237" s="239"/>
      <c r="AG237" s="174"/>
    </row>
    <row r="238" ht="15.75" customHeight="1">
      <c r="S238" s="239"/>
      <c r="AG238" s="174"/>
    </row>
    <row r="239" ht="15.75" customHeight="1">
      <c r="S239" s="239"/>
      <c r="AG239" s="174"/>
    </row>
    <row r="240" ht="15.75" customHeight="1">
      <c r="S240" s="239"/>
      <c r="AG240" s="174"/>
    </row>
    <row r="241" ht="15.75" customHeight="1">
      <c r="S241" s="239"/>
      <c r="AG241" s="174"/>
    </row>
    <row r="242" ht="15.75" customHeight="1">
      <c r="S242" s="239"/>
      <c r="AG242" s="174"/>
    </row>
    <row r="243" ht="15.75" customHeight="1">
      <c r="S243" s="239"/>
      <c r="AG243" s="174"/>
    </row>
    <row r="244" ht="15.75" customHeight="1">
      <c r="S244" s="239"/>
      <c r="AG244" s="174"/>
    </row>
    <row r="245" ht="15.75" customHeight="1">
      <c r="S245" s="239"/>
      <c r="AG245" s="174"/>
    </row>
    <row r="246" ht="15.75" customHeight="1">
      <c r="S246" s="239"/>
      <c r="AG246" s="174"/>
    </row>
    <row r="247" ht="15.75" customHeight="1">
      <c r="S247" s="239"/>
      <c r="AG247" s="174"/>
    </row>
    <row r="248" ht="15.75" customHeight="1">
      <c r="S248" s="239"/>
      <c r="AG248" s="174"/>
    </row>
    <row r="249" ht="15.75" customHeight="1">
      <c r="S249" s="239"/>
      <c r="AG249" s="174"/>
    </row>
    <row r="250" ht="15.75" customHeight="1">
      <c r="S250" s="239"/>
      <c r="AG250" s="174"/>
    </row>
    <row r="251" ht="15.75" customHeight="1">
      <c r="S251" s="239"/>
      <c r="AG251" s="174"/>
    </row>
    <row r="252" ht="15.75" customHeight="1">
      <c r="S252" s="239"/>
      <c r="AG252" s="174"/>
    </row>
    <row r="253" ht="15.75" customHeight="1">
      <c r="S253" s="239"/>
      <c r="AG253" s="174"/>
    </row>
    <row r="254" ht="15.75" customHeight="1">
      <c r="S254" s="239"/>
      <c r="AG254" s="174"/>
    </row>
    <row r="255" ht="15.75" customHeight="1">
      <c r="S255" s="239"/>
      <c r="AG255" s="174"/>
    </row>
    <row r="256" ht="15.75" customHeight="1">
      <c r="S256" s="239"/>
      <c r="AG256" s="174"/>
    </row>
    <row r="257" ht="15.75" customHeight="1">
      <c r="S257" s="239"/>
      <c r="AG257" s="174"/>
    </row>
    <row r="258" ht="15.75" customHeight="1">
      <c r="S258" s="239"/>
      <c r="AG258" s="174"/>
    </row>
    <row r="259" ht="15.75" customHeight="1">
      <c r="S259" s="239"/>
      <c r="AG259" s="174"/>
    </row>
    <row r="260" ht="15.75" customHeight="1">
      <c r="S260" s="239"/>
      <c r="AG260" s="174"/>
    </row>
    <row r="261" ht="15.75" customHeight="1">
      <c r="S261" s="239"/>
      <c r="AG261" s="174"/>
    </row>
    <row r="262" ht="15.75" customHeight="1">
      <c r="S262" s="239"/>
      <c r="AG262" s="174"/>
    </row>
    <row r="263" ht="15.75" customHeight="1">
      <c r="S263" s="239"/>
      <c r="AG263" s="174"/>
    </row>
    <row r="264" ht="15.75" customHeight="1">
      <c r="S264" s="239"/>
      <c r="AG264" s="174"/>
    </row>
    <row r="265" ht="15.75" customHeight="1">
      <c r="S265" s="239"/>
      <c r="AG265" s="174"/>
    </row>
    <row r="266" ht="15.75" customHeight="1">
      <c r="S266" s="239"/>
      <c r="AG266" s="174"/>
    </row>
    <row r="267" ht="15.75" customHeight="1">
      <c r="S267" s="239"/>
      <c r="AG267" s="174"/>
    </row>
    <row r="268" ht="15.75" customHeight="1">
      <c r="S268" s="239"/>
      <c r="AG268" s="174"/>
    </row>
    <row r="269" ht="15.75" customHeight="1">
      <c r="S269" s="239"/>
      <c r="AG269" s="174"/>
    </row>
    <row r="270" ht="15.75" customHeight="1">
      <c r="S270" s="239"/>
      <c r="AG270" s="174"/>
    </row>
    <row r="271" ht="15.75" customHeight="1">
      <c r="S271" s="239"/>
      <c r="AG271" s="174"/>
    </row>
    <row r="272" ht="15.75" customHeight="1">
      <c r="S272" s="239"/>
      <c r="AG272" s="174"/>
    </row>
    <row r="273" ht="15.75" customHeight="1">
      <c r="S273" s="239"/>
      <c r="AG273" s="174"/>
    </row>
    <row r="274" ht="15.75" customHeight="1">
      <c r="S274" s="239"/>
      <c r="AG274" s="174"/>
    </row>
    <row r="275" ht="15.75" customHeight="1">
      <c r="S275" s="239"/>
      <c r="AG275" s="174"/>
    </row>
    <row r="276" ht="15.75" customHeight="1">
      <c r="S276" s="239"/>
      <c r="AG276" s="174"/>
    </row>
    <row r="277" ht="15.75" customHeight="1">
      <c r="S277" s="239"/>
      <c r="AG277" s="174"/>
    </row>
    <row r="278" ht="15.75" customHeight="1">
      <c r="S278" s="239"/>
      <c r="AG278" s="174"/>
    </row>
    <row r="279" ht="15.75" customHeight="1">
      <c r="S279" s="239"/>
      <c r="AG279" s="174"/>
    </row>
    <row r="280" ht="15.75" customHeight="1">
      <c r="S280" s="239"/>
      <c r="AG280" s="174"/>
    </row>
    <row r="281" ht="15.75" customHeight="1">
      <c r="S281" s="239"/>
      <c r="AG281" s="174"/>
    </row>
    <row r="282" ht="15.75" customHeight="1">
      <c r="S282" s="239"/>
      <c r="AG282" s="174"/>
    </row>
    <row r="283" ht="15.75" customHeight="1">
      <c r="S283" s="239"/>
      <c r="AG283" s="174"/>
    </row>
    <row r="284" ht="15.75" customHeight="1">
      <c r="S284" s="239"/>
      <c r="AG284" s="174"/>
    </row>
    <row r="285" ht="15.75" customHeight="1">
      <c r="S285" s="239"/>
      <c r="AG285" s="174"/>
    </row>
    <row r="286" ht="15.75" customHeight="1">
      <c r="S286" s="239"/>
      <c r="AG286" s="174"/>
    </row>
    <row r="287" ht="15.75" customHeight="1">
      <c r="S287" s="239"/>
      <c r="AG287" s="174"/>
    </row>
    <row r="288" ht="15.75" customHeight="1">
      <c r="S288" s="239"/>
      <c r="AG288" s="174"/>
    </row>
    <row r="289" ht="15.75" customHeight="1">
      <c r="S289" s="239"/>
      <c r="AG289" s="174"/>
    </row>
    <row r="290" ht="15.75" customHeight="1">
      <c r="S290" s="239"/>
      <c r="AG290" s="174"/>
    </row>
    <row r="291" ht="15.75" customHeight="1">
      <c r="S291" s="239"/>
      <c r="AG291" s="174"/>
    </row>
    <row r="292" ht="15.75" customHeight="1">
      <c r="S292" s="239"/>
      <c r="AG292" s="174"/>
    </row>
    <row r="293" ht="15.75" customHeight="1">
      <c r="S293" s="239"/>
      <c r="AG293" s="174"/>
    </row>
    <row r="294" ht="15.75" customHeight="1">
      <c r="S294" s="239"/>
      <c r="AG294" s="174"/>
    </row>
    <row r="295" ht="15.75" customHeight="1">
      <c r="S295" s="239"/>
      <c r="AG295" s="174"/>
    </row>
    <row r="296" ht="15.75" customHeight="1">
      <c r="S296" s="239"/>
      <c r="AG296" s="174"/>
    </row>
    <row r="297" ht="15.75" customHeight="1">
      <c r="S297" s="239"/>
      <c r="AG297" s="174"/>
    </row>
    <row r="298" ht="15.75" customHeight="1">
      <c r="S298" s="239"/>
      <c r="AG298" s="174"/>
    </row>
    <row r="299" ht="15.75" customHeight="1">
      <c r="S299" s="239"/>
      <c r="AG299" s="174"/>
    </row>
    <row r="300" ht="15.75" customHeight="1">
      <c r="S300" s="239"/>
      <c r="AG300" s="174"/>
    </row>
    <row r="301" ht="15.75" customHeight="1">
      <c r="S301" s="239"/>
      <c r="AG301" s="174"/>
    </row>
    <row r="302" ht="15.75" customHeight="1">
      <c r="S302" s="239"/>
      <c r="AG302" s="174"/>
    </row>
    <row r="303" ht="15.75" customHeight="1">
      <c r="S303" s="239"/>
      <c r="AG303" s="174"/>
    </row>
    <row r="304" ht="15.75" customHeight="1">
      <c r="S304" s="239"/>
      <c r="AG304" s="174"/>
    </row>
    <row r="305" ht="15.75" customHeight="1">
      <c r="S305" s="239"/>
      <c r="AG305" s="174"/>
    </row>
    <row r="306" ht="15.75" customHeight="1">
      <c r="S306" s="239"/>
      <c r="AG306" s="174"/>
    </row>
    <row r="307" ht="15.75" customHeight="1">
      <c r="S307" s="239"/>
      <c r="AG307" s="174"/>
    </row>
    <row r="308" ht="15.75" customHeight="1">
      <c r="S308" s="239"/>
      <c r="AG308" s="174"/>
    </row>
    <row r="309" ht="15.75" customHeight="1">
      <c r="S309" s="239"/>
      <c r="AG309" s="174"/>
    </row>
    <row r="310" ht="15.75" customHeight="1">
      <c r="S310" s="239"/>
      <c r="AG310" s="174"/>
    </row>
    <row r="311" ht="15.75" customHeight="1">
      <c r="S311" s="239"/>
      <c r="AG311" s="174"/>
    </row>
    <row r="312" ht="15.75" customHeight="1">
      <c r="S312" s="239"/>
      <c r="AG312" s="174"/>
    </row>
    <row r="313" ht="15.75" customHeight="1">
      <c r="S313" s="239"/>
      <c r="AG313" s="174"/>
    </row>
    <row r="314" ht="15.75" customHeight="1">
      <c r="S314" s="239"/>
      <c r="AG314" s="174"/>
    </row>
    <row r="315" ht="15.75" customHeight="1">
      <c r="S315" s="239"/>
      <c r="AG315" s="174"/>
    </row>
    <row r="316" ht="15.75" customHeight="1">
      <c r="S316" s="239"/>
      <c r="AG316" s="174"/>
    </row>
    <row r="317" ht="15.75" customHeight="1">
      <c r="S317" s="239"/>
      <c r="AG317" s="174"/>
    </row>
    <row r="318" ht="15.75" customHeight="1">
      <c r="S318" s="239"/>
      <c r="AG318" s="174"/>
    </row>
    <row r="319" ht="15.75" customHeight="1">
      <c r="S319" s="239"/>
      <c r="AG319" s="174"/>
    </row>
    <row r="320" ht="15.75" customHeight="1">
      <c r="S320" s="239"/>
      <c r="AG320" s="174"/>
    </row>
    <row r="321" ht="15.75" customHeight="1">
      <c r="S321" s="239"/>
      <c r="AG321" s="174"/>
    </row>
    <row r="322" ht="15.75" customHeight="1">
      <c r="S322" s="239"/>
      <c r="AG322" s="174"/>
    </row>
    <row r="323" ht="15.75" customHeight="1">
      <c r="S323" s="239"/>
      <c r="AG323" s="174"/>
    </row>
    <row r="324" ht="15.75" customHeight="1">
      <c r="S324" s="239"/>
      <c r="AG324" s="174"/>
    </row>
    <row r="325" ht="15.75" customHeight="1">
      <c r="S325" s="239"/>
      <c r="AG325" s="174"/>
    </row>
    <row r="326" ht="15.75" customHeight="1">
      <c r="S326" s="239"/>
      <c r="AG326" s="174"/>
    </row>
    <row r="327" ht="15.75" customHeight="1">
      <c r="S327" s="239"/>
      <c r="AG327" s="174"/>
    </row>
    <row r="328" ht="15.75" customHeight="1">
      <c r="S328" s="239"/>
      <c r="AG328" s="174"/>
    </row>
    <row r="329" ht="15.75" customHeight="1">
      <c r="S329" s="239"/>
      <c r="AG329" s="174"/>
    </row>
    <row r="330" ht="15.75" customHeight="1">
      <c r="S330" s="239"/>
      <c r="AG330" s="174"/>
    </row>
    <row r="331" ht="15.75" customHeight="1">
      <c r="S331" s="239"/>
      <c r="AG331" s="174"/>
    </row>
    <row r="332" ht="15.75" customHeight="1">
      <c r="S332" s="239"/>
      <c r="AG332" s="174"/>
    </row>
    <row r="333" ht="15.75" customHeight="1">
      <c r="S333" s="239"/>
      <c r="AG333" s="174"/>
    </row>
    <row r="334" ht="15.75" customHeight="1">
      <c r="S334" s="239"/>
      <c r="AG334" s="174"/>
    </row>
    <row r="335" ht="15.75" customHeight="1">
      <c r="S335" s="239"/>
      <c r="AG335" s="174"/>
    </row>
    <row r="336" ht="15.75" customHeight="1">
      <c r="S336" s="239"/>
      <c r="AG336" s="174"/>
    </row>
    <row r="337" ht="15.75" customHeight="1">
      <c r="S337" s="239"/>
      <c r="AG337" s="174"/>
    </row>
    <row r="338" ht="15.75" customHeight="1">
      <c r="S338" s="239"/>
      <c r="AG338" s="174"/>
    </row>
    <row r="339" ht="15.75" customHeight="1">
      <c r="S339" s="239"/>
      <c r="AG339" s="174"/>
    </row>
    <row r="340" ht="15.75" customHeight="1">
      <c r="S340" s="239"/>
      <c r="AG340" s="174"/>
    </row>
    <row r="341" ht="15.75" customHeight="1">
      <c r="S341" s="239"/>
      <c r="AG341" s="174"/>
    </row>
    <row r="342" ht="15.75" customHeight="1">
      <c r="S342" s="239"/>
      <c r="AG342" s="174"/>
    </row>
    <row r="343" ht="15.75" customHeight="1">
      <c r="S343" s="239"/>
      <c r="AG343" s="174"/>
    </row>
    <row r="344" ht="15.75" customHeight="1">
      <c r="S344" s="239"/>
      <c r="AG344" s="174"/>
    </row>
    <row r="345" ht="15.75" customHeight="1">
      <c r="S345" s="239"/>
      <c r="AG345" s="174"/>
    </row>
    <row r="346" ht="15.75" customHeight="1">
      <c r="S346" s="239"/>
      <c r="AG346" s="174"/>
    </row>
    <row r="347" ht="15.75" customHeight="1">
      <c r="S347" s="239"/>
      <c r="AG347" s="174"/>
    </row>
    <row r="348" ht="15.75" customHeight="1">
      <c r="S348" s="239"/>
      <c r="AG348" s="174"/>
    </row>
    <row r="349" ht="15.75" customHeight="1">
      <c r="S349" s="239"/>
      <c r="AG349" s="174"/>
    </row>
    <row r="350" ht="15.75" customHeight="1">
      <c r="S350" s="239"/>
      <c r="AG350" s="174"/>
    </row>
    <row r="351" ht="15.75" customHeight="1">
      <c r="S351" s="239"/>
      <c r="AG351" s="174"/>
    </row>
    <row r="352" ht="15.75" customHeight="1">
      <c r="S352" s="239"/>
      <c r="AG352" s="174"/>
    </row>
    <row r="353" ht="15.75" customHeight="1">
      <c r="S353" s="239"/>
      <c r="AG353" s="174"/>
    </row>
    <row r="354" ht="15.75" customHeight="1">
      <c r="S354" s="239"/>
      <c r="AG354" s="174"/>
    </row>
    <row r="355" ht="15.75" customHeight="1">
      <c r="S355" s="239"/>
      <c r="AG355" s="174"/>
    </row>
    <row r="356" ht="15.75" customHeight="1">
      <c r="S356" s="239"/>
      <c r="AG356" s="174"/>
    </row>
    <row r="357" ht="15.75" customHeight="1">
      <c r="S357" s="239"/>
      <c r="AG357" s="174"/>
    </row>
    <row r="358" ht="15.75" customHeight="1">
      <c r="S358" s="239"/>
      <c r="AG358" s="174"/>
    </row>
    <row r="359" ht="15.75" customHeight="1">
      <c r="S359" s="239"/>
      <c r="AG359" s="174"/>
    </row>
    <row r="360" ht="15.75" customHeight="1">
      <c r="S360" s="239"/>
      <c r="AG360" s="174"/>
    </row>
    <row r="361" ht="15.75" customHeight="1">
      <c r="S361" s="239"/>
      <c r="AG361" s="174"/>
    </row>
    <row r="362" ht="15.75" customHeight="1">
      <c r="S362" s="239"/>
      <c r="AG362" s="174"/>
    </row>
    <row r="363" ht="15.75" customHeight="1">
      <c r="S363" s="239"/>
      <c r="AG363" s="174"/>
    </row>
    <row r="364" ht="15.75" customHeight="1">
      <c r="S364" s="239"/>
      <c r="AG364" s="174"/>
    </row>
    <row r="365" ht="15.75" customHeight="1">
      <c r="S365" s="239"/>
      <c r="AG365" s="174"/>
    </row>
    <row r="366" ht="15.75" customHeight="1">
      <c r="S366" s="239"/>
      <c r="AG366" s="174"/>
    </row>
    <row r="367" ht="15.75" customHeight="1">
      <c r="S367" s="239"/>
      <c r="AG367" s="174"/>
    </row>
    <row r="368" ht="15.75" customHeight="1">
      <c r="S368" s="239"/>
      <c r="AG368" s="174"/>
    </row>
    <row r="369" ht="15.75" customHeight="1">
      <c r="S369" s="239"/>
      <c r="AG369" s="174"/>
    </row>
    <row r="370" ht="15.75" customHeight="1">
      <c r="S370" s="239"/>
      <c r="AG370" s="174"/>
    </row>
    <row r="371" ht="15.75" customHeight="1">
      <c r="S371" s="239"/>
      <c r="AG371" s="174"/>
    </row>
    <row r="372" ht="15.75" customHeight="1">
      <c r="S372" s="239"/>
      <c r="AG372" s="174"/>
    </row>
    <row r="373" ht="15.75" customHeight="1">
      <c r="S373" s="239"/>
      <c r="AG373" s="174"/>
    </row>
    <row r="374" ht="15.75" customHeight="1">
      <c r="S374" s="239"/>
      <c r="AG374" s="174"/>
    </row>
    <row r="375" ht="15.75" customHeight="1">
      <c r="S375" s="239"/>
      <c r="AG375" s="174"/>
    </row>
    <row r="376" ht="15.75" customHeight="1">
      <c r="S376" s="239"/>
      <c r="AG376" s="174"/>
    </row>
    <row r="377" ht="15.75" customHeight="1">
      <c r="S377" s="239"/>
      <c r="AG377" s="174"/>
    </row>
    <row r="378" ht="15.75" customHeight="1">
      <c r="S378" s="239"/>
      <c r="AG378" s="174"/>
    </row>
    <row r="379" ht="15.75" customHeight="1">
      <c r="S379" s="239"/>
      <c r="AG379" s="174"/>
    </row>
    <row r="380" ht="15.75" customHeight="1">
      <c r="S380" s="239"/>
      <c r="AG380" s="174"/>
    </row>
    <row r="381" ht="15.75" customHeight="1">
      <c r="S381" s="239"/>
      <c r="AG381" s="174"/>
    </row>
    <row r="382" ht="15.75" customHeight="1">
      <c r="S382" s="239"/>
      <c r="AG382" s="174"/>
    </row>
    <row r="383" ht="15.75" customHeight="1">
      <c r="S383" s="239"/>
      <c r="AG383" s="174"/>
    </row>
    <row r="384" ht="15.75" customHeight="1">
      <c r="S384" s="239"/>
      <c r="AG384" s="174"/>
    </row>
    <row r="385" ht="15.75" customHeight="1">
      <c r="S385" s="239"/>
      <c r="AG385" s="174"/>
    </row>
    <row r="386" ht="15.75" customHeight="1">
      <c r="S386" s="239"/>
      <c r="AG386" s="174"/>
    </row>
    <row r="387" ht="15.75" customHeight="1">
      <c r="S387" s="239"/>
      <c r="AG387" s="174"/>
    </row>
    <row r="388" ht="15.75" customHeight="1">
      <c r="S388" s="239"/>
      <c r="AG388" s="174"/>
    </row>
    <row r="389" ht="15.75" customHeight="1">
      <c r="S389" s="239"/>
      <c r="AG389" s="174"/>
    </row>
    <row r="390" ht="15.75" customHeight="1">
      <c r="S390" s="239"/>
      <c r="AG390" s="174"/>
    </row>
    <row r="391" ht="15.75" customHeight="1">
      <c r="S391" s="239"/>
      <c r="AG391" s="174"/>
    </row>
    <row r="392" ht="15.75" customHeight="1">
      <c r="S392" s="239"/>
      <c r="AG392" s="174"/>
    </row>
    <row r="393" ht="15.75" customHeight="1">
      <c r="S393" s="239"/>
      <c r="AG393" s="174"/>
    </row>
    <row r="394" ht="15.75" customHeight="1">
      <c r="S394" s="239"/>
      <c r="AG394" s="174"/>
    </row>
    <row r="395" ht="15.75" customHeight="1">
      <c r="S395" s="239"/>
      <c r="AG395" s="174"/>
    </row>
    <row r="396" ht="15.75" customHeight="1">
      <c r="S396" s="239"/>
      <c r="AG396" s="174"/>
    </row>
    <row r="397" ht="15.75" customHeight="1">
      <c r="S397" s="239"/>
      <c r="AG397" s="174"/>
    </row>
    <row r="398" ht="15.75" customHeight="1">
      <c r="S398" s="239"/>
      <c r="AG398" s="174"/>
    </row>
    <row r="399" ht="15.75" customHeight="1">
      <c r="S399" s="239"/>
      <c r="AG399" s="174"/>
    </row>
    <row r="400" ht="15.75" customHeight="1">
      <c r="S400" s="239"/>
      <c r="AG400" s="174"/>
    </row>
    <row r="401" ht="15.75" customHeight="1">
      <c r="S401" s="239"/>
      <c r="AG401" s="174"/>
    </row>
    <row r="402" ht="15.75" customHeight="1">
      <c r="S402" s="239"/>
      <c r="AG402" s="174"/>
    </row>
    <row r="403" ht="15.75" customHeight="1">
      <c r="S403" s="239"/>
      <c r="AG403" s="174"/>
    </row>
    <row r="404" ht="15.75" customHeight="1">
      <c r="S404" s="239"/>
      <c r="AG404" s="174"/>
    </row>
    <row r="405" ht="15.75" customHeight="1">
      <c r="S405" s="239"/>
      <c r="AG405" s="174"/>
    </row>
    <row r="406" ht="15.75" customHeight="1">
      <c r="S406" s="239"/>
      <c r="AG406" s="174"/>
    </row>
    <row r="407" ht="15.75" customHeight="1">
      <c r="S407" s="239"/>
      <c r="AG407" s="174"/>
    </row>
    <row r="408" ht="15.75" customHeight="1">
      <c r="S408" s="239"/>
      <c r="AG408" s="174"/>
    </row>
    <row r="409" ht="15.75" customHeight="1">
      <c r="S409" s="239"/>
      <c r="AG409" s="174"/>
    </row>
    <row r="410" ht="15.75" customHeight="1">
      <c r="S410" s="239"/>
      <c r="AG410" s="174"/>
    </row>
    <row r="411" ht="15.75" customHeight="1">
      <c r="S411" s="239"/>
      <c r="AG411" s="174"/>
    </row>
    <row r="412" ht="15.75" customHeight="1">
      <c r="S412" s="239"/>
      <c r="AG412" s="174"/>
    </row>
    <row r="413" ht="15.75" customHeight="1">
      <c r="S413" s="239"/>
      <c r="AG413" s="174"/>
    </row>
    <row r="414" ht="15.75" customHeight="1">
      <c r="S414" s="239"/>
      <c r="AG414" s="174"/>
    </row>
    <row r="415" ht="15.75" customHeight="1">
      <c r="S415" s="239"/>
      <c r="AG415" s="174"/>
    </row>
    <row r="416" ht="15.75" customHeight="1">
      <c r="S416" s="239"/>
      <c r="AG416" s="174"/>
    </row>
    <row r="417" ht="15.75" customHeight="1">
      <c r="S417" s="239"/>
      <c r="AG417" s="174"/>
    </row>
    <row r="418" ht="15.75" customHeight="1">
      <c r="S418" s="239"/>
      <c r="AG418" s="174"/>
    </row>
    <row r="419" ht="15.75" customHeight="1">
      <c r="S419" s="239"/>
      <c r="AG419" s="174"/>
    </row>
    <row r="420" ht="15.75" customHeight="1">
      <c r="S420" s="239"/>
      <c r="AG420" s="174"/>
    </row>
    <row r="421" ht="15.75" customHeight="1">
      <c r="S421" s="239"/>
      <c r="AG421" s="174"/>
    </row>
    <row r="422" ht="15.75" customHeight="1">
      <c r="S422" s="239"/>
      <c r="AG422" s="174"/>
    </row>
    <row r="423" ht="15.75" customHeight="1">
      <c r="S423" s="239"/>
      <c r="AG423" s="174"/>
    </row>
    <row r="424" ht="15.75" customHeight="1">
      <c r="S424" s="239"/>
      <c r="AG424" s="174"/>
    </row>
    <row r="425" ht="15.75" customHeight="1">
      <c r="S425" s="239"/>
      <c r="AG425" s="174"/>
    </row>
    <row r="426" ht="15.75" customHeight="1">
      <c r="S426" s="239"/>
      <c r="AG426" s="174"/>
    </row>
    <row r="427" ht="15.75" customHeight="1">
      <c r="S427" s="239"/>
      <c r="AG427" s="174"/>
    </row>
    <row r="428" ht="15.75" customHeight="1">
      <c r="S428" s="239"/>
      <c r="AG428" s="174"/>
    </row>
    <row r="429" ht="15.75" customHeight="1">
      <c r="S429" s="239"/>
      <c r="AG429" s="174"/>
    </row>
    <row r="430" ht="15.75" customHeight="1">
      <c r="S430" s="239"/>
      <c r="AG430" s="174"/>
    </row>
    <row r="431" ht="15.75" customHeight="1">
      <c r="S431" s="239"/>
      <c r="AG431" s="174"/>
    </row>
    <row r="432" ht="15.75" customHeight="1">
      <c r="S432" s="239"/>
      <c r="AG432" s="174"/>
    </row>
    <row r="433" ht="15.75" customHeight="1">
      <c r="S433" s="239"/>
      <c r="AG433" s="174"/>
    </row>
    <row r="434" ht="15.75" customHeight="1">
      <c r="S434" s="239"/>
      <c r="AG434" s="174"/>
    </row>
    <row r="435" ht="15.75" customHeight="1">
      <c r="S435" s="239"/>
      <c r="AG435" s="174"/>
    </row>
    <row r="436" ht="15.75" customHeight="1">
      <c r="S436" s="239"/>
      <c r="AG436" s="174"/>
    </row>
    <row r="437" ht="15.75" customHeight="1">
      <c r="S437" s="239"/>
      <c r="AG437" s="174"/>
    </row>
    <row r="438" ht="15.75" customHeight="1">
      <c r="S438" s="239"/>
      <c r="AG438" s="174"/>
    </row>
    <row r="439" ht="15.75" customHeight="1">
      <c r="S439" s="239"/>
      <c r="AG439" s="174"/>
    </row>
    <row r="440" ht="15.75" customHeight="1">
      <c r="S440" s="239"/>
      <c r="AG440" s="174"/>
    </row>
    <row r="441" ht="15.75" customHeight="1">
      <c r="S441" s="239"/>
      <c r="AG441" s="174"/>
    </row>
    <row r="442" ht="15.75" customHeight="1">
      <c r="S442" s="239"/>
      <c r="AG442" s="174"/>
    </row>
    <row r="443" ht="15.75" customHeight="1">
      <c r="S443" s="239"/>
      <c r="AG443" s="174"/>
    </row>
    <row r="444" ht="15.75" customHeight="1">
      <c r="S444" s="239"/>
      <c r="AG444" s="174"/>
    </row>
    <row r="445" ht="15.75" customHeight="1">
      <c r="S445" s="239"/>
      <c r="AG445" s="174"/>
    </row>
    <row r="446" ht="15.75" customHeight="1">
      <c r="S446" s="239"/>
      <c r="AG446" s="174"/>
    </row>
    <row r="447" ht="15.75" customHeight="1">
      <c r="S447" s="239"/>
      <c r="AG447" s="174"/>
    </row>
    <row r="448" ht="15.75" customHeight="1">
      <c r="S448" s="239"/>
      <c r="AG448" s="174"/>
    </row>
    <row r="449" ht="15.75" customHeight="1">
      <c r="S449" s="239"/>
      <c r="AG449" s="174"/>
    </row>
    <row r="450" ht="15.75" customHeight="1">
      <c r="S450" s="239"/>
      <c r="AG450" s="174"/>
    </row>
    <row r="451" ht="15.75" customHeight="1">
      <c r="S451" s="239"/>
      <c r="AG451" s="174"/>
    </row>
    <row r="452" ht="15.75" customHeight="1">
      <c r="S452" s="239"/>
      <c r="AG452" s="174"/>
    </row>
    <row r="453" ht="15.75" customHeight="1">
      <c r="S453" s="239"/>
      <c r="AG453" s="174"/>
    </row>
    <row r="454" ht="15.75" customHeight="1">
      <c r="S454" s="239"/>
      <c r="AG454" s="174"/>
    </row>
    <row r="455" ht="15.75" customHeight="1">
      <c r="S455" s="239"/>
      <c r="AG455" s="174"/>
    </row>
    <row r="456" ht="15.75" customHeight="1">
      <c r="S456" s="239"/>
      <c r="AG456" s="174"/>
    </row>
    <row r="457" ht="15.75" customHeight="1">
      <c r="S457" s="239"/>
      <c r="AG457" s="174"/>
    </row>
    <row r="458" ht="15.75" customHeight="1">
      <c r="S458" s="239"/>
      <c r="AG458" s="174"/>
    </row>
    <row r="459" ht="15.75" customHeight="1">
      <c r="S459" s="239"/>
      <c r="AG459" s="174"/>
    </row>
    <row r="460" ht="15.75" customHeight="1">
      <c r="S460" s="239"/>
      <c r="AG460" s="174"/>
    </row>
    <row r="461" ht="15.75" customHeight="1">
      <c r="S461" s="239"/>
      <c r="AG461" s="174"/>
    </row>
    <row r="462" ht="15.75" customHeight="1">
      <c r="S462" s="239"/>
      <c r="AG462" s="174"/>
    </row>
    <row r="463" ht="15.75" customHeight="1">
      <c r="S463" s="239"/>
      <c r="AG463" s="174"/>
    </row>
    <row r="464" ht="15.75" customHeight="1">
      <c r="S464" s="239"/>
      <c r="AG464" s="174"/>
    </row>
    <row r="465" ht="15.75" customHeight="1">
      <c r="S465" s="239"/>
      <c r="AG465" s="174"/>
    </row>
    <row r="466" ht="15.75" customHeight="1">
      <c r="S466" s="239"/>
      <c r="AG466" s="174"/>
    </row>
    <row r="467" ht="15.75" customHeight="1">
      <c r="S467" s="239"/>
      <c r="AG467" s="174"/>
    </row>
    <row r="468" ht="15.75" customHeight="1">
      <c r="S468" s="239"/>
      <c r="AG468" s="174"/>
    </row>
    <row r="469" ht="15.75" customHeight="1">
      <c r="S469" s="239"/>
      <c r="AG469" s="174"/>
    </row>
    <row r="470" ht="15.75" customHeight="1">
      <c r="S470" s="239"/>
      <c r="AG470" s="174"/>
    </row>
    <row r="471" ht="15.75" customHeight="1">
      <c r="S471" s="239"/>
      <c r="AG471" s="174"/>
    </row>
    <row r="472" ht="15.75" customHeight="1">
      <c r="S472" s="239"/>
      <c r="AG472" s="174"/>
    </row>
    <row r="473" ht="15.75" customHeight="1">
      <c r="S473" s="239"/>
      <c r="AG473" s="174"/>
    </row>
    <row r="474" ht="15.75" customHeight="1">
      <c r="S474" s="239"/>
      <c r="AG474" s="174"/>
    </row>
    <row r="475" ht="15.75" customHeight="1">
      <c r="S475" s="239"/>
      <c r="AG475" s="174"/>
    </row>
    <row r="476" ht="15.75" customHeight="1">
      <c r="S476" s="239"/>
      <c r="AG476" s="174"/>
    </row>
    <row r="477" ht="15.75" customHeight="1">
      <c r="S477" s="239"/>
      <c r="AG477" s="174"/>
    </row>
    <row r="478" ht="15.75" customHeight="1">
      <c r="S478" s="239"/>
      <c r="AG478" s="174"/>
    </row>
    <row r="479" ht="15.75" customHeight="1">
      <c r="S479" s="239"/>
      <c r="AG479" s="174"/>
    </row>
    <row r="480" ht="15.75" customHeight="1">
      <c r="S480" s="239"/>
      <c r="AG480" s="174"/>
    </row>
    <row r="481" ht="15.75" customHeight="1">
      <c r="S481" s="239"/>
      <c r="AG481" s="174"/>
    </row>
    <row r="482" ht="15.75" customHeight="1">
      <c r="S482" s="239"/>
      <c r="AG482" s="174"/>
    </row>
    <row r="483" ht="15.75" customHeight="1">
      <c r="S483" s="239"/>
      <c r="AG483" s="174"/>
    </row>
    <row r="484" ht="15.75" customHeight="1">
      <c r="S484" s="239"/>
      <c r="AG484" s="174"/>
    </row>
    <row r="485" ht="15.75" customHeight="1">
      <c r="S485" s="239"/>
      <c r="AG485" s="174"/>
    </row>
    <row r="486" ht="15.75" customHeight="1">
      <c r="S486" s="239"/>
      <c r="AG486" s="174"/>
    </row>
    <row r="487" ht="15.75" customHeight="1">
      <c r="S487" s="239"/>
      <c r="AG487" s="174"/>
    </row>
    <row r="488" ht="15.75" customHeight="1">
      <c r="S488" s="239"/>
      <c r="AG488" s="174"/>
    </row>
    <row r="489" ht="15.75" customHeight="1">
      <c r="S489" s="239"/>
      <c r="AG489" s="174"/>
    </row>
    <row r="490" ht="15.75" customHeight="1">
      <c r="S490" s="239"/>
      <c r="AG490" s="174"/>
    </row>
    <row r="491" ht="15.75" customHeight="1">
      <c r="S491" s="239"/>
      <c r="AG491" s="174"/>
    </row>
    <row r="492" ht="15.75" customHeight="1">
      <c r="S492" s="239"/>
      <c r="AG492" s="174"/>
    </row>
    <row r="493" ht="15.75" customHeight="1">
      <c r="S493" s="239"/>
      <c r="AG493" s="174"/>
    </row>
    <row r="494" ht="15.75" customHeight="1">
      <c r="S494" s="239"/>
      <c r="AG494" s="174"/>
    </row>
    <row r="495" ht="15.75" customHeight="1">
      <c r="S495" s="239"/>
      <c r="AG495" s="174"/>
    </row>
    <row r="496" ht="15.75" customHeight="1">
      <c r="S496" s="239"/>
      <c r="AG496" s="174"/>
    </row>
    <row r="497" ht="15.75" customHeight="1">
      <c r="S497" s="239"/>
      <c r="AG497" s="174"/>
    </row>
    <row r="498" ht="15.75" customHeight="1">
      <c r="S498" s="239"/>
      <c r="AG498" s="174"/>
    </row>
    <row r="499" ht="15.75" customHeight="1">
      <c r="S499" s="239"/>
      <c r="AG499" s="174"/>
    </row>
    <row r="500" ht="15.75" customHeight="1">
      <c r="S500" s="239"/>
      <c r="AG500" s="174"/>
    </row>
    <row r="501" ht="15.75" customHeight="1">
      <c r="S501" s="239"/>
      <c r="AG501" s="174"/>
    </row>
    <row r="502" ht="15.75" customHeight="1">
      <c r="S502" s="239"/>
      <c r="AG502" s="174"/>
    </row>
    <row r="503" ht="15.75" customHeight="1">
      <c r="S503" s="239"/>
      <c r="AG503" s="174"/>
    </row>
    <row r="504" ht="15.75" customHeight="1">
      <c r="S504" s="239"/>
      <c r="AG504" s="174"/>
    </row>
    <row r="505" ht="15.75" customHeight="1">
      <c r="S505" s="239"/>
      <c r="AG505" s="174"/>
    </row>
    <row r="506" ht="15.75" customHeight="1">
      <c r="S506" s="239"/>
      <c r="AG506" s="174"/>
    </row>
    <row r="507" ht="15.75" customHeight="1">
      <c r="S507" s="239"/>
      <c r="AG507" s="174"/>
    </row>
    <row r="508" ht="15.75" customHeight="1">
      <c r="S508" s="239"/>
      <c r="AG508" s="174"/>
    </row>
    <row r="509" ht="15.75" customHeight="1">
      <c r="S509" s="239"/>
      <c r="AG509" s="174"/>
    </row>
    <row r="510" ht="15.75" customHeight="1">
      <c r="S510" s="239"/>
      <c r="AG510" s="174"/>
    </row>
    <row r="511" ht="15.75" customHeight="1">
      <c r="S511" s="239"/>
      <c r="AG511" s="174"/>
    </row>
    <row r="512" ht="15.75" customHeight="1">
      <c r="S512" s="239"/>
      <c r="AG512" s="174"/>
    </row>
    <row r="513" ht="15.75" customHeight="1">
      <c r="S513" s="239"/>
      <c r="AG513" s="174"/>
    </row>
    <row r="514" ht="15.75" customHeight="1">
      <c r="S514" s="239"/>
      <c r="AG514" s="174"/>
    </row>
    <row r="515" ht="15.75" customHeight="1">
      <c r="S515" s="239"/>
      <c r="AG515" s="174"/>
    </row>
    <row r="516" ht="15.75" customHeight="1">
      <c r="S516" s="239"/>
      <c r="AG516" s="174"/>
    </row>
    <row r="517" ht="15.75" customHeight="1">
      <c r="S517" s="239"/>
      <c r="AG517" s="174"/>
    </row>
    <row r="518" ht="15.75" customHeight="1">
      <c r="S518" s="239"/>
      <c r="AG518" s="174"/>
    </row>
    <row r="519" ht="15.75" customHeight="1">
      <c r="S519" s="239"/>
      <c r="AG519" s="174"/>
    </row>
    <row r="520" ht="15.75" customHeight="1">
      <c r="S520" s="239"/>
      <c r="AG520" s="174"/>
    </row>
    <row r="521" ht="15.75" customHeight="1">
      <c r="S521" s="239"/>
      <c r="AG521" s="174"/>
    </row>
    <row r="522" ht="15.75" customHeight="1">
      <c r="S522" s="239"/>
      <c r="AG522" s="174"/>
    </row>
    <row r="523" ht="15.75" customHeight="1">
      <c r="S523" s="239"/>
      <c r="AG523" s="174"/>
    </row>
    <row r="524" ht="15.75" customHeight="1">
      <c r="S524" s="239"/>
      <c r="AG524" s="174"/>
    </row>
    <row r="525" ht="15.75" customHeight="1">
      <c r="S525" s="239"/>
      <c r="AG525" s="174"/>
    </row>
    <row r="526" ht="15.75" customHeight="1">
      <c r="S526" s="239"/>
      <c r="AG526" s="174"/>
    </row>
    <row r="527" ht="15.75" customHeight="1">
      <c r="S527" s="239"/>
      <c r="AG527" s="174"/>
    </row>
    <row r="528" ht="15.75" customHeight="1">
      <c r="S528" s="239"/>
      <c r="AG528" s="174"/>
    </row>
    <row r="529" ht="15.75" customHeight="1">
      <c r="S529" s="239"/>
      <c r="AG529" s="174"/>
    </row>
    <row r="530" ht="15.75" customHeight="1">
      <c r="S530" s="239"/>
      <c r="AG530" s="174"/>
    </row>
    <row r="531" ht="15.75" customHeight="1">
      <c r="S531" s="239"/>
      <c r="AG531" s="174"/>
    </row>
    <row r="532" ht="15.75" customHeight="1">
      <c r="S532" s="239"/>
      <c r="AG532" s="174"/>
    </row>
    <row r="533" ht="15.75" customHeight="1">
      <c r="S533" s="239"/>
      <c r="AG533" s="174"/>
    </row>
    <row r="534" ht="15.75" customHeight="1">
      <c r="S534" s="239"/>
      <c r="AG534" s="174"/>
    </row>
    <row r="535" ht="15.75" customHeight="1">
      <c r="S535" s="239"/>
      <c r="AG535" s="174"/>
    </row>
    <row r="536" ht="15.75" customHeight="1">
      <c r="S536" s="239"/>
      <c r="AG536" s="174"/>
    </row>
    <row r="537" ht="15.75" customHeight="1">
      <c r="S537" s="239"/>
      <c r="AG537" s="174"/>
    </row>
    <row r="538" ht="15.75" customHeight="1">
      <c r="S538" s="239"/>
      <c r="AG538" s="174"/>
    </row>
    <row r="539" ht="15.75" customHeight="1">
      <c r="S539" s="239"/>
      <c r="AG539" s="174"/>
    </row>
    <row r="540" ht="15.75" customHeight="1">
      <c r="S540" s="239"/>
      <c r="AG540" s="174"/>
    </row>
    <row r="541" ht="15.75" customHeight="1">
      <c r="S541" s="239"/>
      <c r="AG541" s="174"/>
    </row>
    <row r="542" ht="15.75" customHeight="1">
      <c r="S542" s="239"/>
      <c r="AG542" s="174"/>
    </row>
    <row r="543" ht="15.75" customHeight="1">
      <c r="S543" s="239"/>
      <c r="AG543" s="174"/>
    </row>
    <row r="544" ht="15.75" customHeight="1">
      <c r="S544" s="239"/>
      <c r="AG544" s="174"/>
    </row>
    <row r="545" ht="15.75" customHeight="1">
      <c r="S545" s="239"/>
      <c r="AG545" s="174"/>
    </row>
    <row r="546" ht="15.75" customHeight="1">
      <c r="S546" s="239"/>
      <c r="AG546" s="174"/>
    </row>
    <row r="547" ht="15.75" customHeight="1">
      <c r="S547" s="239"/>
      <c r="AG547" s="174"/>
    </row>
    <row r="548" ht="15.75" customHeight="1">
      <c r="S548" s="239"/>
      <c r="AG548" s="174"/>
    </row>
    <row r="549" ht="15.75" customHeight="1">
      <c r="S549" s="239"/>
      <c r="AG549" s="174"/>
    </row>
    <row r="550" ht="15.75" customHeight="1">
      <c r="S550" s="239"/>
      <c r="AG550" s="174"/>
    </row>
    <row r="551" ht="15.75" customHeight="1">
      <c r="S551" s="239"/>
      <c r="AG551" s="174"/>
    </row>
    <row r="552" ht="15.75" customHeight="1">
      <c r="S552" s="239"/>
      <c r="AG552" s="174"/>
    </row>
    <row r="553" ht="15.75" customHeight="1">
      <c r="S553" s="239"/>
      <c r="AG553" s="174"/>
    </row>
    <row r="554" ht="15.75" customHeight="1">
      <c r="S554" s="239"/>
      <c r="AG554" s="174"/>
    </row>
    <row r="555" ht="15.75" customHeight="1">
      <c r="S555" s="239"/>
      <c r="AG555" s="174"/>
    </row>
    <row r="556" ht="15.75" customHeight="1">
      <c r="S556" s="239"/>
      <c r="AG556" s="174"/>
    </row>
    <row r="557" ht="15.75" customHeight="1">
      <c r="S557" s="239"/>
      <c r="AG557" s="174"/>
    </row>
    <row r="558" ht="15.75" customHeight="1">
      <c r="S558" s="239"/>
      <c r="AG558" s="174"/>
    </row>
    <row r="559" ht="15.75" customHeight="1">
      <c r="S559" s="239"/>
      <c r="AG559" s="174"/>
    </row>
    <row r="560" ht="15.75" customHeight="1">
      <c r="S560" s="239"/>
      <c r="AG560" s="174"/>
    </row>
    <row r="561" ht="15.75" customHeight="1">
      <c r="S561" s="239"/>
      <c r="AG561" s="174"/>
    </row>
    <row r="562" ht="15.75" customHeight="1">
      <c r="S562" s="239"/>
      <c r="AG562" s="174"/>
    </row>
    <row r="563" ht="15.75" customHeight="1">
      <c r="S563" s="239"/>
      <c r="AG563" s="174"/>
    </row>
    <row r="564" ht="15.75" customHeight="1">
      <c r="S564" s="239"/>
      <c r="AG564" s="174"/>
    </row>
    <row r="565" ht="15.75" customHeight="1">
      <c r="S565" s="239"/>
      <c r="AG565" s="174"/>
    </row>
    <row r="566" ht="15.75" customHeight="1">
      <c r="S566" s="239"/>
      <c r="AG566" s="174"/>
    </row>
    <row r="567" ht="15.75" customHeight="1">
      <c r="S567" s="239"/>
      <c r="AG567" s="174"/>
    </row>
    <row r="568" ht="15.75" customHeight="1">
      <c r="S568" s="239"/>
      <c r="AG568" s="174"/>
    </row>
    <row r="569" ht="15.75" customHeight="1">
      <c r="S569" s="239"/>
      <c r="AG569" s="174"/>
    </row>
    <row r="570" ht="15.75" customHeight="1">
      <c r="S570" s="239"/>
      <c r="AG570" s="174"/>
    </row>
    <row r="571" ht="15.75" customHeight="1">
      <c r="S571" s="239"/>
      <c r="AG571" s="174"/>
    </row>
    <row r="572" ht="15.75" customHeight="1">
      <c r="S572" s="239"/>
      <c r="AG572" s="174"/>
    </row>
    <row r="573" ht="15.75" customHeight="1">
      <c r="S573" s="239"/>
      <c r="AG573" s="174"/>
    </row>
    <row r="574" ht="15.75" customHeight="1">
      <c r="S574" s="239"/>
      <c r="AG574" s="174"/>
    </row>
    <row r="575" ht="15.75" customHeight="1">
      <c r="S575" s="239"/>
      <c r="AG575" s="174"/>
    </row>
    <row r="576" ht="15.75" customHeight="1">
      <c r="S576" s="239"/>
      <c r="AG576" s="174"/>
    </row>
    <row r="577" ht="15.75" customHeight="1">
      <c r="S577" s="239"/>
      <c r="AG577" s="174"/>
    </row>
    <row r="578" ht="15.75" customHeight="1">
      <c r="S578" s="239"/>
      <c r="AG578" s="174"/>
    </row>
    <row r="579" ht="15.75" customHeight="1">
      <c r="S579" s="239"/>
      <c r="AG579" s="174"/>
    </row>
    <row r="580" ht="15.75" customHeight="1">
      <c r="S580" s="239"/>
      <c r="AG580" s="174"/>
    </row>
    <row r="581" ht="15.75" customHeight="1">
      <c r="S581" s="239"/>
      <c r="AG581" s="174"/>
    </row>
    <row r="582" ht="15.75" customHeight="1">
      <c r="S582" s="239"/>
      <c r="AG582" s="174"/>
    </row>
    <row r="583" ht="15.75" customHeight="1">
      <c r="S583" s="239"/>
      <c r="AG583" s="174"/>
    </row>
    <row r="584" ht="15.75" customHeight="1">
      <c r="S584" s="239"/>
      <c r="AG584" s="174"/>
    </row>
    <row r="585" ht="15.75" customHeight="1">
      <c r="S585" s="239"/>
      <c r="AG585" s="174"/>
    </row>
    <row r="586" ht="15.75" customHeight="1">
      <c r="S586" s="239"/>
      <c r="AG586" s="174"/>
    </row>
    <row r="587" ht="15.75" customHeight="1">
      <c r="S587" s="239"/>
      <c r="AG587" s="174"/>
    </row>
    <row r="588" ht="15.75" customHeight="1">
      <c r="S588" s="239"/>
      <c r="AG588" s="174"/>
    </row>
    <row r="589" ht="15.75" customHeight="1">
      <c r="S589" s="239"/>
      <c r="AG589" s="174"/>
    </row>
    <row r="590" ht="15.75" customHeight="1">
      <c r="S590" s="239"/>
      <c r="AG590" s="174"/>
    </row>
    <row r="591" ht="15.75" customHeight="1">
      <c r="S591" s="239"/>
      <c r="AG591" s="174"/>
    </row>
    <row r="592" ht="15.75" customHeight="1">
      <c r="S592" s="239"/>
      <c r="AG592" s="174"/>
    </row>
    <row r="593" ht="15.75" customHeight="1">
      <c r="S593" s="239"/>
      <c r="AG593" s="174"/>
    </row>
    <row r="594" ht="15.75" customHeight="1">
      <c r="S594" s="239"/>
      <c r="AG594" s="174"/>
    </row>
    <row r="595" ht="15.75" customHeight="1">
      <c r="S595" s="239"/>
      <c r="AG595" s="174"/>
    </row>
    <row r="596" ht="15.75" customHeight="1">
      <c r="S596" s="239"/>
      <c r="AG596" s="174"/>
    </row>
    <row r="597" ht="15.75" customHeight="1">
      <c r="S597" s="239"/>
      <c r="AG597" s="174"/>
    </row>
    <row r="598" ht="15.75" customHeight="1">
      <c r="S598" s="239"/>
      <c r="AG598" s="174"/>
    </row>
    <row r="599" ht="15.75" customHeight="1">
      <c r="S599" s="239"/>
      <c r="AG599" s="174"/>
    </row>
    <row r="600" ht="15.75" customHeight="1">
      <c r="S600" s="239"/>
      <c r="AG600" s="174"/>
    </row>
    <row r="601" ht="15.75" customHeight="1">
      <c r="S601" s="239"/>
      <c r="AG601" s="174"/>
    </row>
    <row r="602" ht="15.75" customHeight="1">
      <c r="S602" s="239"/>
      <c r="AG602" s="174"/>
    </row>
    <row r="603" ht="15.75" customHeight="1">
      <c r="S603" s="239"/>
      <c r="AG603" s="174"/>
    </row>
    <row r="604" ht="15.75" customHeight="1">
      <c r="S604" s="239"/>
      <c r="AG604" s="174"/>
    </row>
    <row r="605" ht="15.75" customHeight="1">
      <c r="S605" s="239"/>
      <c r="AG605" s="174"/>
    </row>
    <row r="606" ht="15.75" customHeight="1">
      <c r="S606" s="239"/>
      <c r="AG606" s="174"/>
    </row>
    <row r="607" ht="15.75" customHeight="1">
      <c r="S607" s="239"/>
      <c r="AG607" s="174"/>
    </row>
    <row r="608" ht="15.75" customHeight="1">
      <c r="S608" s="239"/>
      <c r="AG608" s="174"/>
    </row>
    <row r="609" ht="15.75" customHeight="1">
      <c r="S609" s="239"/>
      <c r="AG609" s="174"/>
    </row>
    <row r="610" ht="15.75" customHeight="1">
      <c r="S610" s="239"/>
      <c r="AG610" s="174"/>
    </row>
    <row r="611" ht="15.75" customHeight="1">
      <c r="S611" s="239"/>
      <c r="AG611" s="174"/>
    </row>
    <row r="612" ht="15.75" customHeight="1">
      <c r="S612" s="239"/>
      <c r="AG612" s="174"/>
    </row>
    <row r="613" ht="15.75" customHeight="1">
      <c r="S613" s="239"/>
      <c r="AG613" s="174"/>
    </row>
    <row r="614" ht="15.75" customHeight="1">
      <c r="S614" s="239"/>
      <c r="AG614" s="174"/>
    </row>
    <row r="615" ht="15.75" customHeight="1">
      <c r="S615" s="239"/>
      <c r="AG615" s="174"/>
    </row>
    <row r="616" ht="15.75" customHeight="1">
      <c r="S616" s="239"/>
      <c r="AG616" s="174"/>
    </row>
    <row r="617" ht="15.75" customHeight="1">
      <c r="S617" s="239"/>
      <c r="AG617" s="174"/>
    </row>
    <row r="618" ht="15.75" customHeight="1">
      <c r="S618" s="239"/>
      <c r="AG618" s="174"/>
    </row>
    <row r="619" ht="15.75" customHeight="1">
      <c r="S619" s="239"/>
      <c r="AG619" s="174"/>
    </row>
    <row r="620" ht="15.75" customHeight="1">
      <c r="S620" s="239"/>
      <c r="AG620" s="174"/>
    </row>
    <row r="621" ht="15.75" customHeight="1">
      <c r="S621" s="239"/>
      <c r="AG621" s="174"/>
    </row>
    <row r="622" ht="15.75" customHeight="1">
      <c r="S622" s="239"/>
      <c r="AG622" s="174"/>
    </row>
    <row r="623" ht="15.75" customHeight="1">
      <c r="S623" s="239"/>
      <c r="AG623" s="174"/>
    </row>
    <row r="624" ht="15.75" customHeight="1">
      <c r="S624" s="239"/>
      <c r="AG624" s="174"/>
    </row>
    <row r="625" ht="15.75" customHeight="1">
      <c r="S625" s="239"/>
      <c r="AG625" s="174"/>
    </row>
    <row r="626" ht="15.75" customHeight="1">
      <c r="S626" s="239"/>
      <c r="AG626" s="174"/>
    </row>
    <row r="627" ht="15.75" customHeight="1">
      <c r="S627" s="239"/>
      <c r="AG627" s="174"/>
    </row>
    <row r="628" ht="15.75" customHeight="1">
      <c r="S628" s="239"/>
      <c r="AG628" s="174"/>
    </row>
    <row r="629" ht="15.75" customHeight="1">
      <c r="S629" s="239"/>
      <c r="AG629" s="174"/>
    </row>
    <row r="630" ht="15.75" customHeight="1">
      <c r="S630" s="239"/>
      <c r="AG630" s="174"/>
    </row>
    <row r="631" ht="15.75" customHeight="1">
      <c r="S631" s="239"/>
      <c r="AG631" s="174"/>
    </row>
    <row r="632" ht="15.75" customHeight="1">
      <c r="S632" s="239"/>
      <c r="AG632" s="174"/>
    </row>
    <row r="633" ht="15.75" customHeight="1">
      <c r="S633" s="239"/>
      <c r="AG633" s="174"/>
    </row>
    <row r="634" ht="15.75" customHeight="1">
      <c r="S634" s="239"/>
      <c r="AG634" s="174"/>
    </row>
    <row r="635" ht="15.75" customHeight="1">
      <c r="S635" s="239"/>
      <c r="AG635" s="174"/>
    </row>
    <row r="636" ht="15.75" customHeight="1">
      <c r="S636" s="239"/>
      <c r="AG636" s="174"/>
    </row>
    <row r="637" ht="15.75" customHeight="1">
      <c r="S637" s="239"/>
      <c r="AG637" s="174"/>
    </row>
    <row r="638" ht="15.75" customHeight="1">
      <c r="S638" s="239"/>
      <c r="AG638" s="174"/>
    </row>
    <row r="639" ht="15.75" customHeight="1">
      <c r="S639" s="239"/>
      <c r="AG639" s="174"/>
    </row>
    <row r="640" ht="15.75" customHeight="1">
      <c r="S640" s="239"/>
      <c r="AG640" s="174"/>
    </row>
    <row r="641" ht="15.75" customHeight="1">
      <c r="S641" s="239"/>
      <c r="AG641" s="174"/>
    </row>
    <row r="642" ht="15.75" customHeight="1">
      <c r="S642" s="239"/>
      <c r="AG642" s="174"/>
    </row>
    <row r="643" ht="15.75" customHeight="1">
      <c r="S643" s="239"/>
      <c r="AG643" s="174"/>
    </row>
    <row r="644" ht="15.75" customHeight="1">
      <c r="S644" s="239"/>
      <c r="AG644" s="174"/>
    </row>
    <row r="645" ht="15.75" customHeight="1">
      <c r="S645" s="239"/>
      <c r="AG645" s="174"/>
    </row>
    <row r="646" ht="15.75" customHeight="1">
      <c r="S646" s="239"/>
      <c r="AG646" s="174"/>
    </row>
    <row r="647" ht="15.75" customHeight="1">
      <c r="S647" s="239"/>
      <c r="AG647" s="174"/>
    </row>
    <row r="648" ht="15.75" customHeight="1">
      <c r="S648" s="239"/>
      <c r="AG648" s="174"/>
    </row>
    <row r="649" ht="15.75" customHeight="1">
      <c r="S649" s="239"/>
      <c r="AG649" s="174"/>
    </row>
    <row r="650" ht="15.75" customHeight="1">
      <c r="S650" s="239"/>
      <c r="AG650" s="174"/>
    </row>
    <row r="651" ht="15.75" customHeight="1">
      <c r="S651" s="239"/>
      <c r="AG651" s="174"/>
    </row>
    <row r="652" ht="15.75" customHeight="1">
      <c r="S652" s="239"/>
      <c r="AG652" s="174"/>
    </row>
    <row r="653" ht="15.75" customHeight="1">
      <c r="S653" s="239"/>
      <c r="AG653" s="174"/>
    </row>
    <row r="654" ht="15.75" customHeight="1">
      <c r="S654" s="239"/>
      <c r="AG654" s="174"/>
    </row>
    <row r="655" ht="15.75" customHeight="1">
      <c r="S655" s="239"/>
      <c r="AG655" s="174"/>
    </row>
    <row r="656" ht="15.75" customHeight="1">
      <c r="S656" s="239"/>
      <c r="AG656" s="174"/>
    </row>
    <row r="657" ht="15.75" customHeight="1">
      <c r="S657" s="239"/>
      <c r="AG657" s="174"/>
    </row>
    <row r="658" ht="15.75" customHeight="1">
      <c r="S658" s="239"/>
      <c r="AG658" s="174"/>
    </row>
    <row r="659" ht="15.75" customHeight="1">
      <c r="S659" s="239"/>
      <c r="AG659" s="174"/>
    </row>
    <row r="660" ht="15.75" customHeight="1">
      <c r="S660" s="239"/>
      <c r="AG660" s="174"/>
    </row>
    <row r="661" ht="15.75" customHeight="1">
      <c r="S661" s="239"/>
      <c r="AG661" s="174"/>
    </row>
    <row r="662" ht="15.75" customHeight="1">
      <c r="S662" s="239"/>
      <c r="AG662" s="174"/>
    </row>
    <row r="663" ht="15.75" customHeight="1">
      <c r="S663" s="239"/>
      <c r="AG663" s="174"/>
    </row>
    <row r="664" ht="15.75" customHeight="1">
      <c r="S664" s="239"/>
      <c r="AG664" s="174"/>
    </row>
    <row r="665" ht="15.75" customHeight="1">
      <c r="S665" s="239"/>
      <c r="AG665" s="174"/>
    </row>
    <row r="666" ht="15.75" customHeight="1">
      <c r="S666" s="239"/>
      <c r="AG666" s="174"/>
    </row>
    <row r="667" ht="15.75" customHeight="1">
      <c r="S667" s="239"/>
      <c r="AG667" s="174"/>
    </row>
    <row r="668" ht="15.75" customHeight="1">
      <c r="S668" s="239"/>
      <c r="AG668" s="174"/>
    </row>
    <row r="669" ht="15.75" customHeight="1">
      <c r="S669" s="239"/>
      <c r="AG669" s="174"/>
    </row>
    <row r="670" ht="15.75" customHeight="1">
      <c r="S670" s="239"/>
      <c r="AG670" s="174"/>
    </row>
    <row r="671" ht="15.75" customHeight="1">
      <c r="S671" s="239"/>
      <c r="AG671" s="174"/>
    </row>
    <row r="672" ht="15.75" customHeight="1">
      <c r="S672" s="239"/>
      <c r="AG672" s="174"/>
    </row>
    <row r="673" ht="15.75" customHeight="1">
      <c r="S673" s="239"/>
      <c r="AG673" s="174"/>
    </row>
    <row r="674" ht="15.75" customHeight="1">
      <c r="S674" s="239"/>
      <c r="AG674" s="174"/>
    </row>
    <row r="675" ht="15.75" customHeight="1">
      <c r="S675" s="239"/>
      <c r="AG675" s="174"/>
    </row>
    <row r="676" ht="15.75" customHeight="1">
      <c r="S676" s="239"/>
      <c r="AG676" s="174"/>
    </row>
    <row r="677" ht="15.75" customHeight="1">
      <c r="S677" s="239"/>
      <c r="AG677" s="174"/>
    </row>
    <row r="678" ht="15.75" customHeight="1">
      <c r="S678" s="239"/>
      <c r="AG678" s="174"/>
    </row>
    <row r="679" ht="15.75" customHeight="1">
      <c r="S679" s="239"/>
      <c r="AG679" s="174"/>
    </row>
    <row r="680" ht="15.75" customHeight="1">
      <c r="S680" s="239"/>
      <c r="AG680" s="174"/>
    </row>
    <row r="681" ht="15.75" customHeight="1">
      <c r="S681" s="239"/>
      <c r="AG681" s="174"/>
    </row>
    <row r="682" ht="15.75" customHeight="1">
      <c r="S682" s="239"/>
      <c r="AG682" s="174"/>
    </row>
    <row r="683" ht="15.75" customHeight="1">
      <c r="S683" s="239"/>
      <c r="AG683" s="174"/>
    </row>
    <row r="684" ht="15.75" customHeight="1">
      <c r="S684" s="239"/>
      <c r="AG684" s="174"/>
    </row>
    <row r="685" ht="15.75" customHeight="1">
      <c r="S685" s="239"/>
      <c r="AG685" s="174"/>
    </row>
    <row r="686" ht="15.75" customHeight="1">
      <c r="S686" s="239"/>
      <c r="AG686" s="174"/>
    </row>
    <row r="687" ht="15.75" customHeight="1">
      <c r="S687" s="239"/>
      <c r="AG687" s="174"/>
    </row>
    <row r="688" ht="15.75" customHeight="1">
      <c r="S688" s="239"/>
      <c r="AG688" s="174"/>
    </row>
    <row r="689" ht="15.75" customHeight="1">
      <c r="S689" s="239"/>
      <c r="AG689" s="174"/>
    </row>
    <row r="690" ht="15.75" customHeight="1">
      <c r="S690" s="239"/>
      <c r="AG690" s="174"/>
    </row>
    <row r="691" ht="15.75" customHeight="1">
      <c r="S691" s="239"/>
      <c r="AG691" s="174"/>
    </row>
    <row r="692" ht="15.75" customHeight="1">
      <c r="S692" s="239"/>
      <c r="AG692" s="174"/>
    </row>
    <row r="693" ht="15.75" customHeight="1">
      <c r="S693" s="239"/>
      <c r="AG693" s="174"/>
    </row>
    <row r="694" ht="15.75" customHeight="1">
      <c r="S694" s="239"/>
      <c r="AG694" s="174"/>
    </row>
    <row r="695" ht="15.75" customHeight="1">
      <c r="S695" s="239"/>
      <c r="AG695" s="174"/>
    </row>
    <row r="696" ht="15.75" customHeight="1">
      <c r="S696" s="239"/>
      <c r="AG696" s="174"/>
    </row>
    <row r="697" ht="15.75" customHeight="1">
      <c r="S697" s="239"/>
      <c r="AG697" s="174"/>
    </row>
    <row r="698" ht="15.75" customHeight="1">
      <c r="S698" s="239"/>
      <c r="AG698" s="174"/>
    </row>
    <row r="699" ht="15.75" customHeight="1">
      <c r="S699" s="239"/>
      <c r="AG699" s="174"/>
    </row>
    <row r="700" ht="15.75" customHeight="1">
      <c r="S700" s="239"/>
      <c r="AG700" s="174"/>
    </row>
    <row r="701" ht="15.75" customHeight="1">
      <c r="S701" s="239"/>
      <c r="AG701" s="174"/>
    </row>
    <row r="702" ht="15.75" customHeight="1">
      <c r="S702" s="239"/>
      <c r="AG702" s="174"/>
    </row>
    <row r="703" ht="15.75" customHeight="1">
      <c r="S703" s="239"/>
      <c r="AG703" s="174"/>
    </row>
    <row r="704" ht="15.75" customHeight="1">
      <c r="S704" s="239"/>
      <c r="AG704" s="174"/>
    </row>
    <row r="705" ht="15.75" customHeight="1">
      <c r="S705" s="239"/>
      <c r="AG705" s="174"/>
    </row>
    <row r="706" ht="15.75" customHeight="1">
      <c r="S706" s="239"/>
      <c r="AG706" s="174"/>
    </row>
    <row r="707" ht="15.75" customHeight="1">
      <c r="S707" s="239"/>
      <c r="AG707" s="174"/>
    </row>
    <row r="708" ht="15.75" customHeight="1">
      <c r="S708" s="239"/>
      <c r="AG708" s="174"/>
    </row>
    <row r="709" ht="15.75" customHeight="1">
      <c r="S709" s="239"/>
      <c r="AG709" s="174"/>
    </row>
    <row r="710" ht="15.75" customHeight="1">
      <c r="S710" s="239"/>
      <c r="AG710" s="174"/>
    </row>
    <row r="711" ht="15.75" customHeight="1">
      <c r="S711" s="239"/>
      <c r="AG711" s="174"/>
    </row>
    <row r="712" ht="15.75" customHeight="1">
      <c r="S712" s="239"/>
      <c r="AG712" s="174"/>
    </row>
    <row r="713" ht="15.75" customHeight="1">
      <c r="S713" s="239"/>
      <c r="AG713" s="174"/>
    </row>
    <row r="714" ht="15.75" customHeight="1">
      <c r="S714" s="239"/>
      <c r="AG714" s="174"/>
    </row>
    <row r="715" ht="15.75" customHeight="1">
      <c r="S715" s="239"/>
      <c r="AG715" s="174"/>
    </row>
    <row r="716" ht="15.75" customHeight="1">
      <c r="S716" s="239"/>
      <c r="AG716" s="174"/>
    </row>
    <row r="717" ht="15.75" customHeight="1">
      <c r="S717" s="239"/>
      <c r="AG717" s="174"/>
    </row>
    <row r="718" ht="15.75" customHeight="1">
      <c r="S718" s="239"/>
      <c r="AG718" s="174"/>
    </row>
    <row r="719" ht="15.75" customHeight="1">
      <c r="S719" s="239"/>
      <c r="AG719" s="174"/>
    </row>
    <row r="720" ht="15.75" customHeight="1">
      <c r="S720" s="239"/>
      <c r="AG720" s="174"/>
    </row>
    <row r="721" ht="15.75" customHeight="1">
      <c r="S721" s="239"/>
      <c r="AG721" s="174"/>
    </row>
    <row r="722" ht="15.75" customHeight="1">
      <c r="S722" s="239"/>
      <c r="AG722" s="174"/>
    </row>
    <row r="723" ht="15.75" customHeight="1">
      <c r="S723" s="239"/>
      <c r="AG723" s="174"/>
    </row>
    <row r="724" ht="15.75" customHeight="1">
      <c r="S724" s="239"/>
      <c r="AG724" s="174"/>
    </row>
    <row r="725" ht="15.75" customHeight="1">
      <c r="S725" s="239"/>
      <c r="AG725" s="174"/>
    </row>
    <row r="726" ht="15.75" customHeight="1">
      <c r="S726" s="239"/>
      <c r="AG726" s="174"/>
    </row>
    <row r="727" ht="15.75" customHeight="1">
      <c r="S727" s="239"/>
      <c r="AG727" s="174"/>
    </row>
    <row r="728" ht="15.75" customHeight="1">
      <c r="S728" s="239"/>
      <c r="AG728" s="174"/>
    </row>
    <row r="729" ht="15.75" customHeight="1">
      <c r="S729" s="239"/>
      <c r="AG729" s="174"/>
    </row>
    <row r="730" ht="15.75" customHeight="1">
      <c r="S730" s="239"/>
      <c r="AG730" s="174"/>
    </row>
    <row r="731" ht="15.75" customHeight="1">
      <c r="S731" s="239"/>
      <c r="AG731" s="174"/>
    </row>
    <row r="732" ht="15.75" customHeight="1">
      <c r="S732" s="239"/>
      <c r="AG732" s="174"/>
    </row>
    <row r="733" ht="15.75" customHeight="1">
      <c r="S733" s="239"/>
      <c r="AG733" s="174"/>
    </row>
    <row r="734" ht="15.75" customHeight="1">
      <c r="S734" s="239"/>
      <c r="AG734" s="174"/>
    </row>
    <row r="735" ht="15.75" customHeight="1">
      <c r="S735" s="239"/>
      <c r="AG735" s="174"/>
    </row>
    <row r="736" ht="15.75" customHeight="1">
      <c r="S736" s="239"/>
      <c r="AG736" s="174"/>
    </row>
    <row r="737" ht="15.75" customHeight="1">
      <c r="S737" s="239"/>
      <c r="AG737" s="174"/>
    </row>
    <row r="738" ht="15.75" customHeight="1">
      <c r="S738" s="239"/>
      <c r="AG738" s="174"/>
    </row>
    <row r="739" ht="15.75" customHeight="1">
      <c r="S739" s="239"/>
      <c r="AG739" s="174"/>
    </row>
    <row r="740" ht="15.75" customHeight="1">
      <c r="S740" s="239"/>
      <c r="AG740" s="174"/>
    </row>
    <row r="741" ht="15.75" customHeight="1">
      <c r="S741" s="239"/>
      <c r="AG741" s="174"/>
    </row>
    <row r="742" ht="15.75" customHeight="1">
      <c r="S742" s="239"/>
      <c r="AG742" s="174"/>
    </row>
    <row r="743" ht="15.75" customHeight="1">
      <c r="S743" s="239"/>
      <c r="AG743" s="174"/>
    </row>
    <row r="744" ht="15.75" customHeight="1">
      <c r="S744" s="239"/>
      <c r="AG744" s="174"/>
    </row>
    <row r="745" ht="15.75" customHeight="1">
      <c r="S745" s="239"/>
      <c r="AG745" s="174"/>
    </row>
    <row r="746" ht="15.75" customHeight="1">
      <c r="S746" s="239"/>
      <c r="AG746" s="174"/>
    </row>
    <row r="747" ht="15.75" customHeight="1">
      <c r="S747" s="239"/>
      <c r="AG747" s="174"/>
    </row>
    <row r="748" ht="15.75" customHeight="1">
      <c r="S748" s="239"/>
      <c r="AG748" s="174"/>
    </row>
    <row r="749" ht="15.75" customHeight="1">
      <c r="S749" s="239"/>
      <c r="AG749" s="174"/>
    </row>
    <row r="750" ht="15.75" customHeight="1">
      <c r="S750" s="239"/>
      <c r="AG750" s="174"/>
    </row>
    <row r="751" ht="15.75" customHeight="1">
      <c r="S751" s="239"/>
      <c r="AG751" s="174"/>
    </row>
    <row r="752" ht="15.75" customHeight="1">
      <c r="S752" s="239"/>
      <c r="AG752" s="174"/>
    </row>
    <row r="753" ht="15.75" customHeight="1">
      <c r="S753" s="239"/>
      <c r="AG753" s="174"/>
    </row>
    <row r="754" ht="15.75" customHeight="1">
      <c r="S754" s="239"/>
      <c r="AG754" s="174"/>
    </row>
    <row r="755" ht="15.75" customHeight="1">
      <c r="S755" s="239"/>
      <c r="AG755" s="174"/>
    </row>
    <row r="756" ht="15.75" customHeight="1">
      <c r="S756" s="239"/>
      <c r="AG756" s="174"/>
    </row>
    <row r="757" ht="15.75" customHeight="1">
      <c r="S757" s="239"/>
      <c r="AG757" s="174"/>
    </row>
    <row r="758" ht="15.75" customHeight="1">
      <c r="S758" s="239"/>
      <c r="AG758" s="174"/>
    </row>
    <row r="759" ht="15.75" customHeight="1">
      <c r="S759" s="239"/>
      <c r="AG759" s="174"/>
    </row>
    <row r="760" ht="15.75" customHeight="1">
      <c r="S760" s="239"/>
      <c r="AG760" s="174"/>
    </row>
    <row r="761" ht="15.75" customHeight="1">
      <c r="S761" s="239"/>
      <c r="AG761" s="174"/>
    </row>
    <row r="762" ht="15.75" customHeight="1">
      <c r="S762" s="239"/>
      <c r="AG762" s="174"/>
    </row>
    <row r="763" ht="15.75" customHeight="1">
      <c r="S763" s="239"/>
      <c r="AG763" s="174"/>
    </row>
    <row r="764" ht="15.75" customHeight="1">
      <c r="S764" s="239"/>
      <c r="AG764" s="174"/>
    </row>
    <row r="765" ht="15.75" customHeight="1">
      <c r="S765" s="239"/>
      <c r="AG765" s="174"/>
    </row>
    <row r="766" ht="15.75" customHeight="1">
      <c r="S766" s="239"/>
      <c r="AG766" s="174"/>
    </row>
    <row r="767" ht="15.75" customHeight="1">
      <c r="S767" s="239"/>
      <c r="AG767" s="174"/>
    </row>
    <row r="768" ht="15.75" customHeight="1">
      <c r="S768" s="239"/>
      <c r="AG768" s="174"/>
    </row>
    <row r="769" ht="15.75" customHeight="1">
      <c r="S769" s="239"/>
      <c r="AG769" s="174"/>
    </row>
    <row r="770" ht="15.75" customHeight="1">
      <c r="S770" s="239"/>
      <c r="AG770" s="174"/>
    </row>
    <row r="771" ht="15.75" customHeight="1">
      <c r="S771" s="239"/>
      <c r="AG771" s="174"/>
    </row>
    <row r="772" ht="15.75" customHeight="1">
      <c r="S772" s="239"/>
      <c r="AG772" s="174"/>
    </row>
    <row r="773" ht="15.75" customHeight="1">
      <c r="S773" s="239"/>
      <c r="AG773" s="174"/>
    </row>
    <row r="774" ht="15.75" customHeight="1">
      <c r="S774" s="239"/>
      <c r="AG774" s="174"/>
    </row>
    <row r="775" ht="15.75" customHeight="1">
      <c r="S775" s="239"/>
      <c r="AG775" s="174"/>
    </row>
    <row r="776" ht="15.75" customHeight="1">
      <c r="S776" s="239"/>
      <c r="AG776" s="174"/>
    </row>
    <row r="777" ht="15.75" customHeight="1">
      <c r="S777" s="239"/>
      <c r="AG777" s="174"/>
    </row>
    <row r="778" ht="15.75" customHeight="1">
      <c r="S778" s="239"/>
      <c r="AG778" s="174"/>
    </row>
    <row r="779" ht="15.75" customHeight="1">
      <c r="S779" s="239"/>
      <c r="AG779" s="174"/>
    </row>
    <row r="780" ht="15.75" customHeight="1">
      <c r="S780" s="239"/>
      <c r="AG780" s="174"/>
    </row>
    <row r="781" ht="15.75" customHeight="1">
      <c r="S781" s="239"/>
      <c r="AG781" s="174"/>
    </row>
    <row r="782" ht="15.75" customHeight="1">
      <c r="S782" s="239"/>
      <c r="AG782" s="174"/>
    </row>
    <row r="783" ht="15.75" customHeight="1">
      <c r="S783" s="239"/>
      <c r="AG783" s="174"/>
    </row>
    <row r="784" ht="15.75" customHeight="1">
      <c r="S784" s="239"/>
      <c r="AG784" s="174"/>
    </row>
    <row r="785" ht="15.75" customHeight="1">
      <c r="S785" s="239"/>
      <c r="AG785" s="174"/>
    </row>
    <row r="786" ht="15.75" customHeight="1">
      <c r="S786" s="239"/>
      <c r="AG786" s="174"/>
    </row>
    <row r="787" ht="15.75" customHeight="1">
      <c r="S787" s="239"/>
      <c r="AG787" s="174"/>
    </row>
    <row r="788" ht="15.75" customHeight="1">
      <c r="S788" s="239"/>
      <c r="AG788" s="174"/>
    </row>
    <row r="789" ht="15.75" customHeight="1">
      <c r="S789" s="239"/>
      <c r="AG789" s="174"/>
    </row>
    <row r="790" ht="15.75" customHeight="1">
      <c r="S790" s="239"/>
      <c r="AG790" s="174"/>
    </row>
    <row r="791" ht="15.75" customHeight="1">
      <c r="S791" s="239"/>
      <c r="AG791" s="174"/>
    </row>
    <row r="792" ht="15.75" customHeight="1">
      <c r="S792" s="239"/>
      <c r="AG792" s="174"/>
    </row>
    <row r="793" ht="15.75" customHeight="1">
      <c r="S793" s="239"/>
      <c r="AG793" s="174"/>
    </row>
    <row r="794" ht="15.75" customHeight="1">
      <c r="S794" s="239"/>
      <c r="AG794" s="174"/>
    </row>
    <row r="795" ht="15.75" customHeight="1">
      <c r="S795" s="239"/>
      <c r="AG795" s="174"/>
    </row>
    <row r="796" ht="15.75" customHeight="1">
      <c r="S796" s="239"/>
      <c r="AG796" s="174"/>
    </row>
    <row r="797" ht="15.75" customHeight="1">
      <c r="S797" s="239"/>
      <c r="AG797" s="174"/>
    </row>
    <row r="798" ht="15.75" customHeight="1">
      <c r="S798" s="239"/>
      <c r="AG798" s="174"/>
    </row>
    <row r="799" ht="15.75" customHeight="1">
      <c r="S799" s="239"/>
      <c r="AG799" s="174"/>
    </row>
    <row r="800" ht="15.75" customHeight="1">
      <c r="S800" s="239"/>
      <c r="AG800" s="174"/>
    </row>
    <row r="801" ht="15.75" customHeight="1">
      <c r="S801" s="239"/>
      <c r="AG801" s="174"/>
    </row>
    <row r="802" ht="15.75" customHeight="1">
      <c r="S802" s="239"/>
      <c r="AG802" s="174"/>
    </row>
    <row r="803" ht="15.75" customHeight="1">
      <c r="S803" s="239"/>
      <c r="AG803" s="174"/>
    </row>
    <row r="804" ht="15.75" customHeight="1">
      <c r="S804" s="239"/>
      <c r="AG804" s="174"/>
    </row>
    <row r="805" ht="15.75" customHeight="1">
      <c r="S805" s="239"/>
      <c r="AG805" s="174"/>
    </row>
    <row r="806" ht="15.75" customHeight="1">
      <c r="S806" s="239"/>
      <c r="AG806" s="174"/>
    </row>
    <row r="807" ht="15.75" customHeight="1">
      <c r="S807" s="239"/>
      <c r="AG807" s="174"/>
    </row>
    <row r="808" ht="15.75" customHeight="1">
      <c r="S808" s="239"/>
      <c r="AG808" s="174"/>
    </row>
    <row r="809" ht="15.75" customHeight="1">
      <c r="S809" s="239"/>
      <c r="AG809" s="174"/>
    </row>
    <row r="810" ht="15.75" customHeight="1">
      <c r="S810" s="239"/>
      <c r="AG810" s="174"/>
    </row>
    <row r="811" ht="15.75" customHeight="1">
      <c r="S811" s="239"/>
      <c r="AG811" s="174"/>
    </row>
    <row r="812" ht="15.75" customHeight="1">
      <c r="S812" s="239"/>
      <c r="AG812" s="174"/>
    </row>
    <row r="813" ht="15.75" customHeight="1">
      <c r="S813" s="239"/>
      <c r="AG813" s="174"/>
    </row>
    <row r="814" ht="15.75" customHeight="1">
      <c r="S814" s="239"/>
      <c r="AG814" s="174"/>
    </row>
    <row r="815" ht="15.75" customHeight="1">
      <c r="S815" s="239"/>
      <c r="AG815" s="174"/>
    </row>
    <row r="816" ht="15.75" customHeight="1">
      <c r="S816" s="239"/>
      <c r="AG816" s="174"/>
    </row>
    <row r="817" ht="15.75" customHeight="1">
      <c r="S817" s="239"/>
      <c r="AG817" s="174"/>
    </row>
    <row r="818" ht="15.75" customHeight="1">
      <c r="S818" s="239"/>
      <c r="AG818" s="174"/>
    </row>
    <row r="819" ht="15.75" customHeight="1">
      <c r="S819" s="239"/>
      <c r="AG819" s="174"/>
    </row>
    <row r="820" ht="15.75" customHeight="1">
      <c r="S820" s="239"/>
      <c r="AG820" s="174"/>
    </row>
    <row r="821" ht="15.75" customHeight="1">
      <c r="S821" s="239"/>
      <c r="AG821" s="174"/>
    </row>
    <row r="822" ht="15.75" customHeight="1">
      <c r="S822" s="239"/>
      <c r="AG822" s="174"/>
    </row>
    <row r="823" ht="15.75" customHeight="1">
      <c r="S823" s="239"/>
      <c r="AG823" s="174"/>
    </row>
    <row r="824" ht="15.75" customHeight="1">
      <c r="S824" s="239"/>
      <c r="AG824" s="174"/>
    </row>
    <row r="825" ht="15.75" customHeight="1">
      <c r="S825" s="239"/>
      <c r="AG825" s="174"/>
    </row>
    <row r="826" ht="15.75" customHeight="1">
      <c r="S826" s="239"/>
      <c r="AG826" s="174"/>
    </row>
    <row r="827" ht="15.75" customHeight="1">
      <c r="S827" s="239"/>
      <c r="AG827" s="174"/>
    </row>
    <row r="828" ht="15.75" customHeight="1">
      <c r="S828" s="239"/>
      <c r="AG828" s="174"/>
    </row>
    <row r="829" ht="15.75" customHeight="1">
      <c r="S829" s="239"/>
      <c r="AG829" s="174"/>
    </row>
    <row r="830" ht="15.75" customHeight="1">
      <c r="S830" s="239"/>
      <c r="AG830" s="174"/>
    </row>
    <row r="831" ht="15.75" customHeight="1">
      <c r="S831" s="239"/>
      <c r="AG831" s="174"/>
    </row>
    <row r="832" ht="15.75" customHeight="1">
      <c r="S832" s="239"/>
      <c r="AG832" s="174"/>
    </row>
    <row r="833" ht="15.75" customHeight="1">
      <c r="S833" s="239"/>
      <c r="AG833" s="174"/>
    </row>
    <row r="834" ht="15.75" customHeight="1">
      <c r="S834" s="239"/>
      <c r="AG834" s="174"/>
    </row>
    <row r="835" ht="15.75" customHeight="1">
      <c r="S835" s="239"/>
      <c r="AG835" s="174"/>
    </row>
    <row r="836" ht="15.75" customHeight="1">
      <c r="S836" s="239"/>
      <c r="AG836" s="174"/>
    </row>
    <row r="837" ht="15.75" customHeight="1">
      <c r="S837" s="239"/>
      <c r="AG837" s="174"/>
    </row>
    <row r="838" ht="15.75" customHeight="1">
      <c r="S838" s="239"/>
      <c r="AG838" s="174"/>
    </row>
    <row r="839" ht="15.75" customHeight="1">
      <c r="S839" s="239"/>
      <c r="AG839" s="174"/>
    </row>
    <row r="840" ht="15.75" customHeight="1">
      <c r="S840" s="239"/>
      <c r="AG840" s="174"/>
    </row>
    <row r="841" ht="15.75" customHeight="1">
      <c r="S841" s="239"/>
      <c r="AG841" s="174"/>
    </row>
    <row r="842" ht="15.75" customHeight="1">
      <c r="S842" s="239"/>
      <c r="AG842" s="174"/>
    </row>
    <row r="843" ht="15.75" customHeight="1">
      <c r="S843" s="239"/>
      <c r="AG843" s="174"/>
    </row>
    <row r="844" ht="15.75" customHeight="1">
      <c r="S844" s="239"/>
      <c r="AG844" s="174"/>
    </row>
    <row r="845" ht="15.75" customHeight="1">
      <c r="S845" s="239"/>
      <c r="AG845" s="174"/>
    </row>
    <row r="846" ht="15.75" customHeight="1">
      <c r="S846" s="239"/>
      <c r="AG846" s="174"/>
    </row>
    <row r="847" ht="15.75" customHeight="1">
      <c r="S847" s="239"/>
      <c r="AG847" s="174"/>
    </row>
    <row r="848" ht="15.75" customHeight="1">
      <c r="S848" s="239"/>
      <c r="AG848" s="174"/>
    </row>
    <row r="849" ht="15.75" customHeight="1">
      <c r="S849" s="239"/>
      <c r="AG849" s="174"/>
    </row>
    <row r="850" ht="15.75" customHeight="1">
      <c r="S850" s="239"/>
      <c r="AG850" s="174"/>
    </row>
    <row r="851" ht="15.75" customHeight="1">
      <c r="S851" s="239"/>
      <c r="AG851" s="174"/>
    </row>
    <row r="852" ht="15.75" customHeight="1">
      <c r="S852" s="239"/>
      <c r="AG852" s="174"/>
    </row>
    <row r="853" ht="15.75" customHeight="1">
      <c r="S853" s="239"/>
      <c r="AG853" s="174"/>
    </row>
    <row r="854" ht="15.75" customHeight="1">
      <c r="S854" s="239"/>
      <c r="AG854" s="174"/>
    </row>
    <row r="855" ht="15.75" customHeight="1">
      <c r="S855" s="239"/>
      <c r="AG855" s="174"/>
    </row>
    <row r="856" ht="15.75" customHeight="1">
      <c r="S856" s="239"/>
      <c r="AG856" s="174"/>
    </row>
    <row r="857" ht="15.75" customHeight="1">
      <c r="S857" s="239"/>
      <c r="AG857" s="174"/>
    </row>
    <row r="858" ht="15.75" customHeight="1">
      <c r="S858" s="239"/>
      <c r="AG858" s="174"/>
    </row>
    <row r="859" ht="15.75" customHeight="1">
      <c r="S859" s="239"/>
      <c r="AG859" s="174"/>
    </row>
    <row r="860" ht="15.75" customHeight="1">
      <c r="S860" s="239"/>
      <c r="AG860" s="174"/>
    </row>
    <row r="861" ht="15.75" customHeight="1">
      <c r="S861" s="239"/>
      <c r="AG861" s="174"/>
    </row>
    <row r="862" ht="15.75" customHeight="1">
      <c r="S862" s="239"/>
      <c r="AG862" s="174"/>
    </row>
    <row r="863" ht="15.75" customHeight="1">
      <c r="S863" s="239"/>
      <c r="AG863" s="174"/>
    </row>
    <row r="864" ht="15.75" customHeight="1">
      <c r="S864" s="239"/>
      <c r="AG864" s="174"/>
    </row>
    <row r="865" ht="15.75" customHeight="1">
      <c r="S865" s="239"/>
      <c r="AG865" s="174"/>
    </row>
    <row r="866" ht="15.75" customHeight="1">
      <c r="S866" s="239"/>
      <c r="AG866" s="174"/>
    </row>
    <row r="867" ht="15.75" customHeight="1">
      <c r="S867" s="239"/>
      <c r="AG867" s="174"/>
    </row>
    <row r="868" ht="15.75" customHeight="1">
      <c r="S868" s="239"/>
      <c r="AG868" s="174"/>
    </row>
    <row r="869" ht="15.75" customHeight="1">
      <c r="S869" s="239"/>
      <c r="AG869" s="174"/>
    </row>
    <row r="870" ht="15.75" customHeight="1">
      <c r="S870" s="239"/>
      <c r="AG870" s="174"/>
    </row>
    <row r="871" ht="15.75" customHeight="1">
      <c r="S871" s="239"/>
      <c r="AG871" s="174"/>
    </row>
    <row r="872" ht="15.75" customHeight="1">
      <c r="S872" s="239"/>
      <c r="AG872" s="174"/>
    </row>
    <row r="873" ht="15.75" customHeight="1">
      <c r="S873" s="239"/>
      <c r="AG873" s="174"/>
    </row>
    <row r="874" ht="15.75" customHeight="1">
      <c r="S874" s="239"/>
      <c r="AG874" s="174"/>
    </row>
    <row r="875" ht="15.75" customHeight="1">
      <c r="S875" s="239"/>
      <c r="AG875" s="174"/>
    </row>
    <row r="876" ht="15.75" customHeight="1">
      <c r="S876" s="239"/>
      <c r="AG876" s="174"/>
    </row>
    <row r="877" ht="15.75" customHeight="1">
      <c r="S877" s="239"/>
      <c r="AG877" s="174"/>
    </row>
    <row r="878" ht="15.75" customHeight="1">
      <c r="S878" s="239"/>
      <c r="AG878" s="174"/>
    </row>
    <row r="879" ht="15.75" customHeight="1">
      <c r="S879" s="239"/>
      <c r="AG879" s="174"/>
    </row>
    <row r="880" ht="15.75" customHeight="1">
      <c r="S880" s="239"/>
      <c r="AG880" s="174"/>
    </row>
    <row r="881" ht="15.75" customHeight="1">
      <c r="S881" s="239"/>
      <c r="AG881" s="174"/>
    </row>
    <row r="882" ht="15.75" customHeight="1">
      <c r="S882" s="239"/>
      <c r="AG882" s="174"/>
    </row>
    <row r="883" ht="15.75" customHeight="1">
      <c r="S883" s="239"/>
      <c r="AG883" s="174"/>
    </row>
    <row r="884" ht="15.75" customHeight="1">
      <c r="S884" s="239"/>
      <c r="AG884" s="174"/>
    </row>
    <row r="885" ht="15.75" customHeight="1">
      <c r="S885" s="239"/>
      <c r="AG885" s="174"/>
    </row>
    <row r="886" ht="15.75" customHeight="1">
      <c r="S886" s="239"/>
      <c r="AG886" s="174"/>
    </row>
    <row r="887" ht="15.75" customHeight="1">
      <c r="S887" s="239"/>
      <c r="AG887" s="174"/>
    </row>
    <row r="888" ht="15.75" customHeight="1">
      <c r="S888" s="239"/>
      <c r="AG888" s="174"/>
    </row>
    <row r="889" ht="15.75" customHeight="1">
      <c r="S889" s="239"/>
      <c r="AG889" s="174"/>
    </row>
    <row r="890" ht="15.75" customHeight="1">
      <c r="S890" s="239"/>
      <c r="AG890" s="174"/>
    </row>
    <row r="891" ht="15.75" customHeight="1">
      <c r="S891" s="239"/>
      <c r="AG891" s="174"/>
    </row>
    <row r="892" ht="15.75" customHeight="1">
      <c r="S892" s="239"/>
      <c r="AG892" s="174"/>
    </row>
    <row r="893" ht="15.75" customHeight="1">
      <c r="S893" s="239"/>
      <c r="AG893" s="174"/>
    </row>
    <row r="894" ht="15.75" customHeight="1">
      <c r="S894" s="239"/>
      <c r="AG894" s="174"/>
    </row>
    <row r="895" ht="15.75" customHeight="1">
      <c r="S895" s="239"/>
      <c r="AG895" s="174"/>
    </row>
    <row r="896" ht="15.75" customHeight="1">
      <c r="S896" s="239"/>
      <c r="AG896" s="174"/>
    </row>
    <row r="897" ht="15.75" customHeight="1">
      <c r="S897" s="239"/>
      <c r="AG897" s="174"/>
    </row>
    <row r="898" ht="15.75" customHeight="1">
      <c r="S898" s="239"/>
      <c r="AG898" s="174"/>
    </row>
    <row r="899" ht="15.75" customHeight="1">
      <c r="S899" s="239"/>
      <c r="AG899" s="174"/>
    </row>
    <row r="900" ht="15.75" customHeight="1">
      <c r="S900" s="239"/>
      <c r="AG900" s="174"/>
    </row>
    <row r="901" ht="15.75" customHeight="1">
      <c r="S901" s="239"/>
      <c r="AG901" s="174"/>
    </row>
    <row r="902" ht="15.75" customHeight="1">
      <c r="S902" s="239"/>
      <c r="AG902" s="174"/>
    </row>
    <row r="903" ht="15.75" customHeight="1">
      <c r="S903" s="239"/>
      <c r="AG903" s="174"/>
    </row>
    <row r="904" ht="15.75" customHeight="1">
      <c r="S904" s="239"/>
      <c r="AG904" s="174"/>
    </row>
    <row r="905" ht="15.75" customHeight="1">
      <c r="S905" s="239"/>
      <c r="AG905" s="174"/>
    </row>
    <row r="906" ht="15.75" customHeight="1">
      <c r="S906" s="239"/>
      <c r="AG906" s="174"/>
    </row>
    <row r="907" ht="15.75" customHeight="1">
      <c r="S907" s="239"/>
      <c r="AG907" s="174"/>
    </row>
    <row r="908" ht="15.75" customHeight="1">
      <c r="S908" s="239"/>
      <c r="AG908" s="174"/>
    </row>
    <row r="909" ht="15.75" customHeight="1">
      <c r="S909" s="239"/>
      <c r="AG909" s="174"/>
    </row>
    <row r="910" ht="15.75" customHeight="1">
      <c r="S910" s="239"/>
      <c r="AG910" s="174"/>
    </row>
    <row r="911" ht="15.75" customHeight="1">
      <c r="S911" s="239"/>
      <c r="AG911" s="174"/>
    </row>
    <row r="912" ht="15.75" customHeight="1">
      <c r="S912" s="239"/>
      <c r="AG912" s="174"/>
    </row>
    <row r="913" ht="15.75" customHeight="1">
      <c r="S913" s="239"/>
      <c r="AG913" s="174"/>
    </row>
    <row r="914" ht="15.75" customHeight="1">
      <c r="S914" s="239"/>
      <c r="AG914" s="174"/>
    </row>
    <row r="915" ht="15.75" customHeight="1">
      <c r="S915" s="239"/>
      <c r="AG915" s="174"/>
    </row>
    <row r="916" ht="15.75" customHeight="1">
      <c r="S916" s="239"/>
      <c r="AG916" s="174"/>
    </row>
    <row r="917" ht="15.75" customHeight="1">
      <c r="S917" s="239"/>
      <c r="AG917" s="174"/>
    </row>
    <row r="918" ht="15.75" customHeight="1">
      <c r="S918" s="239"/>
      <c r="AG918" s="174"/>
    </row>
    <row r="919" ht="15.75" customHeight="1">
      <c r="S919" s="239"/>
      <c r="AG919" s="174"/>
    </row>
    <row r="920" ht="15.75" customHeight="1">
      <c r="S920" s="239"/>
      <c r="AG920" s="174"/>
    </row>
    <row r="921" ht="15.75" customHeight="1">
      <c r="S921" s="239"/>
      <c r="AG921" s="174"/>
    </row>
    <row r="922" ht="15.75" customHeight="1">
      <c r="S922" s="239"/>
      <c r="AG922" s="174"/>
    </row>
    <row r="923" ht="15.75" customHeight="1">
      <c r="S923" s="239"/>
      <c r="AG923" s="174"/>
    </row>
    <row r="924" ht="15.75" customHeight="1">
      <c r="S924" s="239"/>
      <c r="AG924" s="174"/>
    </row>
    <row r="925" ht="15.75" customHeight="1">
      <c r="S925" s="239"/>
      <c r="AG925" s="174"/>
    </row>
    <row r="926" ht="15.75" customHeight="1">
      <c r="S926" s="239"/>
      <c r="AG926" s="174"/>
    </row>
    <row r="927" ht="15.75" customHeight="1">
      <c r="S927" s="239"/>
      <c r="AG927" s="174"/>
    </row>
    <row r="928" ht="15.75" customHeight="1">
      <c r="S928" s="239"/>
      <c r="AG928" s="174"/>
    </row>
    <row r="929" ht="15.75" customHeight="1">
      <c r="S929" s="239"/>
      <c r="AG929" s="174"/>
    </row>
    <row r="930" ht="15.75" customHeight="1">
      <c r="S930" s="239"/>
      <c r="AG930" s="174"/>
    </row>
    <row r="931" ht="15.75" customHeight="1">
      <c r="S931" s="239"/>
      <c r="AG931" s="174"/>
    </row>
    <row r="932" ht="15.75" customHeight="1">
      <c r="S932" s="239"/>
      <c r="AG932" s="174"/>
    </row>
    <row r="933" ht="15.75" customHeight="1">
      <c r="S933" s="239"/>
      <c r="AG933" s="174"/>
    </row>
    <row r="934" ht="15.75" customHeight="1">
      <c r="S934" s="239"/>
      <c r="AG934" s="174"/>
    </row>
    <row r="935" ht="15.75" customHeight="1">
      <c r="S935" s="239"/>
      <c r="AG935" s="174"/>
    </row>
    <row r="936" ht="15.75" customHeight="1">
      <c r="S936" s="239"/>
      <c r="AG936" s="174"/>
    </row>
    <row r="937" ht="15.75" customHeight="1">
      <c r="S937" s="239"/>
      <c r="AG937" s="174"/>
    </row>
    <row r="938" ht="15.75" customHeight="1">
      <c r="S938" s="239"/>
      <c r="AG938" s="174"/>
    </row>
    <row r="939" ht="15.75" customHeight="1">
      <c r="S939" s="239"/>
      <c r="AG939" s="174"/>
    </row>
    <row r="940" ht="15.75" customHeight="1">
      <c r="S940" s="239"/>
      <c r="AG940" s="174"/>
    </row>
    <row r="941" ht="15.75" customHeight="1">
      <c r="S941" s="239"/>
      <c r="AG941" s="174"/>
    </row>
    <row r="942" ht="15.75" customHeight="1">
      <c r="S942" s="239"/>
      <c r="AG942" s="174"/>
    </row>
    <row r="943" ht="15.75" customHeight="1">
      <c r="S943" s="239"/>
      <c r="AG943" s="174"/>
    </row>
    <row r="944" ht="15.75" customHeight="1">
      <c r="S944" s="239"/>
      <c r="AG944" s="174"/>
    </row>
    <row r="945" ht="15.75" customHeight="1">
      <c r="S945" s="239"/>
      <c r="AG945" s="174"/>
    </row>
    <row r="946" ht="15.75" customHeight="1">
      <c r="S946" s="239"/>
      <c r="AG946" s="174"/>
    </row>
    <row r="947" ht="15.75" customHeight="1">
      <c r="S947" s="239"/>
      <c r="AG947" s="174"/>
    </row>
    <row r="948" ht="15.75" customHeight="1">
      <c r="S948" s="239"/>
      <c r="AG948" s="174"/>
    </row>
    <row r="949" ht="15.75" customHeight="1">
      <c r="S949" s="239"/>
      <c r="AG949" s="174"/>
    </row>
    <row r="950" ht="15.75" customHeight="1">
      <c r="S950" s="239"/>
      <c r="AG950" s="174"/>
    </row>
    <row r="951" ht="15.75" customHeight="1">
      <c r="S951" s="239"/>
      <c r="AG951" s="174"/>
    </row>
    <row r="952" ht="15.75" customHeight="1">
      <c r="S952" s="239"/>
      <c r="AG952" s="174"/>
    </row>
    <row r="953" ht="15.75" customHeight="1">
      <c r="S953" s="239"/>
      <c r="AG953" s="174"/>
    </row>
    <row r="954" ht="15.75" customHeight="1">
      <c r="S954" s="239"/>
      <c r="AG954" s="174"/>
    </row>
    <row r="955" ht="15.75" customHeight="1">
      <c r="S955" s="239"/>
      <c r="AG955" s="174"/>
    </row>
    <row r="956" ht="15.75" customHeight="1">
      <c r="S956" s="239"/>
      <c r="AG956" s="174"/>
    </row>
    <row r="957" ht="15.75" customHeight="1">
      <c r="S957" s="239"/>
      <c r="AG957" s="174"/>
    </row>
    <row r="958" ht="15.75" customHeight="1">
      <c r="S958" s="239"/>
      <c r="AG958" s="174"/>
    </row>
    <row r="959" ht="15.75" customHeight="1">
      <c r="S959" s="239"/>
      <c r="AG959" s="174"/>
    </row>
    <row r="960" ht="15.75" customHeight="1">
      <c r="S960" s="239"/>
      <c r="AG960" s="174"/>
    </row>
    <row r="961" ht="15.75" customHeight="1">
      <c r="S961" s="239"/>
      <c r="AG961" s="174"/>
    </row>
    <row r="962" ht="15.75" customHeight="1">
      <c r="S962" s="239"/>
      <c r="AG962" s="174"/>
    </row>
    <row r="963" ht="15.75" customHeight="1">
      <c r="S963" s="239"/>
      <c r="AG963" s="174"/>
    </row>
    <row r="964" ht="15.75" customHeight="1">
      <c r="S964" s="239"/>
      <c r="AG964" s="174"/>
    </row>
    <row r="965" ht="15.75" customHeight="1">
      <c r="S965" s="239"/>
      <c r="AG965" s="174"/>
    </row>
    <row r="966" ht="15.75" customHeight="1">
      <c r="S966" s="239"/>
      <c r="AG966" s="174"/>
    </row>
    <row r="967" ht="15.75" customHeight="1">
      <c r="S967" s="239"/>
      <c r="AG967" s="174"/>
    </row>
    <row r="968" ht="15.75" customHeight="1">
      <c r="S968" s="239"/>
      <c r="AG968" s="174"/>
    </row>
    <row r="969" ht="15.75" customHeight="1">
      <c r="S969" s="239"/>
      <c r="AG969" s="174"/>
    </row>
    <row r="970" ht="15.75" customHeight="1">
      <c r="S970" s="239"/>
      <c r="AG970" s="174"/>
    </row>
    <row r="971" ht="15.75" customHeight="1">
      <c r="S971" s="239"/>
      <c r="AG971" s="174"/>
    </row>
    <row r="972" ht="15.75" customHeight="1">
      <c r="S972" s="239"/>
      <c r="AG972" s="174"/>
    </row>
    <row r="973" ht="15.75" customHeight="1">
      <c r="S973" s="239"/>
      <c r="AG973" s="174"/>
    </row>
    <row r="974" ht="15.75" customHeight="1">
      <c r="S974" s="239"/>
      <c r="AG974" s="174"/>
    </row>
    <row r="975" ht="15.75" customHeight="1">
      <c r="S975" s="239"/>
      <c r="AG975" s="174"/>
    </row>
    <row r="976" ht="15.75" customHeight="1">
      <c r="S976" s="239"/>
      <c r="AG976" s="174"/>
    </row>
    <row r="977" ht="15.75" customHeight="1">
      <c r="S977" s="239"/>
      <c r="AG977" s="174"/>
    </row>
    <row r="978" ht="15.75" customHeight="1">
      <c r="S978" s="239"/>
      <c r="AG978" s="174"/>
    </row>
    <row r="979" ht="15.75" customHeight="1">
      <c r="S979" s="239"/>
      <c r="AG979" s="174"/>
    </row>
    <row r="980" ht="15.75" customHeight="1">
      <c r="S980" s="239"/>
      <c r="AG980" s="174"/>
    </row>
    <row r="981" ht="15.75" customHeight="1">
      <c r="S981" s="239"/>
      <c r="AG981" s="174"/>
    </row>
    <row r="982" ht="15.75" customHeight="1">
      <c r="S982" s="239"/>
      <c r="AG982" s="174"/>
    </row>
    <row r="983" ht="15.75" customHeight="1">
      <c r="S983" s="239"/>
      <c r="AG983" s="174"/>
    </row>
    <row r="984" ht="15.75" customHeight="1">
      <c r="S984" s="239"/>
      <c r="AG984" s="174"/>
    </row>
    <row r="985" ht="15.75" customHeight="1">
      <c r="S985" s="239"/>
      <c r="AG985" s="174"/>
    </row>
    <row r="986" ht="15.75" customHeight="1">
      <c r="S986" s="239"/>
      <c r="AG986" s="174"/>
    </row>
    <row r="987" ht="15.75" customHeight="1">
      <c r="S987" s="239"/>
      <c r="AG987" s="174"/>
    </row>
    <row r="988" ht="15.75" customHeight="1">
      <c r="S988" s="239"/>
      <c r="AG988" s="174"/>
    </row>
    <row r="989" ht="15.75" customHeight="1">
      <c r="S989" s="239"/>
      <c r="AG989" s="174"/>
    </row>
    <row r="990" ht="15.75" customHeight="1">
      <c r="S990" s="239"/>
      <c r="AG990" s="174"/>
    </row>
    <row r="991" ht="15.75" customHeight="1">
      <c r="S991" s="239"/>
      <c r="AG991" s="174"/>
    </row>
    <row r="992" ht="15.75" customHeight="1">
      <c r="S992" s="239"/>
      <c r="AG992" s="174"/>
    </row>
    <row r="993" ht="15.75" customHeight="1">
      <c r="S993" s="239"/>
      <c r="AG993" s="174"/>
    </row>
    <row r="994" ht="15.75" customHeight="1">
      <c r="S994" s="239"/>
      <c r="AG994" s="174"/>
    </row>
  </sheetData>
  <dataValidations>
    <dataValidation type="list" allowBlank="1" showErrorMessage="1" sqref="AB2:AF18">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6.1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118.0"/>
  </cols>
  <sheetData>
    <row r="1" ht="15.75" customHeight="1">
      <c r="A1" s="42"/>
      <c r="B1" s="43" t="s">
        <v>61</v>
      </c>
      <c r="C1" s="56" t="s">
        <v>393</v>
      </c>
      <c r="D1" s="56" t="s">
        <v>83</v>
      </c>
      <c r="E1" s="72" t="s">
        <v>63</v>
      </c>
      <c r="F1" s="72" t="s">
        <v>83</v>
      </c>
      <c r="G1" s="72" t="s">
        <v>394</v>
      </c>
      <c r="H1" s="72" t="s">
        <v>83</v>
      </c>
      <c r="I1" s="72" t="s">
        <v>395</v>
      </c>
      <c r="J1" s="72" t="s">
        <v>83</v>
      </c>
      <c r="K1" s="72" t="s">
        <v>440</v>
      </c>
      <c r="L1" s="72" t="s">
        <v>83</v>
      </c>
      <c r="M1" s="72" t="s">
        <v>397</v>
      </c>
      <c r="N1" s="72" t="s">
        <v>83</v>
      </c>
      <c r="O1" s="72" t="s">
        <v>441</v>
      </c>
      <c r="P1" s="72" t="s">
        <v>83</v>
      </c>
      <c r="Q1" s="245" t="s">
        <v>48</v>
      </c>
      <c r="R1" s="245" t="s">
        <v>83</v>
      </c>
      <c r="S1" s="72" t="s">
        <v>399</v>
      </c>
      <c r="T1" s="43" t="s">
        <v>83</v>
      </c>
      <c r="U1" s="43" t="s">
        <v>32</v>
      </c>
      <c r="V1" s="43" t="s">
        <v>83</v>
      </c>
      <c r="W1" s="42"/>
      <c r="X1" s="43" t="s">
        <v>33</v>
      </c>
      <c r="Y1" s="43" t="s">
        <v>73</v>
      </c>
      <c r="Z1" s="43" t="s">
        <v>74</v>
      </c>
      <c r="AA1" s="42" t="s">
        <v>75</v>
      </c>
      <c r="AB1" s="42" t="s">
        <v>76</v>
      </c>
      <c r="AC1" s="42" t="s">
        <v>77</v>
      </c>
      <c r="AD1" s="42" t="s">
        <v>210</v>
      </c>
      <c r="AE1" s="96" t="s">
        <v>79</v>
      </c>
    </row>
    <row r="2" ht="15.75" customHeight="1">
      <c r="A2" s="42">
        <v>1.0</v>
      </c>
      <c r="B2" s="244" t="s">
        <v>492</v>
      </c>
      <c r="C2" s="63">
        <v>50.0</v>
      </c>
      <c r="D2" s="56" t="str">
        <f t="shared" ref="D2:D30" si="1">VLOOKUP(C2,$B$41:$C$49,2)</f>
        <v>D</v>
      </c>
      <c r="E2" s="73">
        <v>58.0</v>
      </c>
      <c r="F2" s="56" t="str">
        <f t="shared" ref="F2:F30" si="2">VLOOKUP(E2,$B$41:$C$49,2)</f>
        <v>D</v>
      </c>
      <c r="G2" s="73">
        <v>64.0</v>
      </c>
      <c r="H2" s="56" t="str">
        <f t="shared" ref="H2:H30" si="3">VLOOKUP(G2,$B$41:$C$49,2)</f>
        <v>C</v>
      </c>
      <c r="I2" s="73">
        <v>85.0</v>
      </c>
      <c r="J2" s="56" t="str">
        <f t="shared" ref="J2:J30" si="4">VLOOKUP(I2,$B$41:$C$49,2)</f>
        <v>A</v>
      </c>
      <c r="K2" s="72"/>
      <c r="L2" s="56" t="str">
        <f t="shared" ref="L2:L30" si="5">VLOOKUP(K2,$B$41:$C$49,2)</f>
        <v>U</v>
      </c>
      <c r="M2" s="72"/>
      <c r="N2" s="56" t="str">
        <f t="shared" ref="N2:N30" si="6">VLOOKUP(M2,$B$41:$C$49,2)</f>
        <v>U</v>
      </c>
      <c r="O2" s="72"/>
      <c r="P2" s="56" t="str">
        <f t="shared" ref="P2:P30" si="7">VLOOKUP(O2,$B$41:$C$49,2)</f>
        <v>U</v>
      </c>
      <c r="Q2" s="73">
        <v>62.0</v>
      </c>
      <c r="R2" s="56" t="str">
        <f t="shared" ref="R2:R30" si="8">VLOOKUP(Q2,$B$41:$C$49,2)</f>
        <v>C</v>
      </c>
      <c r="S2" s="73">
        <v>68.0</v>
      </c>
      <c r="T2" s="56" t="str">
        <f t="shared" ref="T2:T30" si="9">VLOOKUP(S2,$B$41:$C$49,2)</f>
        <v>C</v>
      </c>
      <c r="U2" s="241"/>
      <c r="V2" s="56" t="str">
        <f t="shared" ref="V2:V30" si="10">VLOOKUP(U2,$B$41:$C$49,2)</f>
        <v>U</v>
      </c>
      <c r="W2" s="72"/>
      <c r="X2" s="233">
        <f t="shared" ref="X2:X30" si="11">AVERAGE(C2,E2,G2,I2,K2,M2,O2,Q2,S2,U2)</f>
        <v>64.5</v>
      </c>
      <c r="Y2" s="72" t="str">
        <f t="shared" ref="Y2:Y30" si="12">RANK(X2,$X$2:$X$30)</f>
        <v>#DIV/0!</v>
      </c>
      <c r="Z2" s="134" t="s">
        <v>85</v>
      </c>
      <c r="AA2" s="134" t="s">
        <v>85</v>
      </c>
      <c r="AB2" s="134" t="s">
        <v>90</v>
      </c>
      <c r="AC2" s="134" t="s">
        <v>85</v>
      </c>
      <c r="AD2" s="134" t="s">
        <v>85</v>
      </c>
      <c r="AE2" s="83" t="s">
        <v>493</v>
      </c>
    </row>
    <row r="3" ht="15.75" customHeight="1">
      <c r="A3" s="42">
        <v>2.0</v>
      </c>
      <c r="B3" s="176" t="s">
        <v>494</v>
      </c>
      <c r="C3" s="63">
        <v>56.0</v>
      </c>
      <c r="D3" s="56" t="str">
        <f t="shared" si="1"/>
        <v>D</v>
      </c>
      <c r="E3" s="73">
        <v>62.0</v>
      </c>
      <c r="F3" s="56" t="str">
        <f t="shared" si="2"/>
        <v>C</v>
      </c>
      <c r="G3" s="72"/>
      <c r="H3" s="56" t="str">
        <f t="shared" si="3"/>
        <v>U</v>
      </c>
      <c r="I3" s="73">
        <v>50.0</v>
      </c>
      <c r="J3" s="56" t="str">
        <f t="shared" si="4"/>
        <v>D</v>
      </c>
      <c r="K3" s="72"/>
      <c r="L3" s="56" t="str">
        <f t="shared" si="5"/>
        <v>U</v>
      </c>
      <c r="M3" s="73">
        <v>36.0</v>
      </c>
      <c r="N3" s="56" t="str">
        <f t="shared" si="6"/>
        <v>F</v>
      </c>
      <c r="O3" s="72"/>
      <c r="P3" s="56" t="str">
        <f t="shared" si="7"/>
        <v>U</v>
      </c>
      <c r="Q3" s="73">
        <v>24.0</v>
      </c>
      <c r="R3" s="56" t="str">
        <f t="shared" si="8"/>
        <v>G</v>
      </c>
      <c r="S3" s="207">
        <v>78.0</v>
      </c>
      <c r="T3" s="56" t="str">
        <f t="shared" si="9"/>
        <v>B</v>
      </c>
      <c r="U3" s="42"/>
      <c r="V3" s="56" t="str">
        <f t="shared" si="10"/>
        <v>U</v>
      </c>
      <c r="W3" s="42"/>
      <c r="X3" s="233">
        <f t="shared" si="11"/>
        <v>51</v>
      </c>
      <c r="Y3" s="72" t="str">
        <f t="shared" si="12"/>
        <v>#DIV/0!</v>
      </c>
      <c r="Z3" s="134" t="s">
        <v>87</v>
      </c>
      <c r="AA3" s="134" t="s">
        <v>85</v>
      </c>
      <c r="AB3" s="134" t="s">
        <v>90</v>
      </c>
      <c r="AC3" s="134" t="s">
        <v>87</v>
      </c>
      <c r="AD3" s="134" t="s">
        <v>85</v>
      </c>
      <c r="AE3" s="83" t="s">
        <v>495</v>
      </c>
    </row>
    <row r="4" ht="15.75" customHeight="1">
      <c r="A4" s="42">
        <v>3.0</v>
      </c>
      <c r="B4" s="134" t="s">
        <v>496</v>
      </c>
      <c r="C4" s="63">
        <v>48.0</v>
      </c>
      <c r="D4" s="56" t="str">
        <f t="shared" si="1"/>
        <v>E</v>
      </c>
      <c r="E4" s="73">
        <v>72.0</v>
      </c>
      <c r="F4" s="56" t="str">
        <f t="shared" si="2"/>
        <v>B</v>
      </c>
      <c r="G4" s="73">
        <v>71.0</v>
      </c>
      <c r="H4" s="56" t="str">
        <f t="shared" si="3"/>
        <v>B</v>
      </c>
      <c r="I4" s="73">
        <v>70.0</v>
      </c>
      <c r="J4" s="56" t="str">
        <f t="shared" si="4"/>
        <v>B</v>
      </c>
      <c r="K4" s="72"/>
      <c r="L4" s="56" t="str">
        <f t="shared" si="5"/>
        <v>U</v>
      </c>
      <c r="M4" s="72"/>
      <c r="N4" s="56" t="str">
        <f t="shared" si="6"/>
        <v>U</v>
      </c>
      <c r="O4" s="72"/>
      <c r="P4" s="56" t="str">
        <f t="shared" si="7"/>
        <v>U</v>
      </c>
      <c r="Q4" s="72"/>
      <c r="R4" s="56" t="str">
        <f t="shared" si="8"/>
        <v>U</v>
      </c>
      <c r="S4" s="207">
        <v>69.0</v>
      </c>
      <c r="T4" s="56" t="str">
        <f t="shared" si="9"/>
        <v>C</v>
      </c>
      <c r="U4" s="121">
        <v>75.0</v>
      </c>
      <c r="V4" s="56" t="str">
        <f t="shared" si="10"/>
        <v>B</v>
      </c>
      <c r="W4" s="42"/>
      <c r="X4" s="233">
        <f t="shared" si="11"/>
        <v>67.5</v>
      </c>
      <c r="Y4" s="72" t="str">
        <f t="shared" si="12"/>
        <v>#DIV/0!</v>
      </c>
      <c r="Z4" s="134" t="s">
        <v>85</v>
      </c>
      <c r="AA4" s="134" t="s">
        <v>87</v>
      </c>
      <c r="AB4" s="134" t="s">
        <v>87</v>
      </c>
      <c r="AC4" s="134" t="s">
        <v>87</v>
      </c>
      <c r="AD4" s="134" t="s">
        <v>87</v>
      </c>
      <c r="AE4" s="83" t="s">
        <v>497</v>
      </c>
    </row>
    <row r="5" ht="15.75" customHeight="1">
      <c r="A5" s="42">
        <v>4.0</v>
      </c>
      <c r="B5" s="176" t="s">
        <v>498</v>
      </c>
      <c r="C5" s="63">
        <v>58.0</v>
      </c>
      <c r="D5" s="56" t="str">
        <f t="shared" si="1"/>
        <v>D</v>
      </c>
      <c r="E5" s="73">
        <v>59.0</v>
      </c>
      <c r="F5" s="56" t="str">
        <f t="shared" si="2"/>
        <v>D</v>
      </c>
      <c r="G5" s="73">
        <v>74.0</v>
      </c>
      <c r="H5" s="56" t="str">
        <f t="shared" si="3"/>
        <v>B</v>
      </c>
      <c r="I5" s="73">
        <v>81.0</v>
      </c>
      <c r="J5" s="56" t="str">
        <f t="shared" si="4"/>
        <v>A</v>
      </c>
      <c r="K5" s="73">
        <v>73.0</v>
      </c>
      <c r="L5" s="56" t="str">
        <f t="shared" si="5"/>
        <v>B</v>
      </c>
      <c r="M5" s="72"/>
      <c r="N5" s="56" t="str">
        <f t="shared" si="6"/>
        <v>U</v>
      </c>
      <c r="O5" s="72"/>
      <c r="P5" s="56" t="str">
        <f t="shared" si="7"/>
        <v>U</v>
      </c>
      <c r="Q5" s="73">
        <v>65.0</v>
      </c>
      <c r="R5" s="56" t="str">
        <f t="shared" si="8"/>
        <v>C</v>
      </c>
      <c r="S5" s="72"/>
      <c r="T5" s="56" t="str">
        <f t="shared" si="9"/>
        <v>U</v>
      </c>
      <c r="U5" s="42"/>
      <c r="V5" s="56" t="str">
        <f t="shared" si="10"/>
        <v>U</v>
      </c>
      <c r="W5" s="42"/>
      <c r="X5" s="233">
        <f t="shared" si="11"/>
        <v>68.33333333</v>
      </c>
      <c r="Y5" s="72" t="str">
        <f t="shared" si="12"/>
        <v>#DIV/0!</v>
      </c>
      <c r="Z5" s="134" t="s">
        <v>85</v>
      </c>
      <c r="AA5" s="134" t="s">
        <v>87</v>
      </c>
      <c r="AB5" s="134" t="s">
        <v>87</v>
      </c>
      <c r="AC5" s="134" t="s">
        <v>87</v>
      </c>
      <c r="AD5" s="134" t="s">
        <v>87</v>
      </c>
      <c r="AE5" s="83" t="s">
        <v>499</v>
      </c>
    </row>
    <row r="6" ht="15.75" customHeight="1">
      <c r="A6" s="42">
        <v>5.0</v>
      </c>
      <c r="B6" s="176" t="s">
        <v>500</v>
      </c>
      <c r="C6" s="63">
        <v>56.0</v>
      </c>
      <c r="D6" s="56" t="str">
        <f t="shared" si="1"/>
        <v>D</v>
      </c>
      <c r="E6" s="73">
        <v>28.0</v>
      </c>
      <c r="F6" s="56" t="str">
        <f t="shared" si="2"/>
        <v>G</v>
      </c>
      <c r="G6" s="72"/>
      <c r="H6" s="56" t="str">
        <f t="shared" si="3"/>
        <v>U</v>
      </c>
      <c r="I6" s="72"/>
      <c r="J6" s="56" t="str">
        <f t="shared" si="4"/>
        <v>U</v>
      </c>
      <c r="K6" s="73">
        <v>42.0</v>
      </c>
      <c r="L6" s="56" t="str">
        <f t="shared" si="5"/>
        <v>E</v>
      </c>
      <c r="M6" s="73">
        <v>36.0</v>
      </c>
      <c r="N6" s="56" t="str">
        <f t="shared" si="6"/>
        <v>F</v>
      </c>
      <c r="O6" s="72"/>
      <c r="P6" s="56" t="str">
        <f t="shared" si="7"/>
        <v>U</v>
      </c>
      <c r="Q6" s="73">
        <v>41.0</v>
      </c>
      <c r="R6" s="56" t="str">
        <f t="shared" si="8"/>
        <v>E</v>
      </c>
      <c r="S6" s="236"/>
      <c r="T6" s="56" t="str">
        <f t="shared" si="9"/>
        <v>U</v>
      </c>
      <c r="U6" s="42"/>
      <c r="V6" s="56" t="str">
        <f t="shared" si="10"/>
        <v>U</v>
      </c>
      <c r="W6" s="42"/>
      <c r="X6" s="233">
        <f t="shared" si="11"/>
        <v>40.6</v>
      </c>
      <c r="Y6" s="72" t="str">
        <f t="shared" si="12"/>
        <v>#DIV/0!</v>
      </c>
      <c r="Z6" s="134" t="s">
        <v>87</v>
      </c>
      <c r="AA6" s="134" t="s">
        <v>85</v>
      </c>
      <c r="AB6" s="134" t="s">
        <v>93</v>
      </c>
      <c r="AC6" s="134" t="s">
        <v>85</v>
      </c>
      <c r="AD6" s="134" t="s">
        <v>86</v>
      </c>
      <c r="AE6" s="246" t="s">
        <v>501</v>
      </c>
    </row>
    <row r="7" ht="15.75" customHeight="1">
      <c r="A7" s="42">
        <v>6.0</v>
      </c>
      <c r="B7" s="176" t="s">
        <v>502</v>
      </c>
      <c r="C7" s="63">
        <v>34.0</v>
      </c>
      <c r="D7" s="56" t="str">
        <f t="shared" si="1"/>
        <v>F</v>
      </c>
      <c r="E7" s="73">
        <v>38.0</v>
      </c>
      <c r="F7" s="56" t="str">
        <f t="shared" si="2"/>
        <v>F</v>
      </c>
      <c r="G7" s="73">
        <v>50.0</v>
      </c>
      <c r="H7" s="56" t="str">
        <f t="shared" si="3"/>
        <v>D</v>
      </c>
      <c r="I7" s="73">
        <v>61.0</v>
      </c>
      <c r="J7" s="56" t="str">
        <f t="shared" si="4"/>
        <v>C</v>
      </c>
      <c r="K7" s="72"/>
      <c r="L7" s="56" t="str">
        <f t="shared" si="5"/>
        <v>U</v>
      </c>
      <c r="M7" s="72"/>
      <c r="N7" s="56" t="str">
        <f t="shared" si="6"/>
        <v>U</v>
      </c>
      <c r="O7" s="72"/>
      <c r="P7" s="56" t="str">
        <f t="shared" si="7"/>
        <v>U</v>
      </c>
      <c r="Q7" s="72"/>
      <c r="R7" s="56" t="str">
        <f t="shared" si="8"/>
        <v>U</v>
      </c>
      <c r="S7" s="73">
        <v>57.0</v>
      </c>
      <c r="T7" s="56" t="str">
        <f t="shared" si="9"/>
        <v>D</v>
      </c>
      <c r="U7" s="121">
        <v>41.0</v>
      </c>
      <c r="V7" s="56" t="str">
        <f t="shared" si="10"/>
        <v>E</v>
      </c>
      <c r="W7" s="42"/>
      <c r="X7" s="233">
        <f t="shared" si="11"/>
        <v>46.83333333</v>
      </c>
      <c r="Y7" s="72" t="str">
        <f t="shared" si="12"/>
        <v>#DIV/0!</v>
      </c>
      <c r="Z7" s="134" t="s">
        <v>90</v>
      </c>
      <c r="AA7" s="134" t="s">
        <v>85</v>
      </c>
      <c r="AB7" s="134" t="s">
        <v>90</v>
      </c>
      <c r="AC7" s="134" t="s">
        <v>85</v>
      </c>
      <c r="AD7" s="134" t="s">
        <v>86</v>
      </c>
      <c r="AE7" s="83" t="s">
        <v>503</v>
      </c>
    </row>
    <row r="8" ht="15.75" customHeight="1">
      <c r="A8" s="42">
        <v>7.0</v>
      </c>
      <c r="B8" s="176" t="s">
        <v>504</v>
      </c>
      <c r="C8" s="63">
        <v>31.0</v>
      </c>
      <c r="D8" s="56" t="str">
        <f t="shared" si="1"/>
        <v>F</v>
      </c>
      <c r="E8" s="73">
        <v>28.0</v>
      </c>
      <c r="F8" s="56" t="str">
        <f t="shared" si="2"/>
        <v>G</v>
      </c>
      <c r="G8" s="73">
        <v>41.0</v>
      </c>
      <c r="H8" s="56" t="str">
        <f t="shared" si="3"/>
        <v>E</v>
      </c>
      <c r="I8" s="73">
        <v>35.0</v>
      </c>
      <c r="J8" s="56" t="str">
        <f t="shared" si="4"/>
        <v>F</v>
      </c>
      <c r="K8" s="72"/>
      <c r="L8" s="56" t="str">
        <f t="shared" si="5"/>
        <v>U</v>
      </c>
      <c r="M8" s="72"/>
      <c r="N8" s="56" t="str">
        <f t="shared" si="6"/>
        <v>U</v>
      </c>
      <c r="O8" s="72"/>
      <c r="P8" s="56" t="str">
        <f t="shared" si="7"/>
        <v>U</v>
      </c>
      <c r="Q8" s="73">
        <v>53.0</v>
      </c>
      <c r="R8" s="56" t="str">
        <f t="shared" si="8"/>
        <v>D</v>
      </c>
      <c r="S8" s="73">
        <v>32.0</v>
      </c>
      <c r="T8" s="56" t="str">
        <f t="shared" si="9"/>
        <v>F</v>
      </c>
      <c r="U8" s="42"/>
      <c r="V8" s="56" t="str">
        <f t="shared" si="10"/>
        <v>U</v>
      </c>
      <c r="W8" s="42"/>
      <c r="X8" s="233">
        <f t="shared" si="11"/>
        <v>36.66666667</v>
      </c>
      <c r="Y8" s="72" t="str">
        <f t="shared" si="12"/>
        <v>#DIV/0!</v>
      </c>
      <c r="Z8" s="134" t="s">
        <v>90</v>
      </c>
      <c r="AA8" s="134" t="s">
        <v>85</v>
      </c>
      <c r="AB8" s="134" t="s">
        <v>90</v>
      </c>
      <c r="AC8" s="134" t="s">
        <v>87</v>
      </c>
      <c r="AD8" s="134" t="s">
        <v>87</v>
      </c>
      <c r="AE8" s="83" t="s">
        <v>505</v>
      </c>
    </row>
    <row r="9" ht="15.75" customHeight="1">
      <c r="A9" s="42">
        <v>8.0</v>
      </c>
      <c r="B9" s="176" t="s">
        <v>506</v>
      </c>
      <c r="C9" s="63">
        <v>30.0</v>
      </c>
      <c r="D9" s="56" t="str">
        <f t="shared" si="1"/>
        <v>F</v>
      </c>
      <c r="E9" s="73">
        <v>30.0</v>
      </c>
      <c r="F9" s="56" t="str">
        <f t="shared" si="2"/>
        <v>F</v>
      </c>
      <c r="G9" s="73">
        <v>44.0</v>
      </c>
      <c r="H9" s="56" t="str">
        <f t="shared" si="3"/>
        <v>E</v>
      </c>
      <c r="I9" s="73">
        <v>50.0</v>
      </c>
      <c r="J9" s="56" t="str">
        <f t="shared" si="4"/>
        <v>D</v>
      </c>
      <c r="K9" s="72"/>
      <c r="L9" s="56" t="str">
        <f t="shared" si="5"/>
        <v>U</v>
      </c>
      <c r="M9" s="72"/>
      <c r="N9" s="56" t="str">
        <f t="shared" si="6"/>
        <v>U</v>
      </c>
      <c r="O9" s="72"/>
      <c r="P9" s="56" t="str">
        <f t="shared" si="7"/>
        <v>U</v>
      </c>
      <c r="Q9" s="72"/>
      <c r="R9" s="56" t="str">
        <f t="shared" si="8"/>
        <v>U</v>
      </c>
      <c r="S9" s="236"/>
      <c r="T9" s="56" t="str">
        <f t="shared" si="9"/>
        <v>U</v>
      </c>
      <c r="U9" s="121">
        <v>58.0</v>
      </c>
      <c r="V9" s="56" t="str">
        <f t="shared" si="10"/>
        <v>D</v>
      </c>
      <c r="W9" s="42"/>
      <c r="X9" s="233">
        <f t="shared" si="11"/>
        <v>42.4</v>
      </c>
      <c r="Y9" s="72" t="str">
        <f t="shared" si="12"/>
        <v>#DIV/0!</v>
      </c>
      <c r="Z9" s="134" t="s">
        <v>87</v>
      </c>
      <c r="AA9" s="134" t="s">
        <v>87</v>
      </c>
      <c r="AB9" s="134" t="s">
        <v>87</v>
      </c>
      <c r="AC9" s="134" t="s">
        <v>87</v>
      </c>
      <c r="AD9" s="134" t="s">
        <v>87</v>
      </c>
      <c r="AE9" s="83" t="s">
        <v>507</v>
      </c>
    </row>
    <row r="10" ht="48.75" customHeight="1">
      <c r="A10" s="42">
        <v>9.0</v>
      </c>
      <c r="B10" s="176" t="s">
        <v>508</v>
      </c>
      <c r="C10" s="63">
        <v>47.0</v>
      </c>
      <c r="D10" s="56" t="str">
        <f t="shared" si="1"/>
        <v>E</v>
      </c>
      <c r="E10" s="73">
        <v>59.0</v>
      </c>
      <c r="F10" s="56" t="str">
        <f t="shared" si="2"/>
        <v>D</v>
      </c>
      <c r="G10" s="73">
        <v>65.0</v>
      </c>
      <c r="H10" s="56" t="str">
        <f t="shared" si="3"/>
        <v>C</v>
      </c>
      <c r="I10" s="73">
        <v>60.0</v>
      </c>
      <c r="J10" s="56" t="str">
        <f t="shared" si="4"/>
        <v>C</v>
      </c>
      <c r="K10" s="72"/>
      <c r="L10" s="56" t="str">
        <f t="shared" si="5"/>
        <v>U</v>
      </c>
      <c r="M10" s="72"/>
      <c r="N10" s="56" t="str">
        <f t="shared" si="6"/>
        <v>U</v>
      </c>
      <c r="O10" s="72"/>
      <c r="P10" s="56" t="str">
        <f t="shared" si="7"/>
        <v>U</v>
      </c>
      <c r="Q10" s="72"/>
      <c r="R10" s="56" t="str">
        <f t="shared" si="8"/>
        <v>U</v>
      </c>
      <c r="S10" s="207">
        <v>72.0</v>
      </c>
      <c r="T10" s="56" t="str">
        <f t="shared" si="9"/>
        <v>B</v>
      </c>
      <c r="U10" s="121">
        <v>79.0</v>
      </c>
      <c r="V10" s="56" t="str">
        <f t="shared" si="10"/>
        <v>B</v>
      </c>
      <c r="W10" s="42"/>
      <c r="X10" s="233">
        <f t="shared" si="11"/>
        <v>63.66666667</v>
      </c>
      <c r="Y10" s="72" t="str">
        <f t="shared" si="12"/>
        <v>#DIV/0!</v>
      </c>
      <c r="Z10" s="134" t="s">
        <v>87</v>
      </c>
      <c r="AA10" s="134" t="s">
        <v>86</v>
      </c>
      <c r="AB10" s="134" t="s">
        <v>87</v>
      </c>
      <c r="AC10" s="134" t="s">
        <v>86</v>
      </c>
      <c r="AD10" s="134" t="s">
        <v>85</v>
      </c>
      <c r="AE10" s="235" t="s">
        <v>509</v>
      </c>
    </row>
    <row r="11" ht="36.0" customHeight="1">
      <c r="A11" s="42">
        <v>10.0</v>
      </c>
      <c r="B11" s="176" t="s">
        <v>510</v>
      </c>
      <c r="C11" s="63">
        <v>39.0</v>
      </c>
      <c r="D11" s="56" t="str">
        <f t="shared" si="1"/>
        <v>F</v>
      </c>
      <c r="E11" s="73">
        <v>36.0</v>
      </c>
      <c r="F11" s="56" t="str">
        <f t="shared" si="2"/>
        <v>F</v>
      </c>
      <c r="G11" s="73">
        <v>39.0</v>
      </c>
      <c r="H11" s="56" t="str">
        <f t="shared" si="3"/>
        <v>F</v>
      </c>
      <c r="I11" s="73">
        <v>50.0</v>
      </c>
      <c r="J11" s="56" t="str">
        <f t="shared" si="4"/>
        <v>D</v>
      </c>
      <c r="K11" s="72"/>
      <c r="L11" s="56" t="str">
        <f t="shared" si="5"/>
        <v>U</v>
      </c>
      <c r="M11" s="72"/>
      <c r="N11" s="56" t="str">
        <f t="shared" si="6"/>
        <v>U</v>
      </c>
      <c r="O11" s="72"/>
      <c r="P11" s="56" t="str">
        <f t="shared" si="7"/>
        <v>U</v>
      </c>
      <c r="Q11" s="72"/>
      <c r="R11" s="56" t="str">
        <f t="shared" si="8"/>
        <v>U</v>
      </c>
      <c r="S11" s="236"/>
      <c r="T11" s="56" t="str">
        <f t="shared" si="9"/>
        <v>U</v>
      </c>
      <c r="U11" s="121">
        <v>36.0</v>
      </c>
      <c r="V11" s="56" t="str">
        <f t="shared" si="10"/>
        <v>F</v>
      </c>
      <c r="W11" s="42"/>
      <c r="X11" s="233">
        <f t="shared" si="11"/>
        <v>40</v>
      </c>
      <c r="Y11" s="72" t="str">
        <f t="shared" si="12"/>
        <v>#DIV/0!</v>
      </c>
      <c r="Z11" s="134" t="s">
        <v>87</v>
      </c>
      <c r="AA11" s="134" t="s">
        <v>85</v>
      </c>
      <c r="AB11" s="134" t="s">
        <v>90</v>
      </c>
      <c r="AC11" s="134" t="s">
        <v>85</v>
      </c>
      <c r="AD11" s="134" t="s">
        <v>86</v>
      </c>
      <c r="AE11" s="235" t="s">
        <v>511</v>
      </c>
    </row>
    <row r="12" ht="49.5" customHeight="1">
      <c r="A12" s="42">
        <v>11.0</v>
      </c>
      <c r="B12" s="176" t="s">
        <v>512</v>
      </c>
      <c r="C12" s="63">
        <v>39.0</v>
      </c>
      <c r="D12" s="56" t="str">
        <f t="shared" si="1"/>
        <v>F</v>
      </c>
      <c r="E12" s="73">
        <v>80.0</v>
      </c>
      <c r="F12" s="56" t="str">
        <f t="shared" si="2"/>
        <v>A</v>
      </c>
      <c r="G12" s="73">
        <v>66.0</v>
      </c>
      <c r="H12" s="56" t="str">
        <f t="shared" si="3"/>
        <v>C</v>
      </c>
      <c r="I12" s="73">
        <v>87.0</v>
      </c>
      <c r="J12" s="56" t="str">
        <f t="shared" si="4"/>
        <v>A</v>
      </c>
      <c r="K12" s="73"/>
      <c r="L12" s="56" t="str">
        <f t="shared" si="5"/>
        <v>U</v>
      </c>
      <c r="M12" s="72"/>
      <c r="N12" s="56" t="str">
        <f t="shared" si="6"/>
        <v>U</v>
      </c>
      <c r="O12" s="72"/>
      <c r="P12" s="56" t="str">
        <f t="shared" si="7"/>
        <v>U</v>
      </c>
      <c r="Q12" s="73">
        <v>66.0</v>
      </c>
      <c r="R12" s="56" t="str">
        <f t="shared" si="8"/>
        <v>C</v>
      </c>
      <c r="S12" s="207">
        <v>71.0</v>
      </c>
      <c r="T12" s="56" t="str">
        <f t="shared" si="9"/>
        <v>B</v>
      </c>
      <c r="U12" s="43"/>
      <c r="V12" s="56" t="str">
        <f t="shared" si="10"/>
        <v>U</v>
      </c>
      <c r="W12" s="42"/>
      <c r="X12" s="233">
        <f t="shared" si="11"/>
        <v>68.16666667</v>
      </c>
      <c r="Y12" s="72" t="str">
        <f t="shared" si="12"/>
        <v>#DIV/0!</v>
      </c>
      <c r="Z12" s="134" t="s">
        <v>87</v>
      </c>
      <c r="AA12" s="134" t="s">
        <v>86</v>
      </c>
      <c r="AB12" s="134" t="s">
        <v>87</v>
      </c>
      <c r="AC12" s="134" t="s">
        <v>86</v>
      </c>
      <c r="AD12" s="134" t="s">
        <v>86</v>
      </c>
      <c r="AE12" s="83" t="s">
        <v>513</v>
      </c>
    </row>
    <row r="13" ht="35.25" customHeight="1">
      <c r="A13" s="42">
        <v>12.0</v>
      </c>
      <c r="B13" s="176" t="s">
        <v>514</v>
      </c>
      <c r="C13" s="63">
        <v>59.0</v>
      </c>
      <c r="D13" s="56" t="str">
        <f t="shared" si="1"/>
        <v>D</v>
      </c>
      <c r="E13" s="73">
        <v>50.0</v>
      </c>
      <c r="F13" s="56" t="str">
        <f t="shared" si="2"/>
        <v>D</v>
      </c>
      <c r="G13" s="73">
        <v>50.0</v>
      </c>
      <c r="H13" s="56" t="str">
        <f t="shared" si="3"/>
        <v>D</v>
      </c>
      <c r="I13" s="73">
        <v>74.0</v>
      </c>
      <c r="J13" s="56" t="str">
        <f t="shared" si="4"/>
        <v>B</v>
      </c>
      <c r="K13" s="73"/>
      <c r="L13" s="56" t="str">
        <f t="shared" si="5"/>
        <v>U</v>
      </c>
      <c r="M13" s="72"/>
      <c r="N13" s="56" t="str">
        <f t="shared" si="6"/>
        <v>U</v>
      </c>
      <c r="O13" s="72"/>
      <c r="P13" s="56" t="str">
        <f t="shared" si="7"/>
        <v>U</v>
      </c>
      <c r="Q13" s="72"/>
      <c r="R13" s="56" t="str">
        <f t="shared" si="8"/>
        <v>U</v>
      </c>
      <c r="S13" s="207">
        <v>55.0</v>
      </c>
      <c r="T13" s="56" t="str">
        <f t="shared" si="9"/>
        <v>D</v>
      </c>
      <c r="U13" s="43"/>
      <c r="V13" s="56" t="str">
        <f t="shared" si="10"/>
        <v>U</v>
      </c>
      <c r="W13" s="42"/>
      <c r="X13" s="233">
        <f t="shared" si="11"/>
        <v>57.6</v>
      </c>
      <c r="Y13" s="72" t="str">
        <f t="shared" si="12"/>
        <v>#DIV/0!</v>
      </c>
      <c r="Z13" s="134" t="s">
        <v>85</v>
      </c>
      <c r="AA13" s="134" t="s">
        <v>86</v>
      </c>
      <c r="AB13" s="134" t="s">
        <v>90</v>
      </c>
      <c r="AC13" s="134" t="s">
        <v>86</v>
      </c>
      <c r="AD13" s="134" t="s">
        <v>86</v>
      </c>
      <c r="AE13" s="83" t="s">
        <v>515</v>
      </c>
    </row>
    <row r="14" ht="62.25" customHeight="1">
      <c r="A14" s="42">
        <v>13.0</v>
      </c>
      <c r="B14" s="176" t="s">
        <v>516</v>
      </c>
      <c r="C14" s="63">
        <v>49.0</v>
      </c>
      <c r="D14" s="56" t="str">
        <f t="shared" si="1"/>
        <v>E</v>
      </c>
      <c r="E14" s="73">
        <v>62.0</v>
      </c>
      <c r="F14" s="56" t="str">
        <f t="shared" si="2"/>
        <v>C</v>
      </c>
      <c r="G14" s="73">
        <v>58.0</v>
      </c>
      <c r="H14" s="56" t="str">
        <f t="shared" si="3"/>
        <v>D</v>
      </c>
      <c r="I14" s="66">
        <v>55.0</v>
      </c>
      <c r="J14" s="56" t="str">
        <f t="shared" si="4"/>
        <v>D</v>
      </c>
      <c r="K14" s="73"/>
      <c r="L14" s="56" t="str">
        <f t="shared" si="5"/>
        <v>U</v>
      </c>
      <c r="M14" s="72"/>
      <c r="N14" s="56" t="str">
        <f t="shared" si="6"/>
        <v>U</v>
      </c>
      <c r="O14" s="72"/>
      <c r="P14" s="56" t="str">
        <f t="shared" si="7"/>
        <v>U</v>
      </c>
      <c r="Q14" s="72"/>
      <c r="R14" s="56" t="str">
        <f t="shared" si="8"/>
        <v>U</v>
      </c>
      <c r="S14" s="73">
        <v>53.0</v>
      </c>
      <c r="T14" s="56" t="str">
        <f t="shared" si="9"/>
        <v>D</v>
      </c>
      <c r="U14" s="121">
        <v>80.0</v>
      </c>
      <c r="V14" s="56" t="str">
        <f t="shared" si="10"/>
        <v>A</v>
      </c>
      <c r="W14" s="42"/>
      <c r="X14" s="233">
        <f t="shared" si="11"/>
        <v>59.5</v>
      </c>
      <c r="Y14" s="72" t="str">
        <f t="shared" si="12"/>
        <v>#DIV/0!</v>
      </c>
      <c r="Z14" s="134" t="s">
        <v>87</v>
      </c>
      <c r="AA14" s="134" t="s">
        <v>85</v>
      </c>
      <c r="AB14" s="134" t="s">
        <v>90</v>
      </c>
      <c r="AC14" s="134" t="s">
        <v>86</v>
      </c>
      <c r="AD14" s="134" t="s">
        <v>85</v>
      </c>
      <c r="AE14" s="83" t="s">
        <v>517</v>
      </c>
    </row>
    <row r="15" ht="60.0" customHeight="1">
      <c r="A15" s="42">
        <v>14.0</v>
      </c>
      <c r="B15" s="176" t="s">
        <v>518</v>
      </c>
      <c r="C15" s="88"/>
      <c r="D15" s="56" t="str">
        <f t="shared" si="1"/>
        <v>U</v>
      </c>
      <c r="E15" s="73">
        <v>68.0</v>
      </c>
      <c r="F15" s="56" t="str">
        <f t="shared" si="2"/>
        <v>C</v>
      </c>
      <c r="G15" s="73">
        <v>80.0</v>
      </c>
      <c r="H15" s="56" t="str">
        <f t="shared" si="3"/>
        <v>A</v>
      </c>
      <c r="I15" s="73">
        <v>73.0</v>
      </c>
      <c r="J15" s="56" t="str">
        <f t="shared" si="4"/>
        <v>B</v>
      </c>
      <c r="K15" s="73"/>
      <c r="L15" s="56" t="str">
        <f t="shared" si="5"/>
        <v>U</v>
      </c>
      <c r="M15" s="72"/>
      <c r="N15" s="56" t="str">
        <f t="shared" si="6"/>
        <v>U</v>
      </c>
      <c r="O15" s="72"/>
      <c r="P15" s="56" t="str">
        <f t="shared" si="7"/>
        <v>U</v>
      </c>
      <c r="Q15" s="72"/>
      <c r="R15" s="56" t="str">
        <f t="shared" si="8"/>
        <v>U</v>
      </c>
      <c r="S15" s="207">
        <v>55.0</v>
      </c>
      <c r="T15" s="56" t="str">
        <f t="shared" si="9"/>
        <v>D</v>
      </c>
      <c r="U15" s="121">
        <v>85.0</v>
      </c>
      <c r="V15" s="56" t="str">
        <f t="shared" si="10"/>
        <v>A</v>
      </c>
      <c r="W15" s="42"/>
      <c r="X15" s="233">
        <f t="shared" si="11"/>
        <v>72.2</v>
      </c>
      <c r="Y15" s="72" t="str">
        <f t="shared" si="12"/>
        <v>#DIV/0!</v>
      </c>
      <c r="Z15" s="134" t="s">
        <v>85</v>
      </c>
      <c r="AA15" s="134" t="s">
        <v>86</v>
      </c>
      <c r="AB15" s="134" t="s">
        <v>87</v>
      </c>
      <c r="AC15" s="134" t="s">
        <v>86</v>
      </c>
      <c r="AD15" s="134" t="s">
        <v>86</v>
      </c>
      <c r="AE15" s="83" t="s">
        <v>519</v>
      </c>
    </row>
    <row r="16" ht="55.5" customHeight="1">
      <c r="A16" s="42">
        <v>15.0</v>
      </c>
      <c r="B16" s="176" t="s">
        <v>520</v>
      </c>
      <c r="C16" s="88"/>
      <c r="D16" s="56" t="str">
        <f t="shared" si="1"/>
        <v>U</v>
      </c>
      <c r="E16" s="73">
        <v>38.0</v>
      </c>
      <c r="F16" s="56" t="str">
        <f t="shared" si="2"/>
        <v>F</v>
      </c>
      <c r="G16" s="73">
        <v>32.0</v>
      </c>
      <c r="H16" s="56" t="str">
        <f t="shared" si="3"/>
        <v>F</v>
      </c>
      <c r="I16" s="72"/>
      <c r="J16" s="56" t="str">
        <f t="shared" si="4"/>
        <v>U</v>
      </c>
      <c r="K16" s="73"/>
      <c r="L16" s="56" t="str">
        <f t="shared" si="5"/>
        <v>U</v>
      </c>
      <c r="M16" s="72"/>
      <c r="N16" s="56" t="str">
        <f t="shared" si="6"/>
        <v>U</v>
      </c>
      <c r="O16" s="72"/>
      <c r="P16" s="56" t="str">
        <f t="shared" si="7"/>
        <v>U</v>
      </c>
      <c r="Q16" s="72"/>
      <c r="R16" s="56" t="str">
        <f t="shared" si="8"/>
        <v>U</v>
      </c>
      <c r="S16" s="236"/>
      <c r="T16" s="56" t="str">
        <f t="shared" si="9"/>
        <v>U</v>
      </c>
      <c r="U16" s="121">
        <v>61.0</v>
      </c>
      <c r="V16" s="56" t="str">
        <f t="shared" si="10"/>
        <v>C</v>
      </c>
      <c r="W16" s="42"/>
      <c r="X16" s="233">
        <f t="shared" si="11"/>
        <v>43.66666667</v>
      </c>
      <c r="Y16" s="72" t="str">
        <f t="shared" si="12"/>
        <v>#DIV/0!</v>
      </c>
      <c r="Z16" s="134" t="s">
        <v>90</v>
      </c>
      <c r="AA16" s="134" t="s">
        <v>90</v>
      </c>
      <c r="AB16" s="134" t="s">
        <v>90</v>
      </c>
      <c r="AC16" s="134" t="s">
        <v>90</v>
      </c>
      <c r="AD16" s="134" t="s">
        <v>90</v>
      </c>
      <c r="AE16" s="193"/>
    </row>
    <row r="17" ht="47.25" customHeight="1">
      <c r="A17" s="42">
        <v>16.0</v>
      </c>
      <c r="B17" s="176" t="s">
        <v>521</v>
      </c>
      <c r="C17" s="63">
        <v>42.0</v>
      </c>
      <c r="D17" s="56" t="str">
        <f t="shared" si="1"/>
        <v>E</v>
      </c>
      <c r="E17" s="73">
        <v>57.0</v>
      </c>
      <c r="F17" s="56" t="str">
        <f t="shared" si="2"/>
        <v>D</v>
      </c>
      <c r="G17" s="73">
        <v>52.0</v>
      </c>
      <c r="H17" s="56" t="str">
        <f t="shared" si="3"/>
        <v>D</v>
      </c>
      <c r="I17" s="73">
        <v>62.0</v>
      </c>
      <c r="J17" s="56" t="str">
        <f t="shared" si="4"/>
        <v>C</v>
      </c>
      <c r="K17" s="72"/>
      <c r="L17" s="56" t="str">
        <f t="shared" si="5"/>
        <v>U</v>
      </c>
      <c r="M17" s="72"/>
      <c r="N17" s="56" t="str">
        <f t="shared" si="6"/>
        <v>U</v>
      </c>
      <c r="O17" s="72"/>
      <c r="P17" s="56" t="str">
        <f t="shared" si="7"/>
        <v>U</v>
      </c>
      <c r="Q17" s="72"/>
      <c r="R17" s="56" t="str">
        <f t="shared" si="8"/>
        <v>U</v>
      </c>
      <c r="S17" s="73">
        <v>61.0</v>
      </c>
      <c r="T17" s="56" t="str">
        <f t="shared" si="9"/>
        <v>C</v>
      </c>
      <c r="U17" s="121">
        <v>71.0</v>
      </c>
      <c r="V17" s="56" t="str">
        <f t="shared" si="10"/>
        <v>B</v>
      </c>
      <c r="W17" s="42"/>
      <c r="X17" s="233">
        <f t="shared" si="11"/>
        <v>57.5</v>
      </c>
      <c r="Y17" s="72" t="str">
        <f t="shared" si="12"/>
        <v>#DIV/0!</v>
      </c>
      <c r="Z17" s="134" t="s">
        <v>87</v>
      </c>
      <c r="AA17" s="134" t="s">
        <v>85</v>
      </c>
      <c r="AB17" s="134" t="s">
        <v>90</v>
      </c>
      <c r="AC17" s="134" t="s">
        <v>87</v>
      </c>
      <c r="AD17" s="134" t="s">
        <v>87</v>
      </c>
      <c r="AE17" s="83" t="s">
        <v>522</v>
      </c>
    </row>
    <row r="18" ht="34.5" customHeight="1">
      <c r="A18" s="42">
        <v>17.0</v>
      </c>
      <c r="B18" s="176" t="s">
        <v>523</v>
      </c>
      <c r="C18" s="63">
        <v>48.0</v>
      </c>
      <c r="D18" s="56" t="str">
        <f t="shared" si="1"/>
        <v>E</v>
      </c>
      <c r="E18" s="73">
        <v>72.0</v>
      </c>
      <c r="F18" s="56" t="str">
        <f t="shared" si="2"/>
        <v>B</v>
      </c>
      <c r="G18" s="73">
        <v>62.0</v>
      </c>
      <c r="H18" s="56" t="str">
        <f t="shared" si="3"/>
        <v>C</v>
      </c>
      <c r="I18" s="73">
        <v>60.0</v>
      </c>
      <c r="J18" s="56" t="str">
        <f t="shared" si="4"/>
        <v>C</v>
      </c>
      <c r="K18" s="72"/>
      <c r="L18" s="56" t="str">
        <f t="shared" si="5"/>
        <v>U</v>
      </c>
      <c r="M18" s="72"/>
      <c r="N18" s="56" t="str">
        <f t="shared" si="6"/>
        <v>U</v>
      </c>
      <c r="O18" s="72"/>
      <c r="P18" s="56" t="str">
        <f t="shared" si="7"/>
        <v>U</v>
      </c>
      <c r="Q18" s="73">
        <v>54.0</v>
      </c>
      <c r="R18" s="56" t="str">
        <f t="shared" si="8"/>
        <v>D</v>
      </c>
      <c r="S18" s="207">
        <v>62.0</v>
      </c>
      <c r="T18" s="56" t="str">
        <f t="shared" si="9"/>
        <v>C</v>
      </c>
      <c r="U18" s="43"/>
      <c r="V18" s="56" t="str">
        <f t="shared" si="10"/>
        <v>U</v>
      </c>
      <c r="W18" s="42"/>
      <c r="X18" s="233">
        <f t="shared" si="11"/>
        <v>59.66666667</v>
      </c>
      <c r="Y18" s="72" t="str">
        <f t="shared" si="12"/>
        <v>#DIV/0!</v>
      </c>
      <c r="Z18" s="134" t="s">
        <v>87</v>
      </c>
      <c r="AA18" s="134" t="s">
        <v>90</v>
      </c>
      <c r="AB18" s="134" t="s">
        <v>87</v>
      </c>
      <c r="AC18" s="134" t="s">
        <v>85</v>
      </c>
      <c r="AD18" s="134" t="s">
        <v>87</v>
      </c>
      <c r="AE18" s="83" t="s">
        <v>524</v>
      </c>
    </row>
    <row r="19" ht="39.0" customHeight="1">
      <c r="A19" s="42">
        <v>18.0</v>
      </c>
      <c r="B19" s="176" t="s">
        <v>525</v>
      </c>
      <c r="C19" s="63">
        <v>16.0</v>
      </c>
      <c r="D19" s="56" t="str">
        <f t="shared" si="1"/>
        <v>U</v>
      </c>
      <c r="E19" s="73">
        <v>26.0</v>
      </c>
      <c r="F19" s="56" t="str">
        <f t="shared" si="2"/>
        <v>G</v>
      </c>
      <c r="G19" s="73">
        <v>37.0</v>
      </c>
      <c r="H19" s="56" t="str">
        <f t="shared" si="3"/>
        <v>F</v>
      </c>
      <c r="I19" s="73">
        <v>32.0</v>
      </c>
      <c r="J19" s="56" t="str">
        <f t="shared" si="4"/>
        <v>F</v>
      </c>
      <c r="K19" s="72"/>
      <c r="L19" s="56" t="str">
        <f t="shared" si="5"/>
        <v>U</v>
      </c>
      <c r="M19" s="72"/>
      <c r="N19" s="56" t="str">
        <f t="shared" si="6"/>
        <v>U</v>
      </c>
      <c r="O19" s="72"/>
      <c r="P19" s="56" t="str">
        <f t="shared" si="7"/>
        <v>U</v>
      </c>
      <c r="Q19" s="73">
        <v>38.0</v>
      </c>
      <c r="R19" s="56" t="str">
        <f t="shared" si="8"/>
        <v>F</v>
      </c>
      <c r="S19" s="73">
        <v>30.0</v>
      </c>
      <c r="T19" s="56" t="str">
        <f t="shared" si="9"/>
        <v>F</v>
      </c>
      <c r="U19" s="42"/>
      <c r="V19" s="56" t="str">
        <f t="shared" si="10"/>
        <v>U</v>
      </c>
      <c r="W19" s="42"/>
      <c r="X19" s="233">
        <f t="shared" si="11"/>
        <v>29.83333333</v>
      </c>
      <c r="Y19" s="72" t="str">
        <f t="shared" si="12"/>
        <v>#DIV/0!</v>
      </c>
      <c r="Z19" s="134" t="s">
        <v>87</v>
      </c>
      <c r="AA19" s="134" t="s">
        <v>85</v>
      </c>
      <c r="AB19" s="134" t="s">
        <v>93</v>
      </c>
      <c r="AC19" s="134" t="s">
        <v>85</v>
      </c>
      <c r="AD19" s="134" t="s">
        <v>85</v>
      </c>
      <c r="AE19" s="235" t="s">
        <v>526</v>
      </c>
    </row>
    <row r="20" ht="41.25" customHeight="1">
      <c r="A20" s="42">
        <v>19.0</v>
      </c>
      <c r="B20" s="176" t="s">
        <v>527</v>
      </c>
      <c r="C20" s="63">
        <v>28.0</v>
      </c>
      <c r="D20" s="56" t="str">
        <f t="shared" si="1"/>
        <v>G</v>
      </c>
      <c r="E20" s="73">
        <v>34.0</v>
      </c>
      <c r="F20" s="56" t="str">
        <f t="shared" si="2"/>
        <v>F</v>
      </c>
      <c r="G20" s="73">
        <v>54.0</v>
      </c>
      <c r="H20" s="56" t="str">
        <f t="shared" si="3"/>
        <v>D</v>
      </c>
      <c r="I20" s="73">
        <v>50.0</v>
      </c>
      <c r="J20" s="56" t="str">
        <f t="shared" si="4"/>
        <v>D</v>
      </c>
      <c r="K20" s="72"/>
      <c r="L20" s="56" t="str">
        <f t="shared" si="5"/>
        <v>U</v>
      </c>
      <c r="M20" s="72"/>
      <c r="N20" s="56" t="str">
        <f t="shared" si="6"/>
        <v>U</v>
      </c>
      <c r="O20" s="72"/>
      <c r="P20" s="56" t="str">
        <f t="shared" si="7"/>
        <v>U</v>
      </c>
      <c r="Q20" s="72"/>
      <c r="R20" s="56" t="str">
        <f t="shared" si="8"/>
        <v>U</v>
      </c>
      <c r="S20" s="73">
        <v>33.0</v>
      </c>
      <c r="T20" s="56" t="str">
        <f t="shared" si="9"/>
        <v>F</v>
      </c>
      <c r="U20" s="234">
        <v>46.0</v>
      </c>
      <c r="V20" s="56" t="str">
        <f t="shared" si="10"/>
        <v>E</v>
      </c>
      <c r="W20" s="42"/>
      <c r="X20" s="233">
        <f t="shared" si="11"/>
        <v>40.83333333</v>
      </c>
      <c r="Y20" s="72" t="str">
        <f t="shared" si="12"/>
        <v>#DIV/0!</v>
      </c>
      <c r="Z20" s="134" t="s">
        <v>87</v>
      </c>
      <c r="AA20" s="134" t="s">
        <v>87</v>
      </c>
      <c r="AB20" s="134" t="s">
        <v>93</v>
      </c>
      <c r="AC20" s="134" t="s">
        <v>87</v>
      </c>
      <c r="AD20" s="134" t="s">
        <v>87</v>
      </c>
      <c r="AE20" s="129" t="s">
        <v>528</v>
      </c>
    </row>
    <row r="21" ht="64.5" customHeight="1">
      <c r="A21" s="42">
        <v>20.0</v>
      </c>
      <c r="B21" s="176" t="s">
        <v>529</v>
      </c>
      <c r="C21" s="63">
        <v>52.0</v>
      </c>
      <c r="D21" s="56" t="str">
        <f t="shared" si="1"/>
        <v>D</v>
      </c>
      <c r="E21" s="73">
        <v>60.0</v>
      </c>
      <c r="F21" s="56" t="str">
        <f t="shared" si="2"/>
        <v>C</v>
      </c>
      <c r="G21" s="73"/>
      <c r="H21" s="56" t="str">
        <f t="shared" si="3"/>
        <v>U</v>
      </c>
      <c r="I21" s="73">
        <v>86.0</v>
      </c>
      <c r="J21" s="56" t="str">
        <f t="shared" si="4"/>
        <v>A</v>
      </c>
      <c r="K21" s="73">
        <v>70.0</v>
      </c>
      <c r="L21" s="56" t="str">
        <f t="shared" si="5"/>
        <v>B</v>
      </c>
      <c r="M21" s="73">
        <v>64.0</v>
      </c>
      <c r="N21" s="56" t="str">
        <f t="shared" si="6"/>
        <v>C</v>
      </c>
      <c r="O21" s="72"/>
      <c r="P21" s="56" t="str">
        <f t="shared" si="7"/>
        <v>U</v>
      </c>
      <c r="Q21" s="73">
        <v>73.0</v>
      </c>
      <c r="R21" s="56" t="str">
        <f t="shared" si="8"/>
        <v>B</v>
      </c>
      <c r="S21" s="236"/>
      <c r="T21" s="56" t="str">
        <f t="shared" si="9"/>
        <v>U</v>
      </c>
      <c r="U21" s="43"/>
      <c r="V21" s="56" t="str">
        <f t="shared" si="10"/>
        <v>U</v>
      </c>
      <c r="W21" s="42"/>
      <c r="X21" s="233">
        <f t="shared" si="11"/>
        <v>67.5</v>
      </c>
      <c r="Y21" s="72" t="str">
        <f t="shared" si="12"/>
        <v>#DIV/0!</v>
      </c>
      <c r="Z21" s="134" t="s">
        <v>85</v>
      </c>
      <c r="AA21" s="134" t="s">
        <v>86</v>
      </c>
      <c r="AB21" s="134" t="s">
        <v>85</v>
      </c>
      <c r="AC21" s="134" t="s">
        <v>86</v>
      </c>
      <c r="AD21" s="134" t="s">
        <v>85</v>
      </c>
      <c r="AE21" s="235" t="s">
        <v>530</v>
      </c>
    </row>
    <row r="22" ht="73.5" customHeight="1">
      <c r="A22" s="42">
        <v>21.0</v>
      </c>
      <c r="B22" s="176" t="s">
        <v>531</v>
      </c>
      <c r="C22" s="63">
        <v>44.0</v>
      </c>
      <c r="D22" s="56" t="str">
        <f t="shared" si="1"/>
        <v>E</v>
      </c>
      <c r="E22" s="73">
        <v>69.0</v>
      </c>
      <c r="F22" s="56" t="str">
        <f t="shared" si="2"/>
        <v>C</v>
      </c>
      <c r="G22" s="73">
        <v>52.0</v>
      </c>
      <c r="H22" s="56" t="str">
        <f t="shared" si="3"/>
        <v>D</v>
      </c>
      <c r="I22" s="73">
        <v>62.0</v>
      </c>
      <c r="J22" s="56" t="str">
        <f t="shared" si="4"/>
        <v>C</v>
      </c>
      <c r="K22" s="72"/>
      <c r="L22" s="56" t="str">
        <f t="shared" si="5"/>
        <v>U</v>
      </c>
      <c r="M22" s="72"/>
      <c r="N22" s="56" t="str">
        <f t="shared" si="6"/>
        <v>U</v>
      </c>
      <c r="O22" s="72"/>
      <c r="P22" s="56" t="str">
        <f t="shared" si="7"/>
        <v>U</v>
      </c>
      <c r="Q22" s="73">
        <v>59.0</v>
      </c>
      <c r="R22" s="56" t="str">
        <f t="shared" si="8"/>
        <v>D</v>
      </c>
      <c r="S22" s="207">
        <v>52.0</v>
      </c>
      <c r="T22" s="56" t="str">
        <f t="shared" si="9"/>
        <v>D</v>
      </c>
      <c r="U22" s="43"/>
      <c r="V22" s="56" t="str">
        <f t="shared" si="10"/>
        <v>U</v>
      </c>
      <c r="W22" s="42"/>
      <c r="X22" s="233">
        <f t="shared" si="11"/>
        <v>56.33333333</v>
      </c>
      <c r="Y22" s="72" t="str">
        <f t="shared" si="12"/>
        <v>#DIV/0!</v>
      </c>
      <c r="Z22" s="134" t="s">
        <v>85</v>
      </c>
      <c r="AA22" s="134" t="s">
        <v>86</v>
      </c>
      <c r="AB22" s="134" t="s">
        <v>90</v>
      </c>
      <c r="AC22" s="134" t="s">
        <v>85</v>
      </c>
      <c r="AD22" s="134" t="s">
        <v>85</v>
      </c>
      <c r="AE22" s="83" t="s">
        <v>532</v>
      </c>
    </row>
    <row r="23" ht="37.5" customHeight="1">
      <c r="A23" s="42">
        <v>22.0</v>
      </c>
      <c r="B23" s="176" t="s">
        <v>533</v>
      </c>
      <c r="C23" s="88"/>
      <c r="D23" s="56" t="str">
        <f t="shared" si="1"/>
        <v>U</v>
      </c>
      <c r="E23" s="73">
        <v>58.0</v>
      </c>
      <c r="F23" s="56" t="str">
        <f t="shared" si="2"/>
        <v>D</v>
      </c>
      <c r="G23" s="73">
        <v>3.0</v>
      </c>
      <c r="H23" s="56" t="str">
        <f t="shared" si="3"/>
        <v>U</v>
      </c>
      <c r="I23" s="73">
        <v>12.0</v>
      </c>
      <c r="J23" s="56" t="str">
        <f t="shared" si="4"/>
        <v>U</v>
      </c>
      <c r="K23" s="72"/>
      <c r="L23" s="56" t="str">
        <f t="shared" si="5"/>
        <v>U</v>
      </c>
      <c r="M23" s="72"/>
      <c r="N23" s="56" t="str">
        <f t="shared" si="6"/>
        <v>U</v>
      </c>
      <c r="O23" s="72"/>
      <c r="P23" s="56" t="str">
        <f t="shared" si="7"/>
        <v>U</v>
      </c>
      <c r="Q23" s="73">
        <v>0.0</v>
      </c>
      <c r="R23" s="56" t="str">
        <f t="shared" si="8"/>
        <v>U</v>
      </c>
      <c r="S23" s="207">
        <v>0.0</v>
      </c>
      <c r="T23" s="56" t="str">
        <f t="shared" si="9"/>
        <v>U</v>
      </c>
      <c r="U23" s="43"/>
      <c r="V23" s="56" t="str">
        <f t="shared" si="10"/>
        <v>U</v>
      </c>
      <c r="W23" s="42"/>
      <c r="X23" s="233">
        <f t="shared" si="11"/>
        <v>14.6</v>
      </c>
      <c r="Y23" s="72" t="str">
        <f t="shared" si="12"/>
        <v>#DIV/0!</v>
      </c>
      <c r="Z23" s="134" t="s">
        <v>90</v>
      </c>
      <c r="AA23" s="134" t="s">
        <v>86</v>
      </c>
      <c r="AB23" s="134" t="s">
        <v>93</v>
      </c>
      <c r="AC23" s="134" t="s">
        <v>85</v>
      </c>
      <c r="AD23" s="134" t="s">
        <v>86</v>
      </c>
      <c r="AE23" s="235" t="s">
        <v>534</v>
      </c>
    </row>
    <row r="24" ht="48.75" customHeight="1">
      <c r="A24" s="42">
        <v>23.0</v>
      </c>
      <c r="B24" s="94" t="s">
        <v>535</v>
      </c>
      <c r="C24" s="63">
        <v>67.0</v>
      </c>
      <c r="D24" s="56" t="str">
        <f t="shared" si="1"/>
        <v>C</v>
      </c>
      <c r="E24" s="73">
        <v>92.0</v>
      </c>
      <c r="F24" s="56" t="str">
        <f t="shared" si="2"/>
        <v>A*</v>
      </c>
      <c r="G24" s="73">
        <v>90.0</v>
      </c>
      <c r="H24" s="56" t="str">
        <f t="shared" si="3"/>
        <v>A*</v>
      </c>
      <c r="I24" s="73">
        <v>88.0</v>
      </c>
      <c r="J24" s="56" t="str">
        <f t="shared" si="4"/>
        <v>A</v>
      </c>
      <c r="K24" s="72"/>
      <c r="L24" s="56" t="str">
        <f t="shared" si="5"/>
        <v>U</v>
      </c>
      <c r="M24" s="72"/>
      <c r="N24" s="56" t="str">
        <f t="shared" si="6"/>
        <v>U</v>
      </c>
      <c r="O24" s="72"/>
      <c r="P24" s="56" t="str">
        <f t="shared" si="7"/>
        <v>U</v>
      </c>
      <c r="Q24" s="73">
        <v>85.0</v>
      </c>
      <c r="R24" s="56" t="str">
        <f t="shared" si="8"/>
        <v>A</v>
      </c>
      <c r="S24" s="207">
        <v>86.0</v>
      </c>
      <c r="T24" s="56" t="str">
        <f t="shared" si="9"/>
        <v>A</v>
      </c>
      <c r="U24" s="43"/>
      <c r="V24" s="56" t="str">
        <f t="shared" si="10"/>
        <v>U</v>
      </c>
      <c r="W24" s="42"/>
      <c r="X24" s="233">
        <f t="shared" si="11"/>
        <v>84.66666667</v>
      </c>
      <c r="Y24" s="72" t="str">
        <f t="shared" si="12"/>
        <v>#DIV/0!</v>
      </c>
      <c r="Z24" s="134" t="s">
        <v>85</v>
      </c>
      <c r="AA24" s="134" t="s">
        <v>85</v>
      </c>
      <c r="AB24" s="134" t="s">
        <v>86</v>
      </c>
      <c r="AC24" s="134" t="s">
        <v>85</v>
      </c>
      <c r="AD24" s="134" t="s">
        <v>85</v>
      </c>
      <c r="AE24" s="235" t="s">
        <v>536</v>
      </c>
    </row>
    <row r="25" ht="25.5" customHeight="1">
      <c r="A25" s="42">
        <v>24.0</v>
      </c>
      <c r="B25" s="95"/>
      <c r="C25" s="88"/>
      <c r="D25" s="56" t="str">
        <f t="shared" si="1"/>
        <v>U</v>
      </c>
      <c r="E25" s="72"/>
      <c r="F25" s="56" t="str">
        <f t="shared" si="2"/>
        <v>U</v>
      </c>
      <c r="G25" s="72"/>
      <c r="H25" s="56" t="str">
        <f t="shared" si="3"/>
        <v>U</v>
      </c>
      <c r="I25" s="72"/>
      <c r="J25" s="56" t="str">
        <f t="shared" si="4"/>
        <v>U</v>
      </c>
      <c r="K25" s="72"/>
      <c r="L25" s="56" t="str">
        <f t="shared" si="5"/>
        <v>U</v>
      </c>
      <c r="M25" s="72"/>
      <c r="N25" s="56" t="str">
        <f t="shared" si="6"/>
        <v>U</v>
      </c>
      <c r="O25" s="72"/>
      <c r="P25" s="56" t="str">
        <f t="shared" si="7"/>
        <v>U</v>
      </c>
      <c r="Q25" s="72"/>
      <c r="R25" s="56" t="str">
        <f t="shared" si="8"/>
        <v>U</v>
      </c>
      <c r="S25" s="236"/>
      <c r="T25" s="56" t="str">
        <f t="shared" si="9"/>
        <v>U</v>
      </c>
      <c r="U25" s="43"/>
      <c r="V25" s="56" t="str">
        <f t="shared" si="10"/>
        <v>U</v>
      </c>
      <c r="W25" s="42"/>
      <c r="X25" s="233" t="str">
        <f t="shared" si="11"/>
        <v>#DIV/0!</v>
      </c>
      <c r="Y25" s="72" t="str">
        <f t="shared" si="12"/>
        <v>#DIV/0!</v>
      </c>
      <c r="Z25" s="176"/>
      <c r="AA25" s="176"/>
      <c r="AB25" s="176"/>
      <c r="AC25" s="176"/>
      <c r="AD25" s="176"/>
      <c r="AE25" s="193"/>
    </row>
    <row r="26" ht="27.0" customHeight="1">
      <c r="A26" s="42">
        <v>25.0</v>
      </c>
      <c r="B26" s="95"/>
      <c r="C26" s="88"/>
      <c r="D26" s="56" t="str">
        <f t="shared" si="1"/>
        <v>U</v>
      </c>
      <c r="E26" s="72"/>
      <c r="F26" s="56" t="str">
        <f t="shared" si="2"/>
        <v>U</v>
      </c>
      <c r="G26" s="72"/>
      <c r="H26" s="56" t="str">
        <f t="shared" si="3"/>
        <v>U</v>
      </c>
      <c r="I26" s="72"/>
      <c r="J26" s="56" t="str">
        <f t="shared" si="4"/>
        <v>U</v>
      </c>
      <c r="K26" s="72"/>
      <c r="L26" s="56" t="str">
        <f t="shared" si="5"/>
        <v>U</v>
      </c>
      <c r="M26" s="72"/>
      <c r="N26" s="56" t="str">
        <f t="shared" si="6"/>
        <v>U</v>
      </c>
      <c r="O26" s="72"/>
      <c r="P26" s="56" t="str">
        <f t="shared" si="7"/>
        <v>U</v>
      </c>
      <c r="Q26" s="72"/>
      <c r="R26" s="56" t="str">
        <f t="shared" si="8"/>
        <v>U</v>
      </c>
      <c r="S26" s="236"/>
      <c r="T26" s="56" t="str">
        <f t="shared" si="9"/>
        <v>U</v>
      </c>
      <c r="U26" s="43"/>
      <c r="V26" s="56" t="str">
        <f t="shared" si="10"/>
        <v>U</v>
      </c>
      <c r="W26" s="42"/>
      <c r="X26" s="233" t="str">
        <f t="shared" si="11"/>
        <v>#DIV/0!</v>
      </c>
      <c r="Y26" s="72" t="str">
        <f t="shared" si="12"/>
        <v>#DIV/0!</v>
      </c>
      <c r="Z26" s="42"/>
      <c r="AA26" s="42"/>
      <c r="AB26" s="42"/>
      <c r="AC26" s="42"/>
      <c r="AD26" s="42"/>
      <c r="AE26" s="193"/>
    </row>
    <row r="27" ht="27.0" customHeight="1">
      <c r="A27" s="42">
        <v>26.0</v>
      </c>
      <c r="B27" s="95"/>
      <c r="C27" s="88"/>
      <c r="D27" s="56" t="str">
        <f t="shared" si="1"/>
        <v>U</v>
      </c>
      <c r="E27" s="72"/>
      <c r="F27" s="56" t="str">
        <f t="shared" si="2"/>
        <v>U</v>
      </c>
      <c r="G27" s="72"/>
      <c r="H27" s="56" t="str">
        <f t="shared" si="3"/>
        <v>U</v>
      </c>
      <c r="I27" s="72"/>
      <c r="J27" s="56" t="str">
        <f t="shared" si="4"/>
        <v>U</v>
      </c>
      <c r="K27" s="72"/>
      <c r="L27" s="56" t="str">
        <f t="shared" si="5"/>
        <v>U</v>
      </c>
      <c r="M27" s="72"/>
      <c r="N27" s="56" t="str">
        <f t="shared" si="6"/>
        <v>U</v>
      </c>
      <c r="O27" s="72"/>
      <c r="P27" s="56" t="str">
        <f t="shared" si="7"/>
        <v>U</v>
      </c>
      <c r="Q27" s="72"/>
      <c r="R27" s="56" t="str">
        <f t="shared" si="8"/>
        <v>U</v>
      </c>
      <c r="S27" s="236"/>
      <c r="T27" s="56" t="str">
        <f t="shared" si="9"/>
        <v>U</v>
      </c>
      <c r="U27" s="43"/>
      <c r="V27" s="56" t="str">
        <f t="shared" si="10"/>
        <v>U</v>
      </c>
      <c r="W27" s="42"/>
      <c r="X27" s="233" t="str">
        <f t="shared" si="11"/>
        <v>#DIV/0!</v>
      </c>
      <c r="Y27" s="72" t="str">
        <f t="shared" si="12"/>
        <v>#DIV/0!</v>
      </c>
      <c r="Z27" s="42"/>
      <c r="AA27" s="42"/>
      <c r="AB27" s="42"/>
      <c r="AC27" s="42"/>
      <c r="AD27" s="42"/>
      <c r="AE27" s="193"/>
    </row>
    <row r="28" ht="39.0" customHeight="1">
      <c r="A28" s="42">
        <v>27.0</v>
      </c>
      <c r="B28" s="95"/>
      <c r="C28" s="88"/>
      <c r="D28" s="56" t="str">
        <f t="shared" si="1"/>
        <v>U</v>
      </c>
      <c r="E28" s="72"/>
      <c r="F28" s="56" t="str">
        <f t="shared" si="2"/>
        <v>U</v>
      </c>
      <c r="G28" s="72"/>
      <c r="H28" s="56" t="str">
        <f t="shared" si="3"/>
        <v>U</v>
      </c>
      <c r="I28" s="72"/>
      <c r="J28" s="56" t="str">
        <f t="shared" si="4"/>
        <v>U</v>
      </c>
      <c r="K28" s="72"/>
      <c r="L28" s="56" t="str">
        <f t="shared" si="5"/>
        <v>U</v>
      </c>
      <c r="M28" s="72"/>
      <c r="N28" s="56" t="str">
        <f t="shared" si="6"/>
        <v>U</v>
      </c>
      <c r="O28" s="72"/>
      <c r="P28" s="56" t="str">
        <f t="shared" si="7"/>
        <v>U</v>
      </c>
      <c r="Q28" s="72"/>
      <c r="R28" s="56" t="str">
        <f t="shared" si="8"/>
        <v>U</v>
      </c>
      <c r="S28" s="72"/>
      <c r="T28" s="56" t="str">
        <f t="shared" si="9"/>
        <v>U</v>
      </c>
      <c r="U28" s="42"/>
      <c r="V28" s="56" t="str">
        <f t="shared" si="10"/>
        <v>U</v>
      </c>
      <c r="W28" s="42"/>
      <c r="X28" s="233" t="str">
        <f t="shared" si="11"/>
        <v>#DIV/0!</v>
      </c>
      <c r="Y28" s="72" t="str">
        <f t="shared" si="12"/>
        <v>#DIV/0!</v>
      </c>
      <c r="Z28" s="42"/>
      <c r="AA28" s="42"/>
      <c r="AB28" s="42"/>
      <c r="AC28" s="42"/>
      <c r="AD28" s="42"/>
      <c r="AE28" s="193"/>
    </row>
    <row r="29" ht="27.75" customHeight="1">
      <c r="A29" s="42">
        <v>28.0</v>
      </c>
      <c r="B29" s="95"/>
      <c r="C29" s="88"/>
      <c r="D29" s="56" t="str">
        <f t="shared" si="1"/>
        <v>U</v>
      </c>
      <c r="E29" s="72"/>
      <c r="F29" s="56" t="str">
        <f t="shared" si="2"/>
        <v>U</v>
      </c>
      <c r="G29" s="72"/>
      <c r="H29" s="56" t="str">
        <f t="shared" si="3"/>
        <v>U</v>
      </c>
      <c r="I29" s="72"/>
      <c r="J29" s="56" t="str">
        <f t="shared" si="4"/>
        <v>U</v>
      </c>
      <c r="K29" s="72"/>
      <c r="L29" s="56" t="str">
        <f t="shared" si="5"/>
        <v>U</v>
      </c>
      <c r="M29" s="72"/>
      <c r="N29" s="56" t="str">
        <f t="shared" si="6"/>
        <v>U</v>
      </c>
      <c r="O29" s="72"/>
      <c r="P29" s="56" t="str">
        <f t="shared" si="7"/>
        <v>U</v>
      </c>
      <c r="Q29" s="72"/>
      <c r="R29" s="56" t="str">
        <f t="shared" si="8"/>
        <v>U</v>
      </c>
      <c r="S29" s="72"/>
      <c r="T29" s="56" t="str">
        <f t="shared" si="9"/>
        <v>U</v>
      </c>
      <c r="U29" s="42"/>
      <c r="V29" s="56" t="str">
        <f t="shared" si="10"/>
        <v>U</v>
      </c>
      <c r="W29" s="42"/>
      <c r="X29" s="233" t="str">
        <f t="shared" si="11"/>
        <v>#DIV/0!</v>
      </c>
      <c r="Y29" s="72" t="str">
        <f t="shared" si="12"/>
        <v>#DIV/0!</v>
      </c>
      <c r="Z29" s="42"/>
      <c r="AA29" s="42"/>
      <c r="AB29" s="42"/>
      <c r="AC29" s="42"/>
      <c r="AD29" s="42"/>
      <c r="AE29" s="193"/>
    </row>
    <row r="30" ht="27.0" customHeight="1">
      <c r="A30" s="192">
        <v>29.0</v>
      </c>
      <c r="B30" s="192"/>
      <c r="C30" s="88"/>
      <c r="D30" s="56" t="str">
        <f t="shared" si="1"/>
        <v>U</v>
      </c>
      <c r="E30" s="72"/>
      <c r="F30" s="56" t="str">
        <f t="shared" si="2"/>
        <v>U</v>
      </c>
      <c r="G30" s="72"/>
      <c r="H30" s="56" t="str">
        <f t="shared" si="3"/>
        <v>U</v>
      </c>
      <c r="I30" s="72"/>
      <c r="J30" s="56" t="str">
        <f t="shared" si="4"/>
        <v>U</v>
      </c>
      <c r="K30" s="72"/>
      <c r="L30" s="56" t="str">
        <f t="shared" si="5"/>
        <v>U</v>
      </c>
      <c r="M30" s="72"/>
      <c r="N30" s="56" t="str">
        <f t="shared" si="6"/>
        <v>U</v>
      </c>
      <c r="O30" s="72"/>
      <c r="P30" s="56" t="str">
        <f t="shared" si="7"/>
        <v>U</v>
      </c>
      <c r="Q30" s="72"/>
      <c r="R30" s="56" t="str">
        <f t="shared" si="8"/>
        <v>U</v>
      </c>
      <c r="S30" s="72"/>
      <c r="T30" s="56" t="str">
        <f t="shared" si="9"/>
        <v>U</v>
      </c>
      <c r="U30" s="42"/>
      <c r="V30" s="56" t="str">
        <f t="shared" si="10"/>
        <v>U</v>
      </c>
      <c r="W30" s="192"/>
      <c r="X30" s="233" t="str">
        <f t="shared" si="11"/>
        <v>#DIV/0!</v>
      </c>
      <c r="Y30" s="72" t="str">
        <f t="shared" si="12"/>
        <v>#DIV/0!</v>
      </c>
      <c r="Z30" s="192"/>
      <c r="AA30" s="192"/>
      <c r="AB30" s="192"/>
      <c r="AC30" s="192"/>
      <c r="AD30" s="192"/>
      <c r="AE30" s="193"/>
    </row>
    <row r="31" ht="15.75" customHeight="1">
      <c r="A31" s="113">
        <v>30.0</v>
      </c>
      <c r="B31" s="101"/>
      <c r="C31" s="147"/>
      <c r="D31" s="103"/>
      <c r="E31" s="33"/>
      <c r="F31" s="105"/>
      <c r="G31" s="33"/>
      <c r="H31" s="105"/>
      <c r="I31" s="33"/>
      <c r="J31" s="105"/>
      <c r="K31" s="33"/>
      <c r="L31" s="105"/>
      <c r="M31" s="33"/>
      <c r="N31" s="105"/>
      <c r="O31" s="33"/>
      <c r="P31" s="105"/>
      <c r="Q31" s="33"/>
      <c r="R31" s="105"/>
      <c r="S31" s="33"/>
      <c r="T31" s="101"/>
      <c r="U31" s="33"/>
      <c r="V31" s="101"/>
      <c r="W31" s="101"/>
      <c r="X31" s="101"/>
      <c r="Y31" s="101"/>
      <c r="Z31" s="101"/>
      <c r="AA31" s="101"/>
    </row>
    <row r="32" ht="15.75" customHeight="1">
      <c r="B32" s="101"/>
      <c r="C32" s="147"/>
      <c r="D32" s="103"/>
      <c r="E32" s="33"/>
      <c r="F32" s="105"/>
      <c r="G32" s="33"/>
      <c r="H32" s="105"/>
      <c r="I32" s="33"/>
      <c r="J32" s="105"/>
      <c r="K32" s="33"/>
      <c r="L32" s="105"/>
      <c r="M32" s="33"/>
      <c r="N32" s="105"/>
      <c r="O32" s="33"/>
      <c r="P32" s="105"/>
      <c r="Q32" s="33"/>
      <c r="R32" s="105"/>
      <c r="S32" s="33"/>
      <c r="T32" s="101"/>
      <c r="U32" s="33"/>
      <c r="V32" s="101"/>
      <c r="W32" s="101"/>
      <c r="X32" s="101"/>
      <c r="Y32" s="101"/>
      <c r="Z32" s="101"/>
      <c r="AA32" s="101"/>
      <c r="AE32" s="174"/>
    </row>
    <row r="33" ht="15.75" customHeight="1">
      <c r="B33" s="101"/>
      <c r="C33" s="147"/>
      <c r="D33" s="103"/>
      <c r="E33" s="33"/>
      <c r="F33" s="105"/>
      <c r="G33" s="33"/>
      <c r="H33" s="105"/>
      <c r="I33" s="33"/>
      <c r="J33" s="105"/>
      <c r="K33" s="33"/>
      <c r="L33" s="105"/>
      <c r="M33" s="33"/>
      <c r="N33" s="105"/>
      <c r="O33" s="33"/>
      <c r="P33" s="105"/>
      <c r="Q33" s="33"/>
      <c r="R33" s="105"/>
      <c r="S33" s="33"/>
      <c r="T33" s="101"/>
      <c r="U33" s="33"/>
      <c r="V33" s="101"/>
      <c r="W33" s="101"/>
      <c r="X33" s="101"/>
      <c r="Y33" s="101"/>
      <c r="Z33" s="101"/>
      <c r="AA33" s="101"/>
      <c r="AE33" s="174"/>
    </row>
    <row r="34" ht="15.75" customHeight="1">
      <c r="B34" s="101" t="s">
        <v>33</v>
      </c>
      <c r="C34" s="237">
        <f>AVERAGE(C2:C23)</f>
        <v>43.47368421</v>
      </c>
      <c r="D34" s="238"/>
      <c r="E34" s="237">
        <f>AVERAGE(E2:E23)</f>
        <v>52</v>
      </c>
      <c r="F34" s="105"/>
      <c r="G34" s="237">
        <f>AVERAGE(G2:G23)</f>
        <v>52.31578947</v>
      </c>
      <c r="H34" s="105"/>
      <c r="I34" s="237">
        <f>AVERAGE(I2:I23)</f>
        <v>59.75</v>
      </c>
      <c r="J34" s="105"/>
      <c r="K34" s="237">
        <f>AVERAGE(K2:K23)</f>
        <v>61.66666667</v>
      </c>
      <c r="L34" s="105"/>
      <c r="M34" s="237">
        <f>AVERAGE(M2:M23)</f>
        <v>45.33333333</v>
      </c>
      <c r="N34" s="105"/>
      <c r="O34" s="237" t="str">
        <f>AVERAGE(O2:O23)</f>
        <v>#DIV/0!</v>
      </c>
      <c r="P34" s="105"/>
      <c r="Q34" s="237">
        <f>AVERAGE(Q2:Q23)</f>
        <v>48.63636364</v>
      </c>
      <c r="R34" s="105"/>
      <c r="S34" s="237">
        <f>AVERAGE(S2:S23)</f>
        <v>53</v>
      </c>
      <c r="T34" s="101"/>
      <c r="U34" s="237">
        <f>AVERAGE(U2:U23)</f>
        <v>63.2</v>
      </c>
      <c r="V34" s="101"/>
      <c r="W34" s="101"/>
      <c r="X34" s="101"/>
      <c r="Y34" s="101"/>
      <c r="Z34" s="101"/>
      <c r="AA34" s="101"/>
      <c r="AE34" s="174"/>
    </row>
    <row r="35" ht="15.75" customHeight="1">
      <c r="B35" s="101" t="s">
        <v>34</v>
      </c>
      <c r="C35" s="104">
        <f>COUNT(C2:C23)</f>
        <v>19</v>
      </c>
      <c r="D35" s="104"/>
      <c r="E35" s="104">
        <f>COUNT(E2:E23)</f>
        <v>22</v>
      </c>
      <c r="F35" s="105"/>
      <c r="G35" s="104">
        <f>COUNT(G2:G23)</f>
        <v>19</v>
      </c>
      <c r="H35" s="105"/>
      <c r="I35" s="104">
        <f>COUNT(I2:I23)</f>
        <v>20</v>
      </c>
      <c r="J35" s="105"/>
      <c r="K35" s="104">
        <f>COUNT(K2:K23)</f>
        <v>3</v>
      </c>
      <c r="L35" s="105"/>
      <c r="M35" s="104">
        <f>COUNT(M2:M23)</f>
        <v>3</v>
      </c>
      <c r="N35" s="105"/>
      <c r="O35" s="104">
        <f>COUNT(O2:O23)</f>
        <v>0</v>
      </c>
      <c r="P35" s="105"/>
      <c r="Q35" s="104">
        <f>COUNT(Q2:Q23)</f>
        <v>11</v>
      </c>
      <c r="R35" s="105"/>
      <c r="S35" s="104">
        <f>COUNT(S2:S23)</f>
        <v>16</v>
      </c>
      <c r="T35" s="101"/>
      <c r="U35" s="104">
        <f>COUNT(U2:U23)</f>
        <v>10</v>
      </c>
      <c r="V35" s="101"/>
      <c r="W35" s="101"/>
      <c r="X35" s="101"/>
      <c r="Y35" s="101"/>
      <c r="Z35" s="101"/>
      <c r="AA35" s="101"/>
      <c r="AE35" s="174"/>
    </row>
    <row r="36" ht="15.75" customHeight="1">
      <c r="B36" s="101" t="s">
        <v>35</v>
      </c>
      <c r="C36" s="104">
        <f>COUNTIF(C2:C23,"&gt;49")</f>
        <v>6</v>
      </c>
      <c r="D36" s="104"/>
      <c r="E36" s="104">
        <f>COUNTIF(E2:E23,"&gt;49")</f>
        <v>14</v>
      </c>
      <c r="F36" s="105"/>
      <c r="G36" s="104">
        <f>COUNTIF(G2:G23,"&gt;49")</f>
        <v>13</v>
      </c>
      <c r="H36" s="105"/>
      <c r="I36" s="104">
        <f>COUNTIF(I2:I23,"&gt;49")</f>
        <v>17</v>
      </c>
      <c r="J36" s="105"/>
      <c r="K36" s="104">
        <f>COUNTIF(K2:K23,"&gt;49")</f>
        <v>2</v>
      </c>
      <c r="L36" s="105"/>
      <c r="M36" s="104">
        <f>COUNTIF(M2:M23,"&gt;49")</f>
        <v>1</v>
      </c>
      <c r="N36" s="105"/>
      <c r="O36" s="104">
        <f>COUNTIF(O2:O23,"&gt;49")</f>
        <v>0</v>
      </c>
      <c r="P36" s="105"/>
      <c r="Q36" s="104">
        <f>COUNTIF(Q2:Q23,"&gt;49")</f>
        <v>7</v>
      </c>
      <c r="R36" s="105"/>
      <c r="S36" s="104">
        <f>COUNTIF(S2:S23,"&gt;49")</f>
        <v>12</v>
      </c>
      <c r="T36" s="101"/>
      <c r="U36" s="104">
        <f>COUNTIF(U2:U23,"&gt;49")</f>
        <v>7</v>
      </c>
      <c r="V36" s="101"/>
      <c r="W36" s="101"/>
      <c r="X36" s="101"/>
      <c r="Y36" s="101"/>
      <c r="Z36" s="101"/>
      <c r="AA36" s="101"/>
      <c r="AE36" s="174"/>
    </row>
    <row r="37" ht="15.75" customHeight="1">
      <c r="B37" s="101" t="s">
        <v>36</v>
      </c>
      <c r="C37" s="104">
        <f>COUNTIF(C2:C23,"&lt;50")</f>
        <v>13</v>
      </c>
      <c r="D37" s="104"/>
      <c r="E37" s="104">
        <f>COUNTIF(E2:E23,"&lt;50")</f>
        <v>8</v>
      </c>
      <c r="F37" s="105"/>
      <c r="G37" s="104">
        <f>COUNTIF(G2:G23,"&lt;50")</f>
        <v>6</v>
      </c>
      <c r="H37" s="105"/>
      <c r="I37" s="104">
        <f>COUNTIF(I2:I23,"&lt;50")</f>
        <v>3</v>
      </c>
      <c r="J37" s="105"/>
      <c r="K37" s="104">
        <f>COUNTIF(K2:K23,"&lt;50")</f>
        <v>1</v>
      </c>
      <c r="L37" s="105"/>
      <c r="M37" s="104">
        <f>COUNTIF(M2:M23,"&lt;50")</f>
        <v>2</v>
      </c>
      <c r="N37" s="105"/>
      <c r="O37" s="104">
        <f>COUNTIF(O2:O23,"&lt;50")</f>
        <v>0</v>
      </c>
      <c r="P37" s="105"/>
      <c r="Q37" s="104">
        <f>COUNTIF(Q2:Q23,"&lt;50")</f>
        <v>4</v>
      </c>
      <c r="R37" s="105"/>
      <c r="S37" s="104">
        <f>COUNTIF(S2:S23,"&lt;50")</f>
        <v>4</v>
      </c>
      <c r="T37" s="101"/>
      <c r="U37" s="104">
        <f>COUNTIF(U2:U23,"&lt;50")</f>
        <v>3</v>
      </c>
      <c r="V37" s="101"/>
      <c r="W37" s="101"/>
      <c r="X37" s="101"/>
      <c r="Y37" s="101"/>
      <c r="Z37" s="101"/>
      <c r="AA37" s="101"/>
      <c r="AE37" s="174"/>
    </row>
    <row r="38" ht="15.75" customHeight="1">
      <c r="B38" s="31" t="s">
        <v>37</v>
      </c>
      <c r="C38" s="107">
        <f>C36*100/C35</f>
        <v>31.57894737</v>
      </c>
      <c r="D38" s="109"/>
      <c r="E38" s="107">
        <f>E36*100/E35</f>
        <v>63.63636364</v>
      </c>
      <c r="F38" s="110"/>
      <c r="G38" s="107">
        <f>G36*100/G35</f>
        <v>68.42105263</v>
      </c>
      <c r="H38" s="110"/>
      <c r="I38" s="107">
        <f>I36*100/I35</f>
        <v>85</v>
      </c>
      <c r="J38" s="110"/>
      <c r="K38" s="107">
        <f>K36*100/K35</f>
        <v>66.66666667</v>
      </c>
      <c r="L38" s="110"/>
      <c r="M38" s="107">
        <f>M36*100/M35</f>
        <v>33.33333333</v>
      </c>
      <c r="N38" s="110"/>
      <c r="O38" s="107" t="str">
        <f>O36*100/O35</f>
        <v>#DIV/0!</v>
      </c>
      <c r="P38" s="110"/>
      <c r="Q38" s="107">
        <f>Q36*100/Q35</f>
        <v>63.63636364</v>
      </c>
      <c r="R38" s="110"/>
      <c r="S38" s="107">
        <f>S36*100/S35</f>
        <v>75</v>
      </c>
      <c r="T38" s="31"/>
      <c r="U38" s="107">
        <f>U36*100/U35</f>
        <v>70</v>
      </c>
      <c r="V38" s="31"/>
      <c r="W38" s="31"/>
      <c r="X38" s="31"/>
      <c r="Y38" s="31"/>
      <c r="Z38" s="31"/>
      <c r="AA38" s="31"/>
      <c r="AE38" s="174"/>
    </row>
    <row r="39" ht="15.75" customHeight="1">
      <c r="C39" s="98"/>
      <c r="D39" s="98"/>
      <c r="E39" s="39"/>
      <c r="F39" s="39"/>
      <c r="G39" s="39"/>
      <c r="H39" s="39"/>
      <c r="I39" s="39"/>
      <c r="J39" s="39"/>
      <c r="K39" s="39"/>
      <c r="L39" s="39"/>
      <c r="M39" s="39"/>
      <c r="N39" s="39"/>
      <c r="O39" s="39"/>
      <c r="P39" s="39"/>
      <c r="Q39" s="39"/>
      <c r="R39" s="39"/>
      <c r="S39" s="239"/>
      <c r="AE39" s="174"/>
    </row>
    <row r="40" ht="15.75" customHeight="1">
      <c r="C40" s="98"/>
      <c r="D40" s="98"/>
      <c r="E40" s="39"/>
      <c r="F40" s="39"/>
      <c r="G40" s="39"/>
      <c r="H40" s="39"/>
      <c r="I40" s="39"/>
      <c r="J40" s="39"/>
      <c r="K40" s="39"/>
      <c r="L40" s="39"/>
      <c r="M40" s="39"/>
      <c r="N40" s="39"/>
      <c r="O40" s="39"/>
      <c r="P40" s="39"/>
      <c r="Q40" s="39"/>
      <c r="R40" s="39"/>
      <c r="S40" s="239"/>
      <c r="AE40" s="174"/>
    </row>
    <row r="41" ht="15.75" customHeight="1">
      <c r="A41" s="26" t="s">
        <v>139</v>
      </c>
      <c r="B41" s="26">
        <v>0.0</v>
      </c>
      <c r="C41" s="113" t="s">
        <v>140</v>
      </c>
      <c r="D41" s="98"/>
      <c r="E41" s="39"/>
      <c r="F41" s="39"/>
      <c r="G41" s="39"/>
      <c r="H41" s="39"/>
      <c r="I41" s="39"/>
      <c r="J41" s="39"/>
      <c r="K41" s="39"/>
      <c r="L41" s="39"/>
      <c r="M41" s="39"/>
      <c r="N41" s="39"/>
      <c r="O41" s="39"/>
      <c r="P41" s="39"/>
      <c r="Q41" s="39"/>
      <c r="R41" s="39"/>
      <c r="S41" s="239"/>
      <c r="AE41" s="174"/>
    </row>
    <row r="42" ht="15.75" customHeight="1">
      <c r="A42" s="26" t="s">
        <v>141</v>
      </c>
      <c r="B42" s="26">
        <v>20.0</v>
      </c>
      <c r="C42" s="113" t="s">
        <v>142</v>
      </c>
      <c r="D42" s="98"/>
      <c r="E42" s="39"/>
      <c r="F42" s="39"/>
      <c r="G42" s="39"/>
      <c r="H42" s="39"/>
      <c r="I42" s="39"/>
      <c r="J42" s="39"/>
      <c r="K42" s="39"/>
      <c r="L42" s="39"/>
      <c r="M42" s="39"/>
      <c r="N42" s="39"/>
      <c r="O42" s="39"/>
      <c r="P42" s="39"/>
      <c r="Q42" s="39"/>
      <c r="R42" s="39"/>
      <c r="S42" s="239"/>
      <c r="AE42" s="174"/>
    </row>
    <row r="43" ht="15.75" customHeight="1">
      <c r="A43" s="114" t="s">
        <v>143</v>
      </c>
      <c r="B43" s="115">
        <v>30.0</v>
      </c>
      <c r="C43" s="114" t="s">
        <v>144</v>
      </c>
      <c r="D43" s="98"/>
      <c r="E43" s="39"/>
      <c r="F43" s="39"/>
      <c r="G43" s="39"/>
      <c r="H43" s="39"/>
      <c r="I43" s="39"/>
      <c r="J43" s="39"/>
      <c r="K43" s="39"/>
      <c r="L43" s="39"/>
      <c r="M43" s="39"/>
      <c r="N43" s="39"/>
      <c r="O43" s="39"/>
      <c r="P43" s="39"/>
      <c r="Q43" s="39"/>
      <c r="R43" s="39"/>
      <c r="S43" s="239"/>
      <c r="AE43" s="174"/>
    </row>
    <row r="44" ht="15.75" customHeight="1">
      <c r="A44" s="114" t="s">
        <v>145</v>
      </c>
      <c r="B44" s="115">
        <v>40.0</v>
      </c>
      <c r="C44" s="114" t="s">
        <v>146</v>
      </c>
      <c r="D44" s="98"/>
      <c r="E44" s="39"/>
      <c r="F44" s="39"/>
      <c r="G44" s="39"/>
      <c r="H44" s="39"/>
      <c r="I44" s="39"/>
      <c r="J44" s="39"/>
      <c r="K44" s="39"/>
      <c r="L44" s="39"/>
      <c r="M44" s="39"/>
      <c r="N44" s="39"/>
      <c r="O44" s="39"/>
      <c r="P44" s="39"/>
      <c r="Q44" s="39"/>
      <c r="R44" s="39"/>
      <c r="S44" s="239"/>
      <c r="AE44" s="174"/>
    </row>
    <row r="45" ht="15.75" customHeight="1">
      <c r="A45" s="114" t="s">
        <v>147</v>
      </c>
      <c r="B45" s="115">
        <v>50.0</v>
      </c>
      <c r="C45" s="114" t="s">
        <v>93</v>
      </c>
      <c r="D45" s="98"/>
      <c r="E45" s="39"/>
      <c r="F45" s="39"/>
      <c r="G45" s="39"/>
      <c r="H45" s="39"/>
      <c r="I45" s="39"/>
      <c r="J45" s="39"/>
      <c r="K45" s="39"/>
      <c r="L45" s="39"/>
      <c r="M45" s="39"/>
      <c r="N45" s="39"/>
      <c r="O45" s="39"/>
      <c r="P45" s="39"/>
      <c r="Q45" s="39"/>
      <c r="R45" s="39"/>
      <c r="S45" s="239"/>
      <c r="AE45" s="174"/>
    </row>
    <row r="46" ht="15.75" customHeight="1">
      <c r="A46" s="114" t="s">
        <v>148</v>
      </c>
      <c r="B46" s="115">
        <v>60.0</v>
      </c>
      <c r="C46" s="114" t="s">
        <v>90</v>
      </c>
      <c r="D46" s="98"/>
      <c r="E46" s="39"/>
      <c r="F46" s="39"/>
      <c r="G46" s="39"/>
      <c r="H46" s="39"/>
      <c r="I46" s="39"/>
      <c r="J46" s="39"/>
      <c r="K46" s="39"/>
      <c r="L46" s="39"/>
      <c r="M46" s="39"/>
      <c r="N46" s="39"/>
      <c r="O46" s="39"/>
      <c r="P46" s="39"/>
      <c r="Q46" s="39"/>
      <c r="R46" s="39"/>
      <c r="S46" s="239"/>
      <c r="AE46" s="174"/>
    </row>
    <row r="47" ht="15.75" customHeight="1">
      <c r="A47" s="114" t="s">
        <v>149</v>
      </c>
      <c r="B47" s="115">
        <v>70.0</v>
      </c>
      <c r="C47" s="114" t="s">
        <v>87</v>
      </c>
      <c r="D47" s="98"/>
      <c r="E47" s="39"/>
      <c r="F47" s="39"/>
      <c r="G47" s="39"/>
      <c r="H47" s="39"/>
      <c r="I47" s="39"/>
      <c r="J47" s="39"/>
      <c r="K47" s="39"/>
      <c r="L47" s="39"/>
      <c r="M47" s="39"/>
      <c r="N47" s="39"/>
      <c r="O47" s="39"/>
      <c r="P47" s="39"/>
      <c r="Q47" s="39"/>
      <c r="R47" s="39"/>
      <c r="S47" s="239"/>
      <c r="AE47" s="174"/>
    </row>
    <row r="48" ht="15.75" customHeight="1">
      <c r="A48" s="116" t="s">
        <v>150</v>
      </c>
      <c r="B48" s="117">
        <v>80.0</v>
      </c>
      <c r="C48" s="116" t="s">
        <v>85</v>
      </c>
      <c r="D48" s="98"/>
      <c r="E48" s="39"/>
      <c r="F48" s="39"/>
      <c r="G48" s="39"/>
      <c r="H48" s="39"/>
      <c r="I48" s="39"/>
      <c r="J48" s="39"/>
      <c r="K48" s="39"/>
      <c r="L48" s="39"/>
      <c r="M48" s="39"/>
      <c r="N48" s="39"/>
      <c r="O48" s="39"/>
      <c r="P48" s="39"/>
      <c r="Q48" s="39"/>
      <c r="R48" s="39"/>
      <c r="S48" s="239"/>
      <c r="AE48" s="174"/>
    </row>
    <row r="49" ht="15.75" customHeight="1">
      <c r="A49" s="116" t="s">
        <v>151</v>
      </c>
      <c r="B49" s="117">
        <v>90.0</v>
      </c>
      <c r="C49" s="116" t="s">
        <v>152</v>
      </c>
      <c r="D49" s="98"/>
      <c r="E49" s="39"/>
      <c r="F49" s="39"/>
      <c r="G49" s="39"/>
      <c r="H49" s="39"/>
      <c r="I49" s="39"/>
      <c r="J49" s="39"/>
      <c r="K49" s="39"/>
      <c r="L49" s="39"/>
      <c r="M49" s="39"/>
      <c r="N49" s="39"/>
      <c r="O49" s="39"/>
      <c r="P49" s="39"/>
      <c r="Q49" s="39"/>
      <c r="R49" s="39"/>
      <c r="S49" s="239"/>
      <c r="AE49" s="174"/>
    </row>
    <row r="50" ht="15.75" customHeight="1">
      <c r="C50" s="98"/>
      <c r="D50" s="98"/>
      <c r="E50" s="39"/>
      <c r="F50" s="39"/>
      <c r="G50" s="39"/>
      <c r="H50" s="39"/>
      <c r="I50" s="39"/>
      <c r="J50" s="39"/>
      <c r="K50" s="39"/>
      <c r="L50" s="39"/>
      <c r="M50" s="39"/>
      <c r="N50" s="39"/>
      <c r="O50" s="39"/>
      <c r="P50" s="39"/>
      <c r="Q50" s="39"/>
      <c r="R50" s="39"/>
      <c r="S50" s="239"/>
      <c r="AE50" s="174"/>
    </row>
    <row r="51" ht="15.75" customHeight="1">
      <c r="C51" s="98"/>
      <c r="D51" s="98"/>
      <c r="E51" s="39"/>
      <c r="F51" s="39"/>
      <c r="G51" s="39"/>
      <c r="H51" s="39"/>
      <c r="I51" s="39"/>
      <c r="J51" s="39"/>
      <c r="K51" s="39"/>
      <c r="L51" s="39"/>
      <c r="M51" s="39"/>
      <c r="N51" s="39"/>
      <c r="O51" s="39"/>
      <c r="P51" s="39"/>
      <c r="Q51" s="39"/>
      <c r="R51" s="39"/>
      <c r="S51" s="239"/>
      <c r="AE51" s="174"/>
    </row>
    <row r="52" ht="15.75" customHeight="1">
      <c r="C52" s="98"/>
      <c r="D52" s="98"/>
      <c r="E52" s="39"/>
      <c r="F52" s="39"/>
      <c r="G52" s="39"/>
      <c r="H52" s="39"/>
      <c r="I52" s="39"/>
      <c r="J52" s="39"/>
      <c r="K52" s="39"/>
      <c r="L52" s="39"/>
      <c r="M52" s="39"/>
      <c r="N52" s="39"/>
      <c r="O52" s="39"/>
      <c r="P52" s="39"/>
      <c r="Q52" s="39"/>
      <c r="R52" s="39"/>
      <c r="S52" s="239"/>
      <c r="AE52" s="174"/>
    </row>
    <row r="53" ht="15.75" customHeight="1">
      <c r="C53" s="98"/>
      <c r="D53" s="98"/>
      <c r="E53" s="39"/>
      <c r="F53" s="39"/>
      <c r="G53" s="39"/>
      <c r="H53" s="39"/>
      <c r="I53" s="39"/>
      <c r="J53" s="39"/>
      <c r="K53" s="39"/>
      <c r="L53" s="39"/>
      <c r="M53" s="39"/>
      <c r="N53" s="39"/>
      <c r="O53" s="39"/>
      <c r="P53" s="39"/>
      <c r="Q53" s="39"/>
      <c r="R53" s="39"/>
      <c r="S53" s="239"/>
      <c r="AE53" s="174"/>
    </row>
    <row r="54" ht="15.75" customHeight="1">
      <c r="C54" s="98"/>
      <c r="D54" s="98"/>
      <c r="E54" s="39"/>
      <c r="F54" s="39"/>
      <c r="G54" s="39"/>
      <c r="H54" s="39"/>
      <c r="I54" s="39"/>
      <c r="J54" s="39"/>
      <c r="K54" s="39"/>
      <c r="L54" s="39"/>
      <c r="M54" s="39"/>
      <c r="N54" s="39"/>
      <c r="O54" s="39"/>
      <c r="P54" s="39"/>
      <c r="Q54" s="39"/>
      <c r="R54" s="39"/>
      <c r="S54" s="239"/>
      <c r="AE54" s="174"/>
    </row>
    <row r="55" ht="15.75" customHeight="1">
      <c r="C55" s="98"/>
      <c r="D55" s="98"/>
      <c r="E55" s="39"/>
      <c r="F55" s="39"/>
      <c r="G55" s="39"/>
      <c r="H55" s="39"/>
      <c r="I55" s="39"/>
      <c r="J55" s="39"/>
      <c r="K55" s="39"/>
      <c r="L55" s="39"/>
      <c r="M55" s="39"/>
      <c r="N55" s="39"/>
      <c r="O55" s="39"/>
      <c r="P55" s="39"/>
      <c r="Q55" s="39"/>
      <c r="R55" s="39"/>
      <c r="S55" s="239"/>
      <c r="AE55" s="174"/>
    </row>
    <row r="56" ht="15.75" customHeight="1">
      <c r="C56" s="98"/>
      <c r="D56" s="98"/>
      <c r="E56" s="39"/>
      <c r="F56" s="39"/>
      <c r="G56" s="39"/>
      <c r="H56" s="39"/>
      <c r="I56" s="39"/>
      <c r="J56" s="39"/>
      <c r="K56" s="39"/>
      <c r="L56" s="39"/>
      <c r="M56" s="39"/>
      <c r="N56" s="39"/>
      <c r="O56" s="39"/>
      <c r="P56" s="39"/>
      <c r="Q56" s="39"/>
      <c r="R56" s="39"/>
      <c r="S56" s="239"/>
      <c r="AE56" s="174"/>
    </row>
    <row r="57" ht="15.75" customHeight="1">
      <c r="C57" s="98"/>
      <c r="D57" s="98"/>
      <c r="E57" s="39"/>
      <c r="F57" s="39"/>
      <c r="G57" s="39"/>
      <c r="H57" s="39"/>
      <c r="I57" s="39"/>
      <c r="J57" s="39"/>
      <c r="K57" s="39"/>
      <c r="L57" s="39"/>
      <c r="M57" s="39"/>
      <c r="N57" s="39"/>
      <c r="O57" s="39"/>
      <c r="P57" s="39"/>
      <c r="Q57" s="39"/>
      <c r="R57" s="39"/>
      <c r="S57" s="239"/>
      <c r="AE57" s="174"/>
    </row>
    <row r="58" ht="15.75" customHeight="1">
      <c r="C58" s="98"/>
      <c r="D58" s="98"/>
      <c r="E58" s="39"/>
      <c r="F58" s="39"/>
      <c r="G58" s="39"/>
      <c r="H58" s="39"/>
      <c r="I58" s="39"/>
      <c r="J58" s="39"/>
      <c r="K58" s="39"/>
      <c r="L58" s="39"/>
      <c r="M58" s="39"/>
      <c r="N58" s="39"/>
      <c r="O58" s="39"/>
      <c r="P58" s="39"/>
      <c r="Q58" s="39"/>
      <c r="R58" s="39"/>
      <c r="S58" s="239"/>
      <c r="AE58" s="174"/>
    </row>
    <row r="59" ht="15.75" customHeight="1">
      <c r="C59" s="98"/>
      <c r="D59" s="98"/>
      <c r="E59" s="39"/>
      <c r="F59" s="39"/>
      <c r="G59" s="39"/>
      <c r="H59" s="39"/>
      <c r="I59" s="39"/>
      <c r="J59" s="39"/>
      <c r="K59" s="39"/>
      <c r="L59" s="39"/>
      <c r="M59" s="39"/>
      <c r="N59" s="39"/>
      <c r="O59" s="39"/>
      <c r="P59" s="39"/>
      <c r="Q59" s="39"/>
      <c r="R59" s="39"/>
      <c r="S59" s="239"/>
      <c r="AE59" s="174"/>
    </row>
    <row r="60" ht="15.75" customHeight="1">
      <c r="C60" s="98"/>
      <c r="D60" s="98"/>
      <c r="E60" s="39"/>
      <c r="F60" s="39"/>
      <c r="G60" s="39"/>
      <c r="H60" s="39"/>
      <c r="I60" s="39"/>
      <c r="J60" s="39"/>
      <c r="K60" s="39"/>
      <c r="L60" s="39"/>
      <c r="M60" s="39"/>
      <c r="N60" s="39"/>
      <c r="O60" s="39"/>
      <c r="P60" s="39"/>
      <c r="Q60" s="39"/>
      <c r="R60" s="39"/>
      <c r="S60" s="239"/>
      <c r="AE60" s="174"/>
    </row>
    <row r="61" ht="15.75" customHeight="1">
      <c r="C61" s="98"/>
      <c r="D61" s="98"/>
      <c r="E61" s="39"/>
      <c r="F61" s="39"/>
      <c r="G61" s="39"/>
      <c r="H61" s="39"/>
      <c r="I61" s="39"/>
      <c r="J61" s="39"/>
      <c r="K61" s="39"/>
      <c r="L61" s="39"/>
      <c r="M61" s="39"/>
      <c r="N61" s="39"/>
      <c r="O61" s="39"/>
      <c r="P61" s="39"/>
      <c r="Q61" s="39"/>
      <c r="R61" s="39"/>
      <c r="S61" s="239"/>
      <c r="AE61" s="174"/>
    </row>
    <row r="62" ht="15.75" customHeight="1">
      <c r="C62" s="98"/>
      <c r="D62" s="98"/>
      <c r="E62" s="39"/>
      <c r="F62" s="39"/>
      <c r="G62" s="39"/>
      <c r="H62" s="39"/>
      <c r="I62" s="39"/>
      <c r="J62" s="39"/>
      <c r="K62" s="39"/>
      <c r="L62" s="39"/>
      <c r="M62" s="39"/>
      <c r="N62" s="39"/>
      <c r="O62" s="39"/>
      <c r="P62" s="39"/>
      <c r="Q62" s="39"/>
      <c r="R62" s="39"/>
      <c r="S62" s="239"/>
      <c r="AE62" s="174"/>
    </row>
    <row r="63" ht="15.75" customHeight="1">
      <c r="C63" s="98"/>
      <c r="D63" s="98"/>
      <c r="E63" s="39"/>
      <c r="F63" s="39"/>
      <c r="G63" s="39"/>
      <c r="H63" s="39"/>
      <c r="I63" s="39"/>
      <c r="J63" s="39"/>
      <c r="K63" s="39"/>
      <c r="L63" s="39"/>
      <c r="M63" s="39"/>
      <c r="N63" s="39"/>
      <c r="O63" s="39"/>
      <c r="P63" s="39"/>
      <c r="Q63" s="39"/>
      <c r="R63" s="39"/>
      <c r="S63" s="239"/>
      <c r="AE63" s="174"/>
    </row>
    <row r="64" ht="15.75" customHeight="1">
      <c r="C64" s="98"/>
      <c r="D64" s="98"/>
      <c r="E64" s="39"/>
      <c r="F64" s="39"/>
      <c r="G64" s="39"/>
      <c r="H64" s="39"/>
      <c r="I64" s="39"/>
      <c r="J64" s="39"/>
      <c r="K64" s="39"/>
      <c r="L64" s="39"/>
      <c r="M64" s="39"/>
      <c r="N64" s="39"/>
      <c r="O64" s="39"/>
      <c r="P64" s="39"/>
      <c r="Q64" s="39"/>
      <c r="R64" s="39"/>
      <c r="S64" s="239"/>
      <c r="AE64" s="174"/>
    </row>
    <row r="65" ht="15.75" customHeight="1">
      <c r="C65" s="98"/>
      <c r="D65" s="98"/>
      <c r="E65" s="39"/>
      <c r="F65" s="39"/>
      <c r="G65" s="39"/>
      <c r="H65" s="39"/>
      <c r="I65" s="39"/>
      <c r="J65" s="39"/>
      <c r="K65" s="39"/>
      <c r="L65" s="39"/>
      <c r="M65" s="39"/>
      <c r="N65" s="39"/>
      <c r="O65" s="39"/>
      <c r="P65" s="39"/>
      <c r="Q65" s="39"/>
      <c r="R65" s="39"/>
      <c r="S65" s="239"/>
      <c r="AE65" s="174"/>
    </row>
    <row r="66" ht="15.75" customHeight="1">
      <c r="C66" s="98"/>
      <c r="D66" s="98"/>
      <c r="E66" s="39"/>
      <c r="F66" s="39"/>
      <c r="G66" s="39"/>
      <c r="H66" s="39"/>
      <c r="I66" s="39"/>
      <c r="J66" s="39"/>
      <c r="K66" s="39"/>
      <c r="L66" s="39"/>
      <c r="M66" s="39"/>
      <c r="N66" s="39"/>
      <c r="O66" s="39"/>
      <c r="P66" s="39"/>
      <c r="Q66" s="39"/>
      <c r="R66" s="39"/>
      <c r="S66" s="239"/>
      <c r="AE66" s="174"/>
    </row>
    <row r="67" ht="15.75" customHeight="1">
      <c r="C67" s="98"/>
      <c r="D67" s="98"/>
      <c r="E67" s="39"/>
      <c r="F67" s="39"/>
      <c r="G67" s="39"/>
      <c r="H67" s="39"/>
      <c r="I67" s="39"/>
      <c r="J67" s="39"/>
      <c r="K67" s="39"/>
      <c r="L67" s="39"/>
      <c r="M67" s="39"/>
      <c r="N67" s="39"/>
      <c r="O67" s="39"/>
      <c r="P67" s="39"/>
      <c r="Q67" s="39"/>
      <c r="R67" s="39"/>
      <c r="S67" s="239"/>
      <c r="AE67" s="174"/>
    </row>
    <row r="68" ht="15.75" customHeight="1">
      <c r="C68" s="98"/>
      <c r="D68" s="98"/>
      <c r="E68" s="39"/>
      <c r="F68" s="39"/>
      <c r="G68" s="39"/>
      <c r="H68" s="39"/>
      <c r="I68" s="39"/>
      <c r="J68" s="39"/>
      <c r="K68" s="39"/>
      <c r="L68" s="39"/>
      <c r="M68" s="39"/>
      <c r="N68" s="39"/>
      <c r="O68" s="39"/>
      <c r="P68" s="39"/>
      <c r="Q68" s="39"/>
      <c r="R68" s="39"/>
      <c r="S68" s="239"/>
      <c r="AE68" s="174"/>
    </row>
    <row r="69" ht="15.75" customHeight="1">
      <c r="C69" s="98"/>
      <c r="D69" s="98"/>
      <c r="E69" s="39"/>
      <c r="F69" s="39"/>
      <c r="G69" s="39"/>
      <c r="H69" s="39"/>
      <c r="I69" s="39"/>
      <c r="J69" s="39"/>
      <c r="K69" s="39"/>
      <c r="L69" s="39"/>
      <c r="M69" s="39"/>
      <c r="N69" s="39"/>
      <c r="O69" s="39"/>
      <c r="P69" s="39"/>
      <c r="Q69" s="39"/>
      <c r="R69" s="39"/>
      <c r="S69" s="239"/>
      <c r="AE69" s="174"/>
    </row>
    <row r="70" ht="15.75" customHeight="1">
      <c r="C70" s="98"/>
      <c r="D70" s="98"/>
      <c r="E70" s="39"/>
      <c r="F70" s="39"/>
      <c r="G70" s="39"/>
      <c r="H70" s="39"/>
      <c r="I70" s="39"/>
      <c r="J70" s="39"/>
      <c r="K70" s="39"/>
      <c r="L70" s="39"/>
      <c r="M70" s="39"/>
      <c r="N70" s="39"/>
      <c r="O70" s="39"/>
      <c r="P70" s="39"/>
      <c r="Q70" s="39"/>
      <c r="R70" s="39"/>
      <c r="S70" s="239"/>
      <c r="AE70" s="174"/>
    </row>
    <row r="71" ht="15.75" customHeight="1">
      <c r="C71" s="98"/>
      <c r="D71" s="98"/>
      <c r="E71" s="39"/>
      <c r="F71" s="39"/>
      <c r="G71" s="39"/>
      <c r="H71" s="39"/>
      <c r="I71" s="39"/>
      <c r="J71" s="39"/>
      <c r="K71" s="39"/>
      <c r="L71" s="39"/>
      <c r="M71" s="39"/>
      <c r="N71" s="39"/>
      <c r="O71" s="39"/>
      <c r="P71" s="39"/>
      <c r="Q71" s="39"/>
      <c r="R71" s="39"/>
      <c r="S71" s="239"/>
      <c r="AE71" s="174"/>
    </row>
    <row r="72" ht="15.75" customHeight="1">
      <c r="C72" s="98"/>
      <c r="D72" s="98"/>
      <c r="E72" s="39"/>
      <c r="F72" s="39"/>
      <c r="G72" s="39"/>
      <c r="H72" s="39"/>
      <c r="I72" s="39"/>
      <c r="J72" s="39"/>
      <c r="K72" s="39"/>
      <c r="L72" s="39"/>
      <c r="M72" s="39"/>
      <c r="N72" s="39"/>
      <c r="O72" s="39"/>
      <c r="P72" s="39"/>
      <c r="Q72" s="39"/>
      <c r="R72" s="39"/>
      <c r="S72" s="239"/>
      <c r="AE72" s="174"/>
    </row>
    <row r="73" ht="15.75" customHeight="1">
      <c r="C73" s="98"/>
      <c r="D73" s="98"/>
      <c r="E73" s="39"/>
      <c r="F73" s="39"/>
      <c r="G73" s="39"/>
      <c r="H73" s="39"/>
      <c r="I73" s="39"/>
      <c r="J73" s="39"/>
      <c r="K73" s="39"/>
      <c r="L73" s="39"/>
      <c r="M73" s="39"/>
      <c r="N73" s="39"/>
      <c r="O73" s="39"/>
      <c r="P73" s="39"/>
      <c r="Q73" s="39"/>
      <c r="R73" s="39"/>
      <c r="S73" s="239"/>
      <c r="AE73" s="174"/>
    </row>
    <row r="74" ht="15.75" customHeight="1">
      <c r="C74" s="98"/>
      <c r="D74" s="98"/>
      <c r="E74" s="39"/>
      <c r="F74" s="39"/>
      <c r="G74" s="39"/>
      <c r="H74" s="39"/>
      <c r="I74" s="39"/>
      <c r="J74" s="39"/>
      <c r="K74" s="39"/>
      <c r="L74" s="39"/>
      <c r="M74" s="39"/>
      <c r="N74" s="39"/>
      <c r="O74" s="39"/>
      <c r="P74" s="39"/>
      <c r="Q74" s="39"/>
      <c r="R74" s="39"/>
      <c r="S74" s="239"/>
      <c r="AE74" s="174"/>
    </row>
    <row r="75" ht="15.75" customHeight="1">
      <c r="C75" s="98"/>
      <c r="D75" s="98"/>
      <c r="E75" s="39"/>
      <c r="F75" s="39"/>
      <c r="G75" s="39"/>
      <c r="H75" s="39"/>
      <c r="I75" s="39"/>
      <c r="J75" s="39"/>
      <c r="K75" s="39"/>
      <c r="L75" s="39"/>
      <c r="M75" s="39"/>
      <c r="N75" s="39"/>
      <c r="O75" s="39"/>
      <c r="P75" s="39"/>
      <c r="Q75" s="39"/>
      <c r="R75" s="39"/>
      <c r="S75" s="239"/>
      <c r="AE75" s="174"/>
    </row>
    <row r="76" ht="15.75" customHeight="1">
      <c r="C76" s="98"/>
      <c r="D76" s="98"/>
      <c r="E76" s="39"/>
      <c r="F76" s="39"/>
      <c r="G76" s="39"/>
      <c r="H76" s="39"/>
      <c r="I76" s="39"/>
      <c r="J76" s="39"/>
      <c r="K76" s="39"/>
      <c r="L76" s="39"/>
      <c r="M76" s="39"/>
      <c r="N76" s="39"/>
      <c r="O76" s="39"/>
      <c r="P76" s="39"/>
      <c r="Q76" s="39"/>
      <c r="R76" s="39"/>
      <c r="S76" s="239"/>
      <c r="AE76" s="174"/>
    </row>
    <row r="77" ht="15.75" customHeight="1">
      <c r="C77" s="98"/>
      <c r="D77" s="98"/>
      <c r="E77" s="39"/>
      <c r="F77" s="39"/>
      <c r="G77" s="39"/>
      <c r="H77" s="39"/>
      <c r="I77" s="39"/>
      <c r="J77" s="39"/>
      <c r="K77" s="39"/>
      <c r="L77" s="39"/>
      <c r="M77" s="39"/>
      <c r="N77" s="39"/>
      <c r="O77" s="39"/>
      <c r="P77" s="39"/>
      <c r="Q77" s="39"/>
      <c r="R77" s="39"/>
      <c r="S77" s="239"/>
      <c r="AE77" s="174"/>
    </row>
    <row r="78" ht="15.75" customHeight="1">
      <c r="C78" s="98"/>
      <c r="D78" s="98"/>
      <c r="E78" s="39"/>
      <c r="F78" s="39"/>
      <c r="G78" s="39"/>
      <c r="H78" s="39"/>
      <c r="I78" s="39"/>
      <c r="J78" s="39"/>
      <c r="K78" s="39"/>
      <c r="L78" s="39"/>
      <c r="M78" s="39"/>
      <c r="N78" s="39"/>
      <c r="O78" s="39"/>
      <c r="P78" s="39"/>
      <c r="Q78" s="39"/>
      <c r="R78" s="39"/>
      <c r="S78" s="239"/>
      <c r="AE78" s="174"/>
    </row>
    <row r="79" ht="15.75" customHeight="1">
      <c r="C79" s="98"/>
      <c r="D79" s="98"/>
      <c r="E79" s="39"/>
      <c r="F79" s="39"/>
      <c r="G79" s="39"/>
      <c r="H79" s="39"/>
      <c r="I79" s="39"/>
      <c r="J79" s="39"/>
      <c r="K79" s="39"/>
      <c r="L79" s="39"/>
      <c r="M79" s="39"/>
      <c r="N79" s="39"/>
      <c r="O79" s="39"/>
      <c r="P79" s="39"/>
      <c r="Q79" s="39"/>
      <c r="R79" s="39"/>
      <c r="S79" s="239"/>
      <c r="AE79" s="174"/>
    </row>
    <row r="80" ht="15.75" customHeight="1">
      <c r="C80" s="98"/>
      <c r="D80" s="98"/>
      <c r="E80" s="39"/>
      <c r="F80" s="39"/>
      <c r="G80" s="39"/>
      <c r="H80" s="39"/>
      <c r="I80" s="39"/>
      <c r="J80" s="39"/>
      <c r="K80" s="39"/>
      <c r="L80" s="39"/>
      <c r="M80" s="39"/>
      <c r="N80" s="39"/>
      <c r="O80" s="39"/>
      <c r="P80" s="39"/>
      <c r="Q80" s="39"/>
      <c r="R80" s="39"/>
      <c r="S80" s="239"/>
      <c r="AE80" s="174"/>
    </row>
    <row r="81" ht="15.75" customHeight="1">
      <c r="C81" s="98"/>
      <c r="D81" s="98"/>
      <c r="E81" s="39"/>
      <c r="F81" s="39"/>
      <c r="G81" s="39"/>
      <c r="H81" s="39"/>
      <c r="I81" s="39"/>
      <c r="J81" s="39"/>
      <c r="K81" s="39"/>
      <c r="L81" s="39"/>
      <c r="M81" s="39"/>
      <c r="N81" s="39"/>
      <c r="O81" s="39"/>
      <c r="P81" s="39"/>
      <c r="Q81" s="39"/>
      <c r="R81" s="39"/>
      <c r="S81" s="239"/>
      <c r="AE81" s="174"/>
    </row>
    <row r="82" ht="15.75" customHeight="1">
      <c r="C82" s="98"/>
      <c r="D82" s="98"/>
      <c r="E82" s="39"/>
      <c r="F82" s="39"/>
      <c r="G82" s="39"/>
      <c r="H82" s="39"/>
      <c r="I82" s="39"/>
      <c r="J82" s="39"/>
      <c r="K82" s="39"/>
      <c r="L82" s="39"/>
      <c r="M82" s="39"/>
      <c r="N82" s="39"/>
      <c r="O82" s="39"/>
      <c r="P82" s="39"/>
      <c r="Q82" s="39"/>
      <c r="R82" s="39"/>
      <c r="S82" s="239"/>
      <c r="AE82" s="174"/>
    </row>
    <row r="83" ht="15.75" customHeight="1">
      <c r="C83" s="98"/>
      <c r="D83" s="98"/>
      <c r="E83" s="39"/>
      <c r="F83" s="39"/>
      <c r="G83" s="39"/>
      <c r="H83" s="39"/>
      <c r="I83" s="39"/>
      <c r="J83" s="39"/>
      <c r="K83" s="39"/>
      <c r="L83" s="39"/>
      <c r="M83" s="39"/>
      <c r="N83" s="39"/>
      <c r="O83" s="39"/>
      <c r="P83" s="39"/>
      <c r="Q83" s="39"/>
      <c r="R83" s="39"/>
      <c r="S83" s="239"/>
      <c r="AE83" s="174"/>
    </row>
    <row r="84" ht="15.75" customHeight="1">
      <c r="C84" s="98"/>
      <c r="D84" s="98"/>
      <c r="E84" s="39"/>
      <c r="F84" s="39"/>
      <c r="G84" s="39"/>
      <c r="H84" s="39"/>
      <c r="I84" s="39"/>
      <c r="J84" s="39"/>
      <c r="K84" s="39"/>
      <c r="L84" s="39"/>
      <c r="M84" s="39"/>
      <c r="N84" s="39"/>
      <c r="O84" s="39"/>
      <c r="P84" s="39"/>
      <c r="Q84" s="39"/>
      <c r="R84" s="39"/>
      <c r="S84" s="239"/>
      <c r="AE84" s="174"/>
    </row>
    <row r="85" ht="15.75" customHeight="1">
      <c r="C85" s="98"/>
      <c r="D85" s="98"/>
      <c r="E85" s="39"/>
      <c r="F85" s="39"/>
      <c r="G85" s="39"/>
      <c r="H85" s="39"/>
      <c r="I85" s="39"/>
      <c r="J85" s="39"/>
      <c r="K85" s="39"/>
      <c r="L85" s="39"/>
      <c r="M85" s="39"/>
      <c r="N85" s="39"/>
      <c r="O85" s="39"/>
      <c r="P85" s="39"/>
      <c r="Q85" s="39"/>
      <c r="R85" s="39"/>
      <c r="S85" s="239"/>
      <c r="AE85" s="174"/>
    </row>
    <row r="86" ht="15.75" customHeight="1">
      <c r="C86" s="98"/>
      <c r="D86" s="98"/>
      <c r="E86" s="39"/>
      <c r="F86" s="39"/>
      <c r="G86" s="39"/>
      <c r="H86" s="39"/>
      <c r="I86" s="39"/>
      <c r="J86" s="39"/>
      <c r="K86" s="39"/>
      <c r="L86" s="39"/>
      <c r="M86" s="39"/>
      <c r="N86" s="39"/>
      <c r="O86" s="39"/>
      <c r="P86" s="39"/>
      <c r="Q86" s="39"/>
      <c r="R86" s="39"/>
      <c r="S86" s="239"/>
      <c r="AE86" s="174"/>
    </row>
    <row r="87" ht="15.75" customHeight="1">
      <c r="C87" s="98"/>
      <c r="D87" s="98"/>
      <c r="E87" s="39"/>
      <c r="F87" s="39"/>
      <c r="G87" s="39"/>
      <c r="H87" s="39"/>
      <c r="I87" s="39"/>
      <c r="J87" s="39"/>
      <c r="K87" s="39"/>
      <c r="L87" s="39"/>
      <c r="M87" s="39"/>
      <c r="N87" s="39"/>
      <c r="O87" s="39"/>
      <c r="P87" s="39"/>
      <c r="Q87" s="39"/>
      <c r="R87" s="39"/>
      <c r="S87" s="239"/>
      <c r="AE87" s="174"/>
    </row>
    <row r="88" ht="15.75" customHeight="1">
      <c r="C88" s="98"/>
      <c r="D88" s="98"/>
      <c r="E88" s="39"/>
      <c r="F88" s="39"/>
      <c r="G88" s="39"/>
      <c r="H88" s="39"/>
      <c r="I88" s="39"/>
      <c r="J88" s="39"/>
      <c r="K88" s="39"/>
      <c r="L88" s="39"/>
      <c r="M88" s="39"/>
      <c r="N88" s="39"/>
      <c r="O88" s="39"/>
      <c r="P88" s="39"/>
      <c r="Q88" s="39"/>
      <c r="R88" s="39"/>
      <c r="S88" s="239"/>
      <c r="AE88" s="174"/>
    </row>
    <row r="89" ht="15.75" customHeight="1">
      <c r="C89" s="98"/>
      <c r="D89" s="98"/>
      <c r="E89" s="39"/>
      <c r="F89" s="39"/>
      <c r="G89" s="39"/>
      <c r="H89" s="39"/>
      <c r="I89" s="39"/>
      <c r="J89" s="39"/>
      <c r="K89" s="39"/>
      <c r="L89" s="39"/>
      <c r="M89" s="39"/>
      <c r="N89" s="39"/>
      <c r="O89" s="39"/>
      <c r="P89" s="39"/>
      <c r="Q89" s="39"/>
      <c r="R89" s="39"/>
      <c r="S89" s="239"/>
      <c r="AE89" s="174"/>
    </row>
    <row r="90" ht="15.75" customHeight="1">
      <c r="C90" s="98"/>
      <c r="D90" s="98"/>
      <c r="E90" s="39"/>
      <c r="F90" s="39"/>
      <c r="G90" s="39"/>
      <c r="H90" s="39"/>
      <c r="I90" s="39"/>
      <c r="J90" s="39"/>
      <c r="K90" s="39"/>
      <c r="L90" s="39"/>
      <c r="M90" s="39"/>
      <c r="N90" s="39"/>
      <c r="O90" s="39"/>
      <c r="P90" s="39"/>
      <c r="Q90" s="39"/>
      <c r="R90" s="39"/>
      <c r="S90" s="239"/>
      <c r="AE90" s="174"/>
    </row>
    <row r="91" ht="15.75" customHeight="1">
      <c r="C91" s="98"/>
      <c r="D91" s="98"/>
      <c r="E91" s="39"/>
      <c r="F91" s="39"/>
      <c r="G91" s="39"/>
      <c r="H91" s="39"/>
      <c r="I91" s="39"/>
      <c r="J91" s="39"/>
      <c r="K91" s="39"/>
      <c r="L91" s="39"/>
      <c r="M91" s="39"/>
      <c r="N91" s="39"/>
      <c r="O91" s="39"/>
      <c r="P91" s="39"/>
      <c r="Q91" s="39"/>
      <c r="R91" s="39"/>
      <c r="S91" s="239"/>
      <c r="AE91" s="174"/>
    </row>
    <row r="92" ht="15.75" customHeight="1">
      <c r="C92" s="98"/>
      <c r="D92" s="98"/>
      <c r="E92" s="39"/>
      <c r="F92" s="39"/>
      <c r="G92" s="39"/>
      <c r="H92" s="39"/>
      <c r="I92" s="39"/>
      <c r="J92" s="39"/>
      <c r="K92" s="39"/>
      <c r="L92" s="39"/>
      <c r="M92" s="39"/>
      <c r="N92" s="39"/>
      <c r="O92" s="39"/>
      <c r="P92" s="39"/>
      <c r="Q92" s="39"/>
      <c r="R92" s="39"/>
      <c r="S92" s="239"/>
      <c r="AE92" s="174"/>
    </row>
    <row r="93" ht="15.75" customHeight="1">
      <c r="C93" s="98"/>
      <c r="D93" s="98"/>
      <c r="E93" s="39"/>
      <c r="F93" s="39"/>
      <c r="G93" s="39"/>
      <c r="H93" s="39"/>
      <c r="I93" s="39"/>
      <c r="J93" s="39"/>
      <c r="K93" s="39"/>
      <c r="L93" s="39"/>
      <c r="M93" s="39"/>
      <c r="N93" s="39"/>
      <c r="O93" s="39"/>
      <c r="P93" s="39"/>
      <c r="Q93" s="39"/>
      <c r="R93" s="39"/>
      <c r="S93" s="239"/>
      <c r="AE93" s="174"/>
    </row>
    <row r="94" ht="15.75" customHeight="1">
      <c r="C94" s="98"/>
      <c r="D94" s="98"/>
      <c r="E94" s="39"/>
      <c r="F94" s="39"/>
      <c r="G94" s="39"/>
      <c r="H94" s="39"/>
      <c r="I94" s="39"/>
      <c r="J94" s="39"/>
      <c r="K94" s="39"/>
      <c r="L94" s="39"/>
      <c r="M94" s="39"/>
      <c r="N94" s="39"/>
      <c r="O94" s="39"/>
      <c r="P94" s="39"/>
      <c r="Q94" s="39"/>
      <c r="R94" s="39"/>
      <c r="S94" s="239"/>
      <c r="AE94" s="174"/>
    </row>
    <row r="95" ht="15.75" customHeight="1">
      <c r="C95" s="98"/>
      <c r="D95" s="98"/>
      <c r="E95" s="39"/>
      <c r="F95" s="39"/>
      <c r="G95" s="39"/>
      <c r="H95" s="39"/>
      <c r="I95" s="39"/>
      <c r="J95" s="39"/>
      <c r="K95" s="39"/>
      <c r="L95" s="39"/>
      <c r="M95" s="39"/>
      <c r="N95" s="39"/>
      <c r="O95" s="39"/>
      <c r="P95" s="39"/>
      <c r="Q95" s="39"/>
      <c r="R95" s="39"/>
      <c r="S95" s="239"/>
      <c r="AE95" s="174"/>
    </row>
    <row r="96" ht="15.75" customHeight="1">
      <c r="C96" s="98"/>
      <c r="D96" s="98"/>
      <c r="E96" s="39"/>
      <c r="F96" s="39"/>
      <c r="G96" s="39"/>
      <c r="H96" s="39"/>
      <c r="I96" s="39"/>
      <c r="J96" s="39"/>
      <c r="K96" s="39"/>
      <c r="L96" s="39"/>
      <c r="M96" s="39"/>
      <c r="N96" s="39"/>
      <c r="O96" s="39"/>
      <c r="P96" s="39"/>
      <c r="Q96" s="39"/>
      <c r="R96" s="39"/>
      <c r="S96" s="239"/>
      <c r="AE96" s="174"/>
    </row>
    <row r="97" ht="15.75" customHeight="1">
      <c r="C97" s="98"/>
      <c r="D97" s="98"/>
      <c r="E97" s="39"/>
      <c r="F97" s="39"/>
      <c r="G97" s="39"/>
      <c r="H97" s="39"/>
      <c r="I97" s="39"/>
      <c r="J97" s="39"/>
      <c r="K97" s="39"/>
      <c r="L97" s="39"/>
      <c r="M97" s="39"/>
      <c r="N97" s="39"/>
      <c r="O97" s="39"/>
      <c r="P97" s="39"/>
      <c r="Q97" s="39"/>
      <c r="R97" s="39"/>
      <c r="S97" s="239"/>
      <c r="AE97" s="174"/>
    </row>
    <row r="98" ht="15.75" customHeight="1">
      <c r="C98" s="98"/>
      <c r="D98" s="98"/>
      <c r="E98" s="39"/>
      <c r="F98" s="39"/>
      <c r="G98" s="39"/>
      <c r="H98" s="39"/>
      <c r="I98" s="39"/>
      <c r="J98" s="39"/>
      <c r="K98" s="39"/>
      <c r="L98" s="39"/>
      <c r="M98" s="39"/>
      <c r="N98" s="39"/>
      <c r="O98" s="39"/>
      <c r="P98" s="39"/>
      <c r="Q98" s="39"/>
      <c r="R98" s="39"/>
      <c r="S98" s="239"/>
      <c r="AE98" s="174"/>
    </row>
    <row r="99" ht="15.75" customHeight="1">
      <c r="C99" s="98"/>
      <c r="D99" s="98"/>
      <c r="E99" s="39"/>
      <c r="F99" s="39"/>
      <c r="G99" s="39"/>
      <c r="H99" s="39"/>
      <c r="I99" s="39"/>
      <c r="J99" s="39"/>
      <c r="K99" s="39"/>
      <c r="L99" s="39"/>
      <c r="M99" s="39"/>
      <c r="N99" s="39"/>
      <c r="O99" s="39"/>
      <c r="P99" s="39"/>
      <c r="Q99" s="39"/>
      <c r="R99" s="39"/>
      <c r="S99" s="239"/>
      <c r="AE99" s="174"/>
    </row>
    <row r="100" ht="15.75" customHeight="1">
      <c r="C100" s="98"/>
      <c r="D100" s="98"/>
      <c r="E100" s="39"/>
      <c r="F100" s="39"/>
      <c r="G100" s="39"/>
      <c r="H100" s="39"/>
      <c r="I100" s="39"/>
      <c r="J100" s="39"/>
      <c r="K100" s="39"/>
      <c r="L100" s="39"/>
      <c r="M100" s="39"/>
      <c r="N100" s="39"/>
      <c r="O100" s="39"/>
      <c r="P100" s="39"/>
      <c r="Q100" s="39"/>
      <c r="R100" s="39"/>
      <c r="S100" s="239"/>
      <c r="AE100" s="174"/>
    </row>
    <row r="101" ht="15.75" customHeight="1">
      <c r="C101" s="98"/>
      <c r="D101" s="98"/>
      <c r="E101" s="39"/>
      <c r="F101" s="39"/>
      <c r="G101" s="39"/>
      <c r="H101" s="39"/>
      <c r="I101" s="39"/>
      <c r="J101" s="39"/>
      <c r="K101" s="39"/>
      <c r="L101" s="39"/>
      <c r="M101" s="39"/>
      <c r="N101" s="39"/>
      <c r="O101" s="39"/>
      <c r="P101" s="39"/>
      <c r="Q101" s="39"/>
      <c r="R101" s="39"/>
      <c r="S101" s="239"/>
      <c r="AE101" s="174"/>
    </row>
    <row r="102" ht="15.75" customHeight="1">
      <c r="C102" s="98"/>
      <c r="D102" s="98"/>
      <c r="E102" s="39"/>
      <c r="F102" s="39"/>
      <c r="G102" s="39"/>
      <c r="H102" s="39"/>
      <c r="I102" s="39"/>
      <c r="J102" s="39"/>
      <c r="K102" s="39"/>
      <c r="L102" s="39"/>
      <c r="M102" s="39"/>
      <c r="N102" s="39"/>
      <c r="O102" s="39"/>
      <c r="P102" s="39"/>
      <c r="Q102" s="39"/>
      <c r="R102" s="39"/>
      <c r="S102" s="239"/>
      <c r="AE102" s="174"/>
    </row>
    <row r="103" ht="15.75" customHeight="1">
      <c r="C103" s="98"/>
      <c r="D103" s="98"/>
      <c r="E103" s="39"/>
      <c r="F103" s="39"/>
      <c r="G103" s="39"/>
      <c r="H103" s="39"/>
      <c r="I103" s="39"/>
      <c r="J103" s="39"/>
      <c r="K103" s="39"/>
      <c r="L103" s="39"/>
      <c r="M103" s="39"/>
      <c r="N103" s="39"/>
      <c r="O103" s="39"/>
      <c r="P103" s="39"/>
      <c r="Q103" s="39"/>
      <c r="R103" s="39"/>
      <c r="S103" s="239"/>
      <c r="AE103" s="174"/>
    </row>
    <row r="104" ht="15.75" customHeight="1">
      <c r="C104" s="98"/>
      <c r="D104" s="98"/>
      <c r="E104" s="39"/>
      <c r="F104" s="39"/>
      <c r="G104" s="39"/>
      <c r="H104" s="39"/>
      <c r="I104" s="39"/>
      <c r="J104" s="39"/>
      <c r="K104" s="39"/>
      <c r="L104" s="39"/>
      <c r="M104" s="39"/>
      <c r="N104" s="39"/>
      <c r="O104" s="39"/>
      <c r="P104" s="39"/>
      <c r="Q104" s="39"/>
      <c r="R104" s="39"/>
      <c r="S104" s="239"/>
      <c r="AE104" s="174"/>
    </row>
    <row r="105" ht="15.75" customHeight="1">
      <c r="C105" s="98"/>
      <c r="D105" s="98"/>
      <c r="E105" s="39"/>
      <c r="F105" s="39"/>
      <c r="G105" s="39"/>
      <c r="H105" s="39"/>
      <c r="I105" s="39"/>
      <c r="J105" s="39"/>
      <c r="K105" s="39"/>
      <c r="L105" s="39"/>
      <c r="M105" s="39"/>
      <c r="N105" s="39"/>
      <c r="O105" s="39"/>
      <c r="P105" s="39"/>
      <c r="Q105" s="39"/>
      <c r="R105" s="39"/>
      <c r="S105" s="239"/>
      <c r="AE105" s="174"/>
    </row>
    <row r="106" ht="15.75" customHeight="1">
      <c r="C106" s="98"/>
      <c r="D106" s="98"/>
      <c r="E106" s="39"/>
      <c r="F106" s="39"/>
      <c r="G106" s="39"/>
      <c r="H106" s="39"/>
      <c r="I106" s="39"/>
      <c r="J106" s="39"/>
      <c r="K106" s="39"/>
      <c r="L106" s="39"/>
      <c r="M106" s="39"/>
      <c r="N106" s="39"/>
      <c r="O106" s="39"/>
      <c r="P106" s="39"/>
      <c r="Q106" s="39"/>
      <c r="R106" s="39"/>
      <c r="S106" s="239"/>
      <c r="AE106" s="174"/>
    </row>
    <row r="107" ht="15.75" customHeight="1">
      <c r="C107" s="98"/>
      <c r="D107" s="98"/>
      <c r="E107" s="39"/>
      <c r="F107" s="39"/>
      <c r="G107" s="39"/>
      <c r="H107" s="39"/>
      <c r="I107" s="39"/>
      <c r="J107" s="39"/>
      <c r="K107" s="39"/>
      <c r="L107" s="39"/>
      <c r="M107" s="39"/>
      <c r="N107" s="39"/>
      <c r="O107" s="39"/>
      <c r="P107" s="39"/>
      <c r="Q107" s="39"/>
      <c r="R107" s="39"/>
      <c r="S107" s="239"/>
      <c r="AE107" s="174"/>
    </row>
    <row r="108" ht="15.75" customHeight="1">
      <c r="C108" s="98"/>
      <c r="D108" s="98"/>
      <c r="E108" s="39"/>
      <c r="F108" s="39"/>
      <c r="G108" s="39"/>
      <c r="H108" s="39"/>
      <c r="I108" s="39"/>
      <c r="J108" s="39"/>
      <c r="K108" s="39"/>
      <c r="L108" s="39"/>
      <c r="M108" s="39"/>
      <c r="N108" s="39"/>
      <c r="O108" s="39"/>
      <c r="P108" s="39"/>
      <c r="Q108" s="39"/>
      <c r="R108" s="39"/>
      <c r="S108" s="239"/>
      <c r="AE108" s="174"/>
    </row>
    <row r="109" ht="15.75" customHeight="1">
      <c r="C109" s="98"/>
      <c r="D109" s="98"/>
      <c r="E109" s="39"/>
      <c r="F109" s="39"/>
      <c r="G109" s="39"/>
      <c r="H109" s="39"/>
      <c r="I109" s="39"/>
      <c r="J109" s="39"/>
      <c r="K109" s="39"/>
      <c r="L109" s="39"/>
      <c r="M109" s="39"/>
      <c r="N109" s="39"/>
      <c r="O109" s="39"/>
      <c r="P109" s="39"/>
      <c r="Q109" s="39"/>
      <c r="R109" s="39"/>
      <c r="S109" s="239"/>
      <c r="AE109" s="174"/>
    </row>
    <row r="110" ht="15.75" customHeight="1">
      <c r="C110" s="98"/>
      <c r="D110" s="98"/>
      <c r="E110" s="39"/>
      <c r="F110" s="39"/>
      <c r="G110" s="39"/>
      <c r="H110" s="39"/>
      <c r="I110" s="39"/>
      <c r="J110" s="39"/>
      <c r="K110" s="39"/>
      <c r="L110" s="39"/>
      <c r="M110" s="39"/>
      <c r="N110" s="39"/>
      <c r="O110" s="39"/>
      <c r="P110" s="39"/>
      <c r="Q110" s="39"/>
      <c r="R110" s="39"/>
      <c r="S110" s="239"/>
      <c r="AE110" s="174"/>
    </row>
    <row r="111" ht="15.75" customHeight="1">
      <c r="C111" s="98"/>
      <c r="D111" s="98"/>
      <c r="E111" s="39"/>
      <c r="F111" s="39"/>
      <c r="G111" s="39"/>
      <c r="H111" s="39"/>
      <c r="I111" s="39"/>
      <c r="J111" s="39"/>
      <c r="K111" s="39"/>
      <c r="L111" s="39"/>
      <c r="M111" s="39"/>
      <c r="N111" s="39"/>
      <c r="O111" s="39"/>
      <c r="P111" s="39"/>
      <c r="Q111" s="39"/>
      <c r="R111" s="39"/>
      <c r="S111" s="239"/>
      <c r="AE111" s="174"/>
    </row>
    <row r="112" ht="15.75" customHeight="1">
      <c r="C112" s="98"/>
      <c r="D112" s="98"/>
      <c r="E112" s="39"/>
      <c r="F112" s="39"/>
      <c r="G112" s="39"/>
      <c r="H112" s="39"/>
      <c r="I112" s="39"/>
      <c r="J112" s="39"/>
      <c r="K112" s="39"/>
      <c r="L112" s="39"/>
      <c r="M112" s="39"/>
      <c r="N112" s="39"/>
      <c r="O112" s="39"/>
      <c r="P112" s="39"/>
      <c r="Q112" s="39"/>
      <c r="R112" s="39"/>
      <c r="S112" s="239"/>
      <c r="AE112" s="174"/>
    </row>
    <row r="113" ht="15.75" customHeight="1">
      <c r="C113" s="98"/>
      <c r="D113" s="98"/>
      <c r="E113" s="39"/>
      <c r="F113" s="39"/>
      <c r="G113" s="39"/>
      <c r="H113" s="39"/>
      <c r="I113" s="39"/>
      <c r="J113" s="39"/>
      <c r="K113" s="39"/>
      <c r="L113" s="39"/>
      <c r="M113" s="39"/>
      <c r="N113" s="39"/>
      <c r="O113" s="39"/>
      <c r="P113" s="39"/>
      <c r="Q113" s="39"/>
      <c r="R113" s="39"/>
      <c r="S113" s="239"/>
      <c r="AE113" s="174"/>
    </row>
    <row r="114" ht="15.75" customHeight="1">
      <c r="C114" s="98"/>
      <c r="D114" s="98"/>
      <c r="E114" s="39"/>
      <c r="F114" s="39"/>
      <c r="G114" s="39"/>
      <c r="H114" s="39"/>
      <c r="I114" s="39"/>
      <c r="J114" s="39"/>
      <c r="K114" s="39"/>
      <c r="L114" s="39"/>
      <c r="M114" s="39"/>
      <c r="N114" s="39"/>
      <c r="O114" s="39"/>
      <c r="P114" s="39"/>
      <c r="Q114" s="39"/>
      <c r="R114" s="39"/>
      <c r="S114" s="239"/>
      <c r="AE114" s="174"/>
    </row>
    <row r="115" ht="15.75" customHeight="1">
      <c r="C115" s="98"/>
      <c r="D115" s="98"/>
      <c r="E115" s="39"/>
      <c r="F115" s="39"/>
      <c r="G115" s="39"/>
      <c r="H115" s="39"/>
      <c r="I115" s="39"/>
      <c r="J115" s="39"/>
      <c r="K115" s="39"/>
      <c r="L115" s="39"/>
      <c r="M115" s="39"/>
      <c r="N115" s="39"/>
      <c r="O115" s="39"/>
      <c r="P115" s="39"/>
      <c r="Q115" s="39"/>
      <c r="R115" s="39"/>
      <c r="S115" s="239"/>
      <c r="AE115" s="174"/>
    </row>
    <row r="116" ht="15.75" customHeight="1">
      <c r="C116" s="98"/>
      <c r="D116" s="98"/>
      <c r="E116" s="39"/>
      <c r="F116" s="39"/>
      <c r="G116" s="39"/>
      <c r="H116" s="39"/>
      <c r="I116" s="39"/>
      <c r="J116" s="39"/>
      <c r="K116" s="39"/>
      <c r="L116" s="39"/>
      <c r="M116" s="39"/>
      <c r="N116" s="39"/>
      <c r="O116" s="39"/>
      <c r="P116" s="39"/>
      <c r="Q116" s="39"/>
      <c r="R116" s="39"/>
      <c r="S116" s="239"/>
      <c r="AE116" s="174"/>
    </row>
    <row r="117" ht="15.75" customHeight="1">
      <c r="C117" s="98"/>
      <c r="D117" s="98"/>
      <c r="E117" s="39"/>
      <c r="F117" s="39"/>
      <c r="G117" s="39"/>
      <c r="H117" s="39"/>
      <c r="I117" s="39"/>
      <c r="J117" s="39"/>
      <c r="K117" s="39"/>
      <c r="L117" s="39"/>
      <c r="M117" s="39"/>
      <c r="N117" s="39"/>
      <c r="O117" s="39"/>
      <c r="P117" s="39"/>
      <c r="Q117" s="39"/>
      <c r="R117" s="39"/>
      <c r="S117" s="239"/>
      <c r="AE117" s="174"/>
    </row>
    <row r="118" ht="15.75" customHeight="1">
      <c r="C118" s="98"/>
      <c r="D118" s="98"/>
      <c r="E118" s="39"/>
      <c r="F118" s="39"/>
      <c r="G118" s="39"/>
      <c r="H118" s="39"/>
      <c r="I118" s="39"/>
      <c r="J118" s="39"/>
      <c r="K118" s="39"/>
      <c r="L118" s="39"/>
      <c r="M118" s="39"/>
      <c r="N118" s="39"/>
      <c r="O118" s="39"/>
      <c r="P118" s="39"/>
      <c r="Q118" s="39"/>
      <c r="R118" s="39"/>
      <c r="S118" s="239"/>
      <c r="AE118" s="174"/>
    </row>
    <row r="119" ht="15.75" customHeight="1">
      <c r="C119" s="98"/>
      <c r="D119" s="98"/>
      <c r="E119" s="39"/>
      <c r="F119" s="39"/>
      <c r="G119" s="39"/>
      <c r="H119" s="39"/>
      <c r="I119" s="39"/>
      <c r="J119" s="39"/>
      <c r="K119" s="39"/>
      <c r="L119" s="39"/>
      <c r="M119" s="39"/>
      <c r="N119" s="39"/>
      <c r="O119" s="39"/>
      <c r="P119" s="39"/>
      <c r="Q119" s="39"/>
      <c r="R119" s="39"/>
      <c r="S119" s="239"/>
      <c r="AE119" s="174"/>
    </row>
    <row r="120" ht="15.75" customHeight="1">
      <c r="C120" s="98"/>
      <c r="D120" s="98"/>
      <c r="E120" s="39"/>
      <c r="F120" s="39"/>
      <c r="G120" s="39"/>
      <c r="H120" s="39"/>
      <c r="I120" s="39"/>
      <c r="J120" s="39"/>
      <c r="K120" s="39"/>
      <c r="L120" s="39"/>
      <c r="M120" s="39"/>
      <c r="N120" s="39"/>
      <c r="O120" s="39"/>
      <c r="P120" s="39"/>
      <c r="Q120" s="39"/>
      <c r="R120" s="39"/>
      <c r="S120" s="239"/>
      <c r="AE120" s="174"/>
    </row>
    <row r="121" ht="15.75" customHeight="1">
      <c r="C121" s="98"/>
      <c r="D121" s="98"/>
      <c r="E121" s="39"/>
      <c r="F121" s="39"/>
      <c r="G121" s="39"/>
      <c r="H121" s="39"/>
      <c r="I121" s="39"/>
      <c r="J121" s="39"/>
      <c r="K121" s="39"/>
      <c r="L121" s="39"/>
      <c r="M121" s="39"/>
      <c r="N121" s="39"/>
      <c r="O121" s="39"/>
      <c r="P121" s="39"/>
      <c r="Q121" s="39"/>
      <c r="R121" s="39"/>
      <c r="S121" s="239"/>
      <c r="AE121" s="174"/>
    </row>
    <row r="122" ht="15.75" customHeight="1">
      <c r="C122" s="98"/>
      <c r="D122" s="98"/>
      <c r="E122" s="39"/>
      <c r="F122" s="39"/>
      <c r="G122" s="39"/>
      <c r="H122" s="39"/>
      <c r="I122" s="39"/>
      <c r="J122" s="39"/>
      <c r="K122" s="39"/>
      <c r="L122" s="39"/>
      <c r="M122" s="39"/>
      <c r="N122" s="39"/>
      <c r="O122" s="39"/>
      <c r="P122" s="39"/>
      <c r="Q122" s="39"/>
      <c r="R122" s="39"/>
      <c r="S122" s="239"/>
      <c r="AE122" s="174"/>
    </row>
    <row r="123" ht="15.75" customHeight="1">
      <c r="C123" s="98"/>
      <c r="D123" s="98"/>
      <c r="E123" s="39"/>
      <c r="F123" s="39"/>
      <c r="G123" s="39"/>
      <c r="H123" s="39"/>
      <c r="I123" s="39"/>
      <c r="J123" s="39"/>
      <c r="K123" s="39"/>
      <c r="L123" s="39"/>
      <c r="M123" s="39"/>
      <c r="N123" s="39"/>
      <c r="O123" s="39"/>
      <c r="P123" s="39"/>
      <c r="Q123" s="39"/>
      <c r="R123" s="39"/>
      <c r="S123" s="239"/>
      <c r="AE123" s="174"/>
    </row>
    <row r="124" ht="15.75" customHeight="1">
      <c r="C124" s="98"/>
      <c r="D124" s="98"/>
      <c r="E124" s="39"/>
      <c r="F124" s="39"/>
      <c r="G124" s="39"/>
      <c r="H124" s="39"/>
      <c r="I124" s="39"/>
      <c r="J124" s="39"/>
      <c r="K124" s="39"/>
      <c r="L124" s="39"/>
      <c r="M124" s="39"/>
      <c r="N124" s="39"/>
      <c r="O124" s="39"/>
      <c r="P124" s="39"/>
      <c r="Q124" s="39"/>
      <c r="R124" s="39"/>
      <c r="S124" s="239"/>
      <c r="AE124" s="174"/>
    </row>
    <row r="125" ht="15.75" customHeight="1">
      <c r="C125" s="98"/>
      <c r="D125" s="98"/>
      <c r="E125" s="39"/>
      <c r="F125" s="39"/>
      <c r="G125" s="39"/>
      <c r="H125" s="39"/>
      <c r="I125" s="39"/>
      <c r="J125" s="39"/>
      <c r="K125" s="39"/>
      <c r="L125" s="39"/>
      <c r="M125" s="39"/>
      <c r="N125" s="39"/>
      <c r="O125" s="39"/>
      <c r="P125" s="39"/>
      <c r="Q125" s="39"/>
      <c r="R125" s="39"/>
      <c r="S125" s="239"/>
      <c r="AE125" s="174"/>
    </row>
    <row r="126" ht="15.75" customHeight="1">
      <c r="C126" s="98"/>
      <c r="D126" s="98"/>
      <c r="E126" s="39"/>
      <c r="F126" s="39"/>
      <c r="G126" s="39"/>
      <c r="H126" s="39"/>
      <c r="I126" s="39"/>
      <c r="J126" s="39"/>
      <c r="K126" s="39"/>
      <c r="L126" s="39"/>
      <c r="M126" s="39"/>
      <c r="N126" s="39"/>
      <c r="O126" s="39"/>
      <c r="P126" s="39"/>
      <c r="Q126" s="39"/>
      <c r="R126" s="39"/>
      <c r="S126" s="239"/>
      <c r="AE126" s="174"/>
    </row>
    <row r="127" ht="15.75" customHeight="1">
      <c r="C127" s="98"/>
      <c r="D127" s="98"/>
      <c r="E127" s="39"/>
      <c r="F127" s="39"/>
      <c r="G127" s="39"/>
      <c r="H127" s="39"/>
      <c r="I127" s="39"/>
      <c r="J127" s="39"/>
      <c r="K127" s="39"/>
      <c r="L127" s="39"/>
      <c r="M127" s="39"/>
      <c r="N127" s="39"/>
      <c r="O127" s="39"/>
      <c r="P127" s="39"/>
      <c r="Q127" s="39"/>
      <c r="R127" s="39"/>
      <c r="S127" s="239"/>
      <c r="AE127" s="174"/>
    </row>
    <row r="128" ht="15.75" customHeight="1">
      <c r="C128" s="98"/>
      <c r="D128" s="98"/>
      <c r="E128" s="39"/>
      <c r="F128" s="39"/>
      <c r="G128" s="39"/>
      <c r="H128" s="39"/>
      <c r="I128" s="39"/>
      <c r="J128" s="39"/>
      <c r="K128" s="39"/>
      <c r="L128" s="39"/>
      <c r="M128" s="39"/>
      <c r="N128" s="39"/>
      <c r="O128" s="39"/>
      <c r="P128" s="39"/>
      <c r="Q128" s="39"/>
      <c r="R128" s="39"/>
      <c r="S128" s="239"/>
      <c r="AE128" s="174"/>
    </row>
    <row r="129" ht="15.75" customHeight="1">
      <c r="C129" s="98"/>
      <c r="D129" s="98"/>
      <c r="E129" s="39"/>
      <c r="F129" s="39"/>
      <c r="G129" s="39"/>
      <c r="H129" s="39"/>
      <c r="I129" s="39"/>
      <c r="J129" s="39"/>
      <c r="K129" s="39"/>
      <c r="L129" s="39"/>
      <c r="M129" s="39"/>
      <c r="N129" s="39"/>
      <c r="O129" s="39"/>
      <c r="P129" s="39"/>
      <c r="Q129" s="39"/>
      <c r="R129" s="39"/>
      <c r="S129" s="239"/>
      <c r="AE129" s="174"/>
    </row>
    <row r="130" ht="15.75" customHeight="1">
      <c r="C130" s="98"/>
      <c r="D130" s="98"/>
      <c r="E130" s="39"/>
      <c r="F130" s="39"/>
      <c r="G130" s="39"/>
      <c r="H130" s="39"/>
      <c r="I130" s="39"/>
      <c r="J130" s="39"/>
      <c r="K130" s="39"/>
      <c r="L130" s="39"/>
      <c r="M130" s="39"/>
      <c r="N130" s="39"/>
      <c r="O130" s="39"/>
      <c r="P130" s="39"/>
      <c r="Q130" s="39"/>
      <c r="R130" s="39"/>
      <c r="S130" s="239"/>
      <c r="AE130" s="174"/>
    </row>
    <row r="131" ht="15.75" customHeight="1">
      <c r="C131" s="98"/>
      <c r="D131" s="98"/>
      <c r="E131" s="39"/>
      <c r="F131" s="39"/>
      <c r="G131" s="39"/>
      <c r="H131" s="39"/>
      <c r="I131" s="39"/>
      <c r="J131" s="39"/>
      <c r="K131" s="39"/>
      <c r="L131" s="39"/>
      <c r="M131" s="39"/>
      <c r="N131" s="39"/>
      <c r="O131" s="39"/>
      <c r="P131" s="39"/>
      <c r="Q131" s="39"/>
      <c r="R131" s="39"/>
      <c r="S131" s="239"/>
      <c r="AE131" s="174"/>
    </row>
    <row r="132" ht="15.75" customHeight="1">
      <c r="C132" s="98"/>
      <c r="D132" s="98"/>
      <c r="E132" s="39"/>
      <c r="F132" s="39"/>
      <c r="G132" s="39"/>
      <c r="H132" s="39"/>
      <c r="I132" s="39"/>
      <c r="J132" s="39"/>
      <c r="K132" s="39"/>
      <c r="L132" s="39"/>
      <c r="M132" s="39"/>
      <c r="N132" s="39"/>
      <c r="O132" s="39"/>
      <c r="P132" s="39"/>
      <c r="Q132" s="39"/>
      <c r="R132" s="39"/>
      <c r="S132" s="239"/>
      <c r="AE132" s="174"/>
    </row>
    <row r="133" ht="15.75" customHeight="1">
      <c r="C133" s="98"/>
      <c r="D133" s="98"/>
      <c r="E133" s="39"/>
      <c r="F133" s="39"/>
      <c r="G133" s="39"/>
      <c r="H133" s="39"/>
      <c r="I133" s="39"/>
      <c r="J133" s="39"/>
      <c r="K133" s="39"/>
      <c r="L133" s="39"/>
      <c r="M133" s="39"/>
      <c r="N133" s="39"/>
      <c r="O133" s="39"/>
      <c r="P133" s="39"/>
      <c r="Q133" s="39"/>
      <c r="R133" s="39"/>
      <c r="S133" s="239"/>
      <c r="AE133" s="174"/>
    </row>
    <row r="134" ht="15.75" customHeight="1">
      <c r="C134" s="98"/>
      <c r="D134" s="98"/>
      <c r="E134" s="39"/>
      <c r="F134" s="39"/>
      <c r="G134" s="39"/>
      <c r="H134" s="39"/>
      <c r="I134" s="39"/>
      <c r="J134" s="39"/>
      <c r="K134" s="39"/>
      <c r="L134" s="39"/>
      <c r="M134" s="39"/>
      <c r="N134" s="39"/>
      <c r="O134" s="39"/>
      <c r="P134" s="39"/>
      <c r="Q134" s="39"/>
      <c r="R134" s="39"/>
      <c r="S134" s="239"/>
      <c r="AE134" s="174"/>
    </row>
    <row r="135" ht="15.75" customHeight="1">
      <c r="C135" s="98"/>
      <c r="D135" s="98"/>
      <c r="E135" s="39"/>
      <c r="F135" s="39"/>
      <c r="G135" s="39"/>
      <c r="H135" s="39"/>
      <c r="I135" s="39"/>
      <c r="J135" s="39"/>
      <c r="K135" s="39"/>
      <c r="L135" s="39"/>
      <c r="M135" s="39"/>
      <c r="N135" s="39"/>
      <c r="O135" s="39"/>
      <c r="P135" s="39"/>
      <c r="Q135" s="39"/>
      <c r="R135" s="39"/>
      <c r="S135" s="239"/>
      <c r="AE135" s="174"/>
    </row>
    <row r="136" ht="15.75" customHeight="1">
      <c r="C136" s="98"/>
      <c r="D136" s="98"/>
      <c r="E136" s="39"/>
      <c r="F136" s="39"/>
      <c r="G136" s="39"/>
      <c r="H136" s="39"/>
      <c r="I136" s="39"/>
      <c r="J136" s="39"/>
      <c r="K136" s="39"/>
      <c r="L136" s="39"/>
      <c r="M136" s="39"/>
      <c r="N136" s="39"/>
      <c r="O136" s="39"/>
      <c r="P136" s="39"/>
      <c r="Q136" s="39"/>
      <c r="R136" s="39"/>
      <c r="S136" s="239"/>
      <c r="AE136" s="174"/>
    </row>
    <row r="137" ht="15.75" customHeight="1">
      <c r="C137" s="98"/>
      <c r="D137" s="98"/>
      <c r="E137" s="39"/>
      <c r="F137" s="39"/>
      <c r="G137" s="39"/>
      <c r="H137" s="39"/>
      <c r="I137" s="39"/>
      <c r="J137" s="39"/>
      <c r="K137" s="39"/>
      <c r="L137" s="39"/>
      <c r="M137" s="39"/>
      <c r="N137" s="39"/>
      <c r="O137" s="39"/>
      <c r="P137" s="39"/>
      <c r="Q137" s="39"/>
      <c r="R137" s="39"/>
      <c r="S137" s="239"/>
      <c r="AE137" s="174"/>
    </row>
    <row r="138" ht="15.75" customHeight="1">
      <c r="C138" s="98"/>
      <c r="D138" s="98"/>
      <c r="E138" s="39"/>
      <c r="F138" s="39"/>
      <c r="G138" s="39"/>
      <c r="H138" s="39"/>
      <c r="I138" s="39"/>
      <c r="J138" s="39"/>
      <c r="K138" s="39"/>
      <c r="L138" s="39"/>
      <c r="M138" s="39"/>
      <c r="N138" s="39"/>
      <c r="O138" s="39"/>
      <c r="P138" s="39"/>
      <c r="Q138" s="39"/>
      <c r="R138" s="39"/>
      <c r="S138" s="239"/>
      <c r="AE138" s="174"/>
    </row>
    <row r="139" ht="15.75" customHeight="1">
      <c r="C139" s="98"/>
      <c r="D139" s="98"/>
      <c r="E139" s="39"/>
      <c r="F139" s="39"/>
      <c r="G139" s="39"/>
      <c r="H139" s="39"/>
      <c r="I139" s="39"/>
      <c r="J139" s="39"/>
      <c r="K139" s="39"/>
      <c r="L139" s="39"/>
      <c r="M139" s="39"/>
      <c r="N139" s="39"/>
      <c r="O139" s="39"/>
      <c r="P139" s="39"/>
      <c r="Q139" s="39"/>
      <c r="R139" s="39"/>
      <c r="S139" s="239"/>
      <c r="AE139" s="174"/>
    </row>
    <row r="140" ht="15.75" customHeight="1">
      <c r="C140" s="98"/>
      <c r="D140" s="98"/>
      <c r="E140" s="39"/>
      <c r="F140" s="39"/>
      <c r="G140" s="39"/>
      <c r="H140" s="39"/>
      <c r="I140" s="39"/>
      <c r="J140" s="39"/>
      <c r="K140" s="39"/>
      <c r="L140" s="39"/>
      <c r="M140" s="39"/>
      <c r="N140" s="39"/>
      <c r="O140" s="39"/>
      <c r="P140" s="39"/>
      <c r="Q140" s="39"/>
      <c r="R140" s="39"/>
      <c r="S140" s="239"/>
      <c r="AE140" s="174"/>
    </row>
    <row r="141" ht="15.75" customHeight="1">
      <c r="C141" s="98"/>
      <c r="D141" s="98"/>
      <c r="E141" s="39"/>
      <c r="F141" s="39"/>
      <c r="G141" s="39"/>
      <c r="H141" s="39"/>
      <c r="I141" s="39"/>
      <c r="J141" s="39"/>
      <c r="K141" s="39"/>
      <c r="L141" s="39"/>
      <c r="M141" s="39"/>
      <c r="N141" s="39"/>
      <c r="O141" s="39"/>
      <c r="P141" s="39"/>
      <c r="Q141" s="39"/>
      <c r="R141" s="39"/>
      <c r="S141" s="239"/>
      <c r="AE141" s="174"/>
    </row>
    <row r="142" ht="15.75" customHeight="1">
      <c r="C142" s="98"/>
      <c r="D142" s="98"/>
      <c r="E142" s="39"/>
      <c r="F142" s="39"/>
      <c r="G142" s="39"/>
      <c r="H142" s="39"/>
      <c r="I142" s="39"/>
      <c r="J142" s="39"/>
      <c r="K142" s="39"/>
      <c r="L142" s="39"/>
      <c r="M142" s="39"/>
      <c r="N142" s="39"/>
      <c r="O142" s="39"/>
      <c r="P142" s="39"/>
      <c r="Q142" s="39"/>
      <c r="R142" s="39"/>
      <c r="S142" s="239"/>
      <c r="AE142" s="174"/>
    </row>
    <row r="143" ht="15.75" customHeight="1">
      <c r="C143" s="98"/>
      <c r="D143" s="98"/>
      <c r="E143" s="39"/>
      <c r="F143" s="39"/>
      <c r="G143" s="39"/>
      <c r="H143" s="39"/>
      <c r="I143" s="39"/>
      <c r="J143" s="39"/>
      <c r="K143" s="39"/>
      <c r="L143" s="39"/>
      <c r="M143" s="39"/>
      <c r="N143" s="39"/>
      <c r="O143" s="39"/>
      <c r="P143" s="39"/>
      <c r="Q143" s="39"/>
      <c r="R143" s="39"/>
      <c r="S143" s="239"/>
      <c r="AE143" s="174"/>
    </row>
    <row r="144" ht="15.75" customHeight="1">
      <c r="C144" s="98"/>
      <c r="D144" s="98"/>
      <c r="E144" s="39"/>
      <c r="F144" s="39"/>
      <c r="G144" s="39"/>
      <c r="H144" s="39"/>
      <c r="I144" s="39"/>
      <c r="J144" s="39"/>
      <c r="K144" s="39"/>
      <c r="L144" s="39"/>
      <c r="M144" s="39"/>
      <c r="N144" s="39"/>
      <c r="O144" s="39"/>
      <c r="P144" s="39"/>
      <c r="Q144" s="39"/>
      <c r="R144" s="39"/>
      <c r="S144" s="239"/>
      <c r="AE144" s="174"/>
    </row>
    <row r="145" ht="15.75" customHeight="1">
      <c r="C145" s="98"/>
      <c r="D145" s="98"/>
      <c r="E145" s="39"/>
      <c r="F145" s="39"/>
      <c r="G145" s="39"/>
      <c r="H145" s="39"/>
      <c r="I145" s="39"/>
      <c r="J145" s="39"/>
      <c r="K145" s="39"/>
      <c r="L145" s="39"/>
      <c r="M145" s="39"/>
      <c r="N145" s="39"/>
      <c r="O145" s="39"/>
      <c r="P145" s="39"/>
      <c r="Q145" s="39"/>
      <c r="R145" s="39"/>
      <c r="S145" s="239"/>
      <c r="AE145" s="174"/>
    </row>
    <row r="146" ht="15.75" customHeight="1">
      <c r="C146" s="98"/>
      <c r="D146" s="98"/>
      <c r="E146" s="39"/>
      <c r="F146" s="39"/>
      <c r="G146" s="39"/>
      <c r="H146" s="39"/>
      <c r="I146" s="39"/>
      <c r="J146" s="39"/>
      <c r="K146" s="39"/>
      <c r="L146" s="39"/>
      <c r="M146" s="39"/>
      <c r="N146" s="39"/>
      <c r="O146" s="39"/>
      <c r="P146" s="39"/>
      <c r="Q146" s="39"/>
      <c r="R146" s="39"/>
      <c r="S146" s="239"/>
      <c r="AE146" s="174"/>
    </row>
    <row r="147" ht="15.75" customHeight="1">
      <c r="C147" s="98"/>
      <c r="D147" s="98"/>
      <c r="E147" s="39"/>
      <c r="F147" s="39"/>
      <c r="G147" s="39"/>
      <c r="H147" s="39"/>
      <c r="I147" s="39"/>
      <c r="J147" s="39"/>
      <c r="K147" s="39"/>
      <c r="L147" s="39"/>
      <c r="M147" s="39"/>
      <c r="N147" s="39"/>
      <c r="O147" s="39"/>
      <c r="P147" s="39"/>
      <c r="Q147" s="39"/>
      <c r="R147" s="39"/>
      <c r="S147" s="239"/>
      <c r="AE147" s="174"/>
    </row>
    <row r="148" ht="15.75" customHeight="1">
      <c r="C148" s="98"/>
      <c r="D148" s="98"/>
      <c r="E148" s="39"/>
      <c r="F148" s="39"/>
      <c r="G148" s="39"/>
      <c r="H148" s="39"/>
      <c r="I148" s="39"/>
      <c r="J148" s="39"/>
      <c r="K148" s="39"/>
      <c r="L148" s="39"/>
      <c r="M148" s="39"/>
      <c r="N148" s="39"/>
      <c r="O148" s="39"/>
      <c r="P148" s="39"/>
      <c r="Q148" s="39"/>
      <c r="R148" s="39"/>
      <c r="S148" s="239"/>
      <c r="AE148" s="174"/>
    </row>
    <row r="149" ht="15.75" customHeight="1">
      <c r="C149" s="98"/>
      <c r="D149" s="98"/>
      <c r="E149" s="39"/>
      <c r="F149" s="39"/>
      <c r="G149" s="39"/>
      <c r="H149" s="39"/>
      <c r="I149" s="39"/>
      <c r="J149" s="39"/>
      <c r="K149" s="39"/>
      <c r="L149" s="39"/>
      <c r="M149" s="39"/>
      <c r="N149" s="39"/>
      <c r="O149" s="39"/>
      <c r="P149" s="39"/>
      <c r="Q149" s="39"/>
      <c r="R149" s="39"/>
      <c r="S149" s="239"/>
      <c r="AE149" s="174"/>
    </row>
    <row r="150" ht="15.75" customHeight="1">
      <c r="C150" s="98"/>
      <c r="D150" s="98"/>
      <c r="E150" s="39"/>
      <c r="F150" s="39"/>
      <c r="G150" s="39"/>
      <c r="H150" s="39"/>
      <c r="I150" s="39"/>
      <c r="J150" s="39"/>
      <c r="K150" s="39"/>
      <c r="L150" s="39"/>
      <c r="M150" s="39"/>
      <c r="N150" s="39"/>
      <c r="O150" s="39"/>
      <c r="P150" s="39"/>
      <c r="Q150" s="39"/>
      <c r="R150" s="39"/>
      <c r="S150" s="239"/>
      <c r="AE150" s="174"/>
    </row>
    <row r="151" ht="15.75" customHeight="1">
      <c r="C151" s="98"/>
      <c r="D151" s="98"/>
      <c r="E151" s="39"/>
      <c r="F151" s="39"/>
      <c r="G151" s="39"/>
      <c r="H151" s="39"/>
      <c r="I151" s="39"/>
      <c r="J151" s="39"/>
      <c r="K151" s="39"/>
      <c r="L151" s="39"/>
      <c r="M151" s="39"/>
      <c r="N151" s="39"/>
      <c r="O151" s="39"/>
      <c r="P151" s="39"/>
      <c r="Q151" s="39"/>
      <c r="R151" s="39"/>
      <c r="S151" s="239"/>
      <c r="AE151" s="174"/>
    </row>
    <row r="152" ht="15.75" customHeight="1">
      <c r="C152" s="98"/>
      <c r="D152" s="98"/>
      <c r="E152" s="39"/>
      <c r="F152" s="39"/>
      <c r="G152" s="39"/>
      <c r="H152" s="39"/>
      <c r="I152" s="39"/>
      <c r="J152" s="39"/>
      <c r="K152" s="39"/>
      <c r="L152" s="39"/>
      <c r="M152" s="39"/>
      <c r="N152" s="39"/>
      <c r="O152" s="39"/>
      <c r="P152" s="39"/>
      <c r="Q152" s="39"/>
      <c r="R152" s="39"/>
      <c r="S152" s="239"/>
      <c r="AE152" s="174"/>
    </row>
    <row r="153" ht="15.75" customHeight="1">
      <c r="C153" s="98"/>
      <c r="D153" s="98"/>
      <c r="E153" s="39"/>
      <c r="F153" s="39"/>
      <c r="G153" s="39"/>
      <c r="H153" s="39"/>
      <c r="I153" s="39"/>
      <c r="J153" s="39"/>
      <c r="K153" s="39"/>
      <c r="L153" s="39"/>
      <c r="M153" s="39"/>
      <c r="N153" s="39"/>
      <c r="O153" s="39"/>
      <c r="P153" s="39"/>
      <c r="Q153" s="39"/>
      <c r="R153" s="39"/>
      <c r="S153" s="239"/>
      <c r="AE153" s="174"/>
    </row>
    <row r="154" ht="15.75" customHeight="1">
      <c r="C154" s="98"/>
      <c r="D154" s="98"/>
      <c r="E154" s="39"/>
      <c r="F154" s="39"/>
      <c r="G154" s="39"/>
      <c r="H154" s="39"/>
      <c r="I154" s="39"/>
      <c r="J154" s="39"/>
      <c r="K154" s="39"/>
      <c r="L154" s="39"/>
      <c r="M154" s="39"/>
      <c r="N154" s="39"/>
      <c r="O154" s="39"/>
      <c r="P154" s="39"/>
      <c r="Q154" s="39"/>
      <c r="R154" s="39"/>
      <c r="S154" s="239"/>
      <c r="AE154" s="174"/>
    </row>
    <row r="155" ht="15.75" customHeight="1">
      <c r="C155" s="98"/>
      <c r="D155" s="98"/>
      <c r="E155" s="39"/>
      <c r="F155" s="39"/>
      <c r="G155" s="39"/>
      <c r="H155" s="39"/>
      <c r="I155" s="39"/>
      <c r="J155" s="39"/>
      <c r="K155" s="39"/>
      <c r="L155" s="39"/>
      <c r="M155" s="39"/>
      <c r="N155" s="39"/>
      <c r="O155" s="39"/>
      <c r="P155" s="39"/>
      <c r="Q155" s="39"/>
      <c r="R155" s="39"/>
      <c r="S155" s="239"/>
      <c r="AE155" s="174"/>
    </row>
    <row r="156" ht="15.75" customHeight="1">
      <c r="C156" s="98"/>
      <c r="D156" s="98"/>
      <c r="E156" s="39"/>
      <c r="F156" s="39"/>
      <c r="G156" s="39"/>
      <c r="H156" s="39"/>
      <c r="I156" s="39"/>
      <c r="J156" s="39"/>
      <c r="K156" s="39"/>
      <c r="L156" s="39"/>
      <c r="M156" s="39"/>
      <c r="N156" s="39"/>
      <c r="O156" s="39"/>
      <c r="P156" s="39"/>
      <c r="Q156" s="39"/>
      <c r="R156" s="39"/>
      <c r="S156" s="239"/>
      <c r="AE156" s="174"/>
    </row>
    <row r="157" ht="15.75" customHeight="1">
      <c r="C157" s="98"/>
      <c r="D157" s="98"/>
      <c r="E157" s="39"/>
      <c r="F157" s="39"/>
      <c r="G157" s="39"/>
      <c r="H157" s="39"/>
      <c r="I157" s="39"/>
      <c r="J157" s="39"/>
      <c r="K157" s="39"/>
      <c r="L157" s="39"/>
      <c r="M157" s="39"/>
      <c r="N157" s="39"/>
      <c r="O157" s="39"/>
      <c r="P157" s="39"/>
      <c r="Q157" s="39"/>
      <c r="R157" s="39"/>
      <c r="S157" s="239"/>
      <c r="AE157" s="174"/>
    </row>
    <row r="158" ht="15.75" customHeight="1">
      <c r="C158" s="98"/>
      <c r="D158" s="98"/>
      <c r="E158" s="39"/>
      <c r="F158" s="39"/>
      <c r="G158" s="39"/>
      <c r="H158" s="39"/>
      <c r="I158" s="39"/>
      <c r="J158" s="39"/>
      <c r="K158" s="39"/>
      <c r="L158" s="39"/>
      <c r="M158" s="39"/>
      <c r="N158" s="39"/>
      <c r="O158" s="39"/>
      <c r="P158" s="39"/>
      <c r="Q158" s="39"/>
      <c r="R158" s="39"/>
      <c r="S158" s="239"/>
      <c r="AE158" s="174"/>
    </row>
    <row r="159" ht="15.75" customHeight="1">
      <c r="C159" s="98"/>
      <c r="D159" s="98"/>
      <c r="E159" s="39"/>
      <c r="F159" s="39"/>
      <c r="G159" s="39"/>
      <c r="H159" s="39"/>
      <c r="I159" s="39"/>
      <c r="J159" s="39"/>
      <c r="K159" s="39"/>
      <c r="L159" s="39"/>
      <c r="M159" s="39"/>
      <c r="N159" s="39"/>
      <c r="O159" s="39"/>
      <c r="P159" s="39"/>
      <c r="Q159" s="39"/>
      <c r="R159" s="39"/>
      <c r="S159" s="239"/>
      <c r="AE159" s="174"/>
    </row>
    <row r="160" ht="15.75" customHeight="1">
      <c r="C160" s="98"/>
      <c r="D160" s="98"/>
      <c r="E160" s="39"/>
      <c r="F160" s="39"/>
      <c r="G160" s="39"/>
      <c r="H160" s="39"/>
      <c r="I160" s="39"/>
      <c r="J160" s="39"/>
      <c r="K160" s="39"/>
      <c r="L160" s="39"/>
      <c r="M160" s="39"/>
      <c r="N160" s="39"/>
      <c r="O160" s="39"/>
      <c r="P160" s="39"/>
      <c r="Q160" s="39"/>
      <c r="R160" s="39"/>
      <c r="S160" s="239"/>
      <c r="AE160" s="174"/>
    </row>
    <row r="161" ht="15.75" customHeight="1">
      <c r="C161" s="98"/>
      <c r="D161" s="98"/>
      <c r="E161" s="39"/>
      <c r="F161" s="39"/>
      <c r="G161" s="39"/>
      <c r="H161" s="39"/>
      <c r="I161" s="39"/>
      <c r="J161" s="39"/>
      <c r="K161" s="39"/>
      <c r="L161" s="39"/>
      <c r="M161" s="39"/>
      <c r="N161" s="39"/>
      <c r="O161" s="39"/>
      <c r="P161" s="39"/>
      <c r="Q161" s="39"/>
      <c r="R161" s="39"/>
      <c r="S161" s="239"/>
      <c r="AE161" s="174"/>
    </row>
    <row r="162" ht="15.75" customHeight="1">
      <c r="C162" s="98"/>
      <c r="D162" s="98"/>
      <c r="E162" s="39"/>
      <c r="F162" s="39"/>
      <c r="G162" s="39"/>
      <c r="H162" s="39"/>
      <c r="I162" s="39"/>
      <c r="J162" s="39"/>
      <c r="K162" s="39"/>
      <c r="L162" s="39"/>
      <c r="M162" s="39"/>
      <c r="N162" s="39"/>
      <c r="O162" s="39"/>
      <c r="P162" s="39"/>
      <c r="Q162" s="39"/>
      <c r="R162" s="39"/>
      <c r="S162" s="239"/>
      <c r="AE162" s="174"/>
    </row>
    <row r="163" ht="15.75" customHeight="1">
      <c r="C163" s="98"/>
      <c r="D163" s="98"/>
      <c r="E163" s="39"/>
      <c r="F163" s="39"/>
      <c r="G163" s="39"/>
      <c r="H163" s="39"/>
      <c r="I163" s="39"/>
      <c r="J163" s="39"/>
      <c r="K163" s="39"/>
      <c r="L163" s="39"/>
      <c r="M163" s="39"/>
      <c r="N163" s="39"/>
      <c r="O163" s="39"/>
      <c r="P163" s="39"/>
      <c r="Q163" s="39"/>
      <c r="R163" s="39"/>
      <c r="S163" s="239"/>
      <c r="AE163" s="174"/>
    </row>
    <row r="164" ht="15.75" customHeight="1">
      <c r="C164" s="98"/>
      <c r="D164" s="98"/>
      <c r="E164" s="39"/>
      <c r="F164" s="39"/>
      <c r="G164" s="39"/>
      <c r="H164" s="39"/>
      <c r="I164" s="39"/>
      <c r="J164" s="39"/>
      <c r="K164" s="39"/>
      <c r="L164" s="39"/>
      <c r="M164" s="39"/>
      <c r="N164" s="39"/>
      <c r="O164" s="39"/>
      <c r="P164" s="39"/>
      <c r="Q164" s="39"/>
      <c r="R164" s="39"/>
      <c r="S164" s="239"/>
      <c r="AE164" s="174"/>
    </row>
    <row r="165" ht="15.75" customHeight="1">
      <c r="C165" s="98"/>
      <c r="D165" s="98"/>
      <c r="E165" s="39"/>
      <c r="F165" s="39"/>
      <c r="G165" s="39"/>
      <c r="H165" s="39"/>
      <c r="I165" s="39"/>
      <c r="J165" s="39"/>
      <c r="K165" s="39"/>
      <c r="L165" s="39"/>
      <c r="M165" s="39"/>
      <c r="N165" s="39"/>
      <c r="O165" s="39"/>
      <c r="P165" s="39"/>
      <c r="Q165" s="39"/>
      <c r="R165" s="39"/>
      <c r="S165" s="239"/>
      <c r="AE165" s="174"/>
    </row>
    <row r="166" ht="15.75" customHeight="1">
      <c r="C166" s="98"/>
      <c r="D166" s="98"/>
      <c r="E166" s="39"/>
      <c r="F166" s="39"/>
      <c r="G166" s="39"/>
      <c r="H166" s="39"/>
      <c r="I166" s="39"/>
      <c r="J166" s="39"/>
      <c r="K166" s="39"/>
      <c r="L166" s="39"/>
      <c r="M166" s="39"/>
      <c r="N166" s="39"/>
      <c r="O166" s="39"/>
      <c r="P166" s="39"/>
      <c r="Q166" s="39"/>
      <c r="R166" s="39"/>
      <c r="S166" s="239"/>
      <c r="AE166" s="174"/>
    </row>
    <row r="167" ht="15.75" customHeight="1">
      <c r="C167" s="98"/>
      <c r="D167" s="98"/>
      <c r="E167" s="39"/>
      <c r="F167" s="39"/>
      <c r="G167" s="39"/>
      <c r="H167" s="39"/>
      <c r="I167" s="39"/>
      <c r="J167" s="39"/>
      <c r="K167" s="39"/>
      <c r="L167" s="39"/>
      <c r="M167" s="39"/>
      <c r="N167" s="39"/>
      <c r="O167" s="39"/>
      <c r="P167" s="39"/>
      <c r="Q167" s="39"/>
      <c r="R167" s="39"/>
      <c r="S167" s="239"/>
      <c r="AE167" s="174"/>
    </row>
    <row r="168" ht="15.75" customHeight="1">
      <c r="C168" s="98"/>
      <c r="D168" s="98"/>
      <c r="E168" s="39"/>
      <c r="F168" s="39"/>
      <c r="G168" s="39"/>
      <c r="H168" s="39"/>
      <c r="I168" s="39"/>
      <c r="J168" s="39"/>
      <c r="K168" s="39"/>
      <c r="L168" s="39"/>
      <c r="M168" s="39"/>
      <c r="N168" s="39"/>
      <c r="O168" s="39"/>
      <c r="P168" s="39"/>
      <c r="Q168" s="39"/>
      <c r="R168" s="39"/>
      <c r="S168" s="239"/>
      <c r="AE168" s="174"/>
    </row>
    <row r="169" ht="15.75" customHeight="1">
      <c r="C169" s="98"/>
      <c r="D169" s="98"/>
      <c r="E169" s="39"/>
      <c r="F169" s="39"/>
      <c r="G169" s="39"/>
      <c r="H169" s="39"/>
      <c r="I169" s="39"/>
      <c r="J169" s="39"/>
      <c r="K169" s="39"/>
      <c r="L169" s="39"/>
      <c r="M169" s="39"/>
      <c r="N169" s="39"/>
      <c r="O169" s="39"/>
      <c r="P169" s="39"/>
      <c r="Q169" s="39"/>
      <c r="R169" s="39"/>
      <c r="S169" s="239"/>
      <c r="AE169" s="174"/>
    </row>
    <row r="170" ht="15.75" customHeight="1">
      <c r="C170" s="98"/>
      <c r="D170" s="98"/>
      <c r="E170" s="39"/>
      <c r="F170" s="39"/>
      <c r="G170" s="39"/>
      <c r="H170" s="39"/>
      <c r="I170" s="39"/>
      <c r="J170" s="39"/>
      <c r="K170" s="39"/>
      <c r="L170" s="39"/>
      <c r="M170" s="39"/>
      <c r="N170" s="39"/>
      <c r="O170" s="39"/>
      <c r="P170" s="39"/>
      <c r="Q170" s="39"/>
      <c r="R170" s="39"/>
      <c r="S170" s="239"/>
      <c r="AE170" s="174"/>
    </row>
    <row r="171" ht="15.75" customHeight="1">
      <c r="C171" s="98"/>
      <c r="D171" s="98"/>
      <c r="E171" s="39"/>
      <c r="F171" s="39"/>
      <c r="G171" s="39"/>
      <c r="H171" s="39"/>
      <c r="I171" s="39"/>
      <c r="J171" s="39"/>
      <c r="K171" s="39"/>
      <c r="L171" s="39"/>
      <c r="M171" s="39"/>
      <c r="N171" s="39"/>
      <c r="O171" s="39"/>
      <c r="P171" s="39"/>
      <c r="Q171" s="39"/>
      <c r="R171" s="39"/>
      <c r="S171" s="239"/>
      <c r="AE171" s="174"/>
    </row>
    <row r="172" ht="15.75" customHeight="1">
      <c r="C172" s="98"/>
      <c r="D172" s="98"/>
      <c r="E172" s="39"/>
      <c r="F172" s="39"/>
      <c r="G172" s="39"/>
      <c r="H172" s="39"/>
      <c r="I172" s="39"/>
      <c r="J172" s="39"/>
      <c r="K172" s="39"/>
      <c r="L172" s="39"/>
      <c r="M172" s="39"/>
      <c r="N172" s="39"/>
      <c r="O172" s="39"/>
      <c r="P172" s="39"/>
      <c r="Q172" s="39"/>
      <c r="R172" s="39"/>
      <c r="S172" s="239"/>
      <c r="AE172" s="174"/>
    </row>
    <row r="173" ht="15.75" customHeight="1">
      <c r="C173" s="98"/>
      <c r="D173" s="98"/>
      <c r="E173" s="39"/>
      <c r="F173" s="39"/>
      <c r="G173" s="39"/>
      <c r="H173" s="39"/>
      <c r="I173" s="39"/>
      <c r="J173" s="39"/>
      <c r="K173" s="39"/>
      <c r="L173" s="39"/>
      <c r="M173" s="39"/>
      <c r="N173" s="39"/>
      <c r="O173" s="39"/>
      <c r="P173" s="39"/>
      <c r="Q173" s="39"/>
      <c r="R173" s="39"/>
      <c r="S173" s="239"/>
      <c r="AE173" s="174"/>
    </row>
    <row r="174" ht="15.75" customHeight="1">
      <c r="C174" s="98"/>
      <c r="D174" s="98"/>
      <c r="E174" s="39"/>
      <c r="F174" s="39"/>
      <c r="G174" s="39"/>
      <c r="H174" s="39"/>
      <c r="I174" s="39"/>
      <c r="J174" s="39"/>
      <c r="K174" s="39"/>
      <c r="L174" s="39"/>
      <c r="M174" s="39"/>
      <c r="N174" s="39"/>
      <c r="O174" s="39"/>
      <c r="P174" s="39"/>
      <c r="Q174" s="39"/>
      <c r="R174" s="39"/>
      <c r="S174" s="239"/>
      <c r="AE174" s="174"/>
    </row>
    <row r="175" ht="15.75" customHeight="1">
      <c r="C175" s="98"/>
      <c r="D175" s="98"/>
      <c r="E175" s="39"/>
      <c r="F175" s="39"/>
      <c r="G175" s="39"/>
      <c r="H175" s="39"/>
      <c r="I175" s="39"/>
      <c r="J175" s="39"/>
      <c r="K175" s="39"/>
      <c r="L175" s="39"/>
      <c r="M175" s="39"/>
      <c r="N175" s="39"/>
      <c r="O175" s="39"/>
      <c r="P175" s="39"/>
      <c r="Q175" s="39"/>
      <c r="R175" s="39"/>
      <c r="S175" s="239"/>
      <c r="AE175" s="174"/>
    </row>
    <row r="176" ht="15.75" customHeight="1">
      <c r="C176" s="98"/>
      <c r="D176" s="98"/>
      <c r="E176" s="39"/>
      <c r="F176" s="39"/>
      <c r="G176" s="39"/>
      <c r="H176" s="39"/>
      <c r="I176" s="39"/>
      <c r="J176" s="39"/>
      <c r="K176" s="39"/>
      <c r="L176" s="39"/>
      <c r="M176" s="39"/>
      <c r="N176" s="39"/>
      <c r="O176" s="39"/>
      <c r="P176" s="39"/>
      <c r="Q176" s="39"/>
      <c r="R176" s="39"/>
      <c r="S176" s="239"/>
      <c r="AE176" s="174"/>
    </row>
    <row r="177" ht="15.75" customHeight="1">
      <c r="C177" s="98"/>
      <c r="D177" s="98"/>
      <c r="E177" s="39"/>
      <c r="F177" s="39"/>
      <c r="G177" s="39"/>
      <c r="H177" s="39"/>
      <c r="I177" s="39"/>
      <c r="J177" s="39"/>
      <c r="K177" s="39"/>
      <c r="L177" s="39"/>
      <c r="M177" s="39"/>
      <c r="N177" s="39"/>
      <c r="O177" s="39"/>
      <c r="P177" s="39"/>
      <c r="Q177" s="39"/>
      <c r="R177" s="39"/>
      <c r="S177" s="239"/>
      <c r="AE177" s="174"/>
    </row>
    <row r="178" ht="15.75" customHeight="1">
      <c r="C178" s="98"/>
      <c r="D178" s="98"/>
      <c r="E178" s="39"/>
      <c r="F178" s="39"/>
      <c r="G178" s="39"/>
      <c r="H178" s="39"/>
      <c r="I178" s="39"/>
      <c r="J178" s="39"/>
      <c r="K178" s="39"/>
      <c r="L178" s="39"/>
      <c r="M178" s="39"/>
      <c r="N178" s="39"/>
      <c r="O178" s="39"/>
      <c r="P178" s="39"/>
      <c r="Q178" s="39"/>
      <c r="R178" s="39"/>
      <c r="S178" s="239"/>
      <c r="AE178" s="174"/>
    </row>
    <row r="179" ht="15.75" customHeight="1">
      <c r="C179" s="98"/>
      <c r="D179" s="98"/>
      <c r="E179" s="39"/>
      <c r="F179" s="39"/>
      <c r="G179" s="39"/>
      <c r="H179" s="39"/>
      <c r="I179" s="39"/>
      <c r="J179" s="39"/>
      <c r="K179" s="39"/>
      <c r="L179" s="39"/>
      <c r="M179" s="39"/>
      <c r="N179" s="39"/>
      <c r="O179" s="39"/>
      <c r="P179" s="39"/>
      <c r="Q179" s="39"/>
      <c r="R179" s="39"/>
      <c r="S179" s="239"/>
      <c r="AE179" s="174"/>
    </row>
    <row r="180" ht="15.75" customHeight="1">
      <c r="C180" s="98"/>
      <c r="D180" s="98"/>
      <c r="E180" s="39"/>
      <c r="F180" s="39"/>
      <c r="G180" s="39"/>
      <c r="H180" s="39"/>
      <c r="I180" s="39"/>
      <c r="J180" s="39"/>
      <c r="K180" s="39"/>
      <c r="L180" s="39"/>
      <c r="M180" s="39"/>
      <c r="N180" s="39"/>
      <c r="O180" s="39"/>
      <c r="P180" s="39"/>
      <c r="Q180" s="39"/>
      <c r="R180" s="39"/>
      <c r="S180" s="239"/>
      <c r="AE180" s="174"/>
    </row>
    <row r="181" ht="15.75" customHeight="1">
      <c r="C181" s="98"/>
      <c r="D181" s="98"/>
      <c r="E181" s="39"/>
      <c r="F181" s="39"/>
      <c r="G181" s="39"/>
      <c r="H181" s="39"/>
      <c r="I181" s="39"/>
      <c r="J181" s="39"/>
      <c r="K181" s="39"/>
      <c r="L181" s="39"/>
      <c r="M181" s="39"/>
      <c r="N181" s="39"/>
      <c r="O181" s="39"/>
      <c r="P181" s="39"/>
      <c r="Q181" s="39"/>
      <c r="R181" s="39"/>
      <c r="S181" s="239"/>
      <c r="AE181" s="174"/>
    </row>
    <row r="182" ht="15.75" customHeight="1">
      <c r="C182" s="98"/>
      <c r="D182" s="98"/>
      <c r="E182" s="39"/>
      <c r="F182" s="39"/>
      <c r="G182" s="39"/>
      <c r="H182" s="39"/>
      <c r="I182" s="39"/>
      <c r="J182" s="39"/>
      <c r="K182" s="39"/>
      <c r="L182" s="39"/>
      <c r="M182" s="39"/>
      <c r="N182" s="39"/>
      <c r="O182" s="39"/>
      <c r="P182" s="39"/>
      <c r="Q182" s="39"/>
      <c r="R182" s="39"/>
      <c r="S182" s="239"/>
      <c r="AE182" s="174"/>
    </row>
    <row r="183" ht="15.75" customHeight="1">
      <c r="C183" s="98"/>
      <c r="D183" s="98"/>
      <c r="E183" s="39"/>
      <c r="F183" s="39"/>
      <c r="G183" s="39"/>
      <c r="H183" s="39"/>
      <c r="I183" s="39"/>
      <c r="J183" s="39"/>
      <c r="K183" s="39"/>
      <c r="L183" s="39"/>
      <c r="M183" s="39"/>
      <c r="N183" s="39"/>
      <c r="O183" s="39"/>
      <c r="P183" s="39"/>
      <c r="Q183" s="39"/>
      <c r="R183" s="39"/>
      <c r="S183" s="239"/>
      <c r="AE183" s="174"/>
    </row>
    <row r="184" ht="15.75" customHeight="1">
      <c r="C184" s="98"/>
      <c r="D184" s="98"/>
      <c r="E184" s="39"/>
      <c r="F184" s="39"/>
      <c r="G184" s="39"/>
      <c r="H184" s="39"/>
      <c r="I184" s="39"/>
      <c r="J184" s="39"/>
      <c r="K184" s="39"/>
      <c r="L184" s="39"/>
      <c r="M184" s="39"/>
      <c r="N184" s="39"/>
      <c r="O184" s="39"/>
      <c r="P184" s="39"/>
      <c r="Q184" s="39"/>
      <c r="R184" s="39"/>
      <c r="S184" s="239"/>
      <c r="AE184" s="174"/>
    </row>
    <row r="185" ht="15.75" customHeight="1">
      <c r="C185" s="98"/>
      <c r="D185" s="98"/>
      <c r="E185" s="39"/>
      <c r="F185" s="39"/>
      <c r="G185" s="39"/>
      <c r="H185" s="39"/>
      <c r="I185" s="39"/>
      <c r="J185" s="39"/>
      <c r="K185" s="39"/>
      <c r="L185" s="39"/>
      <c r="M185" s="39"/>
      <c r="N185" s="39"/>
      <c r="O185" s="39"/>
      <c r="P185" s="39"/>
      <c r="Q185" s="39"/>
      <c r="R185" s="39"/>
      <c r="S185" s="239"/>
      <c r="AE185" s="174"/>
    </row>
    <row r="186" ht="15.75" customHeight="1">
      <c r="C186" s="98"/>
      <c r="D186" s="98"/>
      <c r="E186" s="39"/>
      <c r="F186" s="39"/>
      <c r="G186" s="39"/>
      <c r="H186" s="39"/>
      <c r="I186" s="39"/>
      <c r="J186" s="39"/>
      <c r="K186" s="39"/>
      <c r="L186" s="39"/>
      <c r="M186" s="39"/>
      <c r="N186" s="39"/>
      <c r="O186" s="39"/>
      <c r="P186" s="39"/>
      <c r="Q186" s="39"/>
      <c r="R186" s="39"/>
      <c r="S186" s="239"/>
      <c r="AE186" s="174"/>
    </row>
    <row r="187" ht="15.75" customHeight="1">
      <c r="C187" s="98"/>
      <c r="D187" s="98"/>
      <c r="E187" s="39"/>
      <c r="F187" s="39"/>
      <c r="G187" s="39"/>
      <c r="H187" s="39"/>
      <c r="I187" s="39"/>
      <c r="J187" s="39"/>
      <c r="K187" s="39"/>
      <c r="L187" s="39"/>
      <c r="M187" s="39"/>
      <c r="N187" s="39"/>
      <c r="O187" s="39"/>
      <c r="P187" s="39"/>
      <c r="Q187" s="39"/>
      <c r="R187" s="39"/>
      <c r="S187" s="239"/>
      <c r="AE187" s="174"/>
    </row>
    <row r="188" ht="15.75" customHeight="1">
      <c r="C188" s="98"/>
      <c r="D188" s="98"/>
      <c r="E188" s="39"/>
      <c r="F188" s="39"/>
      <c r="G188" s="39"/>
      <c r="H188" s="39"/>
      <c r="I188" s="39"/>
      <c r="J188" s="39"/>
      <c r="K188" s="39"/>
      <c r="L188" s="39"/>
      <c r="M188" s="39"/>
      <c r="N188" s="39"/>
      <c r="O188" s="39"/>
      <c r="P188" s="39"/>
      <c r="Q188" s="39"/>
      <c r="R188" s="39"/>
      <c r="S188" s="239"/>
      <c r="AE188" s="174"/>
    </row>
    <row r="189" ht="15.75" customHeight="1">
      <c r="C189" s="98"/>
      <c r="D189" s="98"/>
      <c r="E189" s="39"/>
      <c r="F189" s="39"/>
      <c r="G189" s="39"/>
      <c r="H189" s="39"/>
      <c r="I189" s="39"/>
      <c r="J189" s="39"/>
      <c r="K189" s="39"/>
      <c r="L189" s="39"/>
      <c r="M189" s="39"/>
      <c r="N189" s="39"/>
      <c r="O189" s="39"/>
      <c r="P189" s="39"/>
      <c r="Q189" s="39"/>
      <c r="R189" s="39"/>
      <c r="S189" s="239"/>
      <c r="AE189" s="174"/>
    </row>
    <row r="190" ht="15.75" customHeight="1">
      <c r="C190" s="98"/>
      <c r="D190" s="98"/>
      <c r="E190" s="39"/>
      <c r="F190" s="39"/>
      <c r="G190" s="39"/>
      <c r="H190" s="39"/>
      <c r="I190" s="39"/>
      <c r="J190" s="39"/>
      <c r="K190" s="39"/>
      <c r="L190" s="39"/>
      <c r="M190" s="39"/>
      <c r="N190" s="39"/>
      <c r="O190" s="39"/>
      <c r="P190" s="39"/>
      <c r="Q190" s="39"/>
      <c r="R190" s="39"/>
      <c r="S190" s="239"/>
      <c r="AE190" s="174"/>
    </row>
    <row r="191" ht="15.75" customHeight="1">
      <c r="C191" s="98"/>
      <c r="D191" s="98"/>
      <c r="E191" s="39"/>
      <c r="F191" s="39"/>
      <c r="G191" s="39"/>
      <c r="H191" s="39"/>
      <c r="I191" s="39"/>
      <c r="J191" s="39"/>
      <c r="K191" s="39"/>
      <c r="L191" s="39"/>
      <c r="M191" s="39"/>
      <c r="N191" s="39"/>
      <c r="O191" s="39"/>
      <c r="P191" s="39"/>
      <c r="Q191" s="39"/>
      <c r="R191" s="39"/>
      <c r="S191" s="239"/>
      <c r="AE191" s="174"/>
    </row>
    <row r="192" ht="15.75" customHeight="1">
      <c r="C192" s="98"/>
      <c r="D192" s="98"/>
      <c r="E192" s="39"/>
      <c r="F192" s="39"/>
      <c r="G192" s="39"/>
      <c r="H192" s="39"/>
      <c r="I192" s="39"/>
      <c r="J192" s="39"/>
      <c r="K192" s="39"/>
      <c r="L192" s="39"/>
      <c r="M192" s="39"/>
      <c r="N192" s="39"/>
      <c r="O192" s="39"/>
      <c r="P192" s="39"/>
      <c r="Q192" s="39"/>
      <c r="R192" s="39"/>
      <c r="S192" s="239"/>
      <c r="AE192" s="174"/>
    </row>
    <row r="193" ht="15.75" customHeight="1">
      <c r="C193" s="98"/>
      <c r="D193" s="98"/>
      <c r="E193" s="39"/>
      <c r="F193" s="39"/>
      <c r="G193" s="39"/>
      <c r="H193" s="39"/>
      <c r="I193" s="39"/>
      <c r="J193" s="39"/>
      <c r="K193" s="39"/>
      <c r="L193" s="39"/>
      <c r="M193" s="39"/>
      <c r="N193" s="39"/>
      <c r="O193" s="39"/>
      <c r="P193" s="39"/>
      <c r="Q193" s="39"/>
      <c r="R193" s="39"/>
      <c r="S193" s="239"/>
      <c r="AE193" s="174"/>
    </row>
    <row r="194" ht="15.75" customHeight="1">
      <c r="C194" s="98"/>
      <c r="D194" s="98"/>
      <c r="E194" s="39"/>
      <c r="F194" s="39"/>
      <c r="G194" s="39"/>
      <c r="H194" s="39"/>
      <c r="I194" s="39"/>
      <c r="J194" s="39"/>
      <c r="K194" s="39"/>
      <c r="L194" s="39"/>
      <c r="M194" s="39"/>
      <c r="N194" s="39"/>
      <c r="O194" s="39"/>
      <c r="P194" s="39"/>
      <c r="Q194" s="39"/>
      <c r="R194" s="39"/>
      <c r="S194" s="239"/>
      <c r="AE194" s="174"/>
    </row>
    <row r="195" ht="15.75" customHeight="1">
      <c r="C195" s="98"/>
      <c r="D195" s="98"/>
      <c r="E195" s="39"/>
      <c r="F195" s="39"/>
      <c r="G195" s="39"/>
      <c r="H195" s="39"/>
      <c r="I195" s="39"/>
      <c r="J195" s="39"/>
      <c r="K195" s="39"/>
      <c r="L195" s="39"/>
      <c r="M195" s="39"/>
      <c r="N195" s="39"/>
      <c r="O195" s="39"/>
      <c r="P195" s="39"/>
      <c r="Q195" s="39"/>
      <c r="R195" s="39"/>
      <c r="S195" s="239"/>
      <c r="AE195" s="174"/>
    </row>
    <row r="196" ht="15.75" customHeight="1">
      <c r="C196" s="98"/>
      <c r="D196" s="98"/>
      <c r="E196" s="39"/>
      <c r="F196" s="39"/>
      <c r="G196" s="39"/>
      <c r="H196" s="39"/>
      <c r="I196" s="39"/>
      <c r="J196" s="39"/>
      <c r="K196" s="39"/>
      <c r="L196" s="39"/>
      <c r="M196" s="39"/>
      <c r="N196" s="39"/>
      <c r="O196" s="39"/>
      <c r="P196" s="39"/>
      <c r="Q196" s="39"/>
      <c r="R196" s="39"/>
      <c r="S196" s="239"/>
      <c r="AE196" s="174"/>
    </row>
    <row r="197" ht="15.75" customHeight="1">
      <c r="C197" s="98"/>
      <c r="D197" s="98"/>
      <c r="E197" s="39"/>
      <c r="F197" s="39"/>
      <c r="G197" s="39"/>
      <c r="H197" s="39"/>
      <c r="I197" s="39"/>
      <c r="J197" s="39"/>
      <c r="K197" s="39"/>
      <c r="L197" s="39"/>
      <c r="M197" s="39"/>
      <c r="N197" s="39"/>
      <c r="O197" s="39"/>
      <c r="P197" s="39"/>
      <c r="Q197" s="39"/>
      <c r="R197" s="39"/>
      <c r="S197" s="239"/>
      <c r="AE197" s="174"/>
    </row>
    <row r="198" ht="15.75" customHeight="1">
      <c r="C198" s="98"/>
      <c r="D198" s="98"/>
      <c r="E198" s="39"/>
      <c r="F198" s="39"/>
      <c r="G198" s="39"/>
      <c r="H198" s="39"/>
      <c r="I198" s="39"/>
      <c r="J198" s="39"/>
      <c r="K198" s="39"/>
      <c r="L198" s="39"/>
      <c r="M198" s="39"/>
      <c r="N198" s="39"/>
      <c r="O198" s="39"/>
      <c r="P198" s="39"/>
      <c r="Q198" s="39"/>
      <c r="R198" s="39"/>
      <c r="S198" s="239"/>
      <c r="AE198" s="174"/>
    </row>
    <row r="199" ht="15.75" customHeight="1">
      <c r="C199" s="98"/>
      <c r="D199" s="98"/>
      <c r="E199" s="39"/>
      <c r="F199" s="39"/>
      <c r="G199" s="39"/>
      <c r="H199" s="39"/>
      <c r="I199" s="39"/>
      <c r="J199" s="39"/>
      <c r="K199" s="39"/>
      <c r="L199" s="39"/>
      <c r="M199" s="39"/>
      <c r="N199" s="39"/>
      <c r="O199" s="39"/>
      <c r="P199" s="39"/>
      <c r="Q199" s="39"/>
      <c r="R199" s="39"/>
      <c r="S199" s="239"/>
      <c r="AE199" s="174"/>
    </row>
    <row r="200" ht="15.75" customHeight="1">
      <c r="C200" s="98"/>
      <c r="D200" s="98"/>
      <c r="E200" s="39"/>
      <c r="F200" s="39"/>
      <c r="G200" s="39"/>
      <c r="H200" s="39"/>
      <c r="I200" s="39"/>
      <c r="J200" s="39"/>
      <c r="K200" s="39"/>
      <c r="L200" s="39"/>
      <c r="M200" s="39"/>
      <c r="N200" s="39"/>
      <c r="O200" s="39"/>
      <c r="P200" s="39"/>
      <c r="Q200" s="39"/>
      <c r="R200" s="39"/>
      <c r="S200" s="239"/>
      <c r="AE200" s="174"/>
    </row>
    <row r="201" ht="15.75" customHeight="1">
      <c r="C201" s="98"/>
      <c r="D201" s="98"/>
      <c r="E201" s="39"/>
      <c r="F201" s="39"/>
      <c r="G201" s="39"/>
      <c r="H201" s="39"/>
      <c r="I201" s="39"/>
      <c r="J201" s="39"/>
      <c r="K201" s="39"/>
      <c r="L201" s="39"/>
      <c r="M201" s="39"/>
      <c r="N201" s="39"/>
      <c r="O201" s="39"/>
      <c r="P201" s="39"/>
      <c r="Q201" s="39"/>
      <c r="R201" s="39"/>
      <c r="S201" s="239"/>
      <c r="AE201" s="174"/>
    </row>
    <row r="202" ht="15.75" customHeight="1">
      <c r="C202" s="98"/>
      <c r="D202" s="98"/>
      <c r="E202" s="39"/>
      <c r="F202" s="39"/>
      <c r="G202" s="39"/>
      <c r="H202" s="39"/>
      <c r="I202" s="39"/>
      <c r="J202" s="39"/>
      <c r="K202" s="39"/>
      <c r="L202" s="39"/>
      <c r="M202" s="39"/>
      <c r="N202" s="39"/>
      <c r="O202" s="39"/>
      <c r="P202" s="39"/>
      <c r="Q202" s="39"/>
      <c r="R202" s="39"/>
      <c r="S202" s="239"/>
      <c r="AE202" s="174"/>
    </row>
    <row r="203" ht="15.75" customHeight="1">
      <c r="C203" s="98"/>
      <c r="D203" s="98"/>
      <c r="E203" s="39"/>
      <c r="F203" s="39"/>
      <c r="G203" s="39"/>
      <c r="H203" s="39"/>
      <c r="I203" s="39"/>
      <c r="J203" s="39"/>
      <c r="K203" s="39"/>
      <c r="L203" s="39"/>
      <c r="M203" s="39"/>
      <c r="N203" s="39"/>
      <c r="O203" s="39"/>
      <c r="P203" s="39"/>
      <c r="Q203" s="39"/>
      <c r="R203" s="39"/>
      <c r="S203" s="239"/>
      <c r="AE203" s="174"/>
    </row>
    <row r="204" ht="15.75" customHeight="1">
      <c r="C204" s="98"/>
      <c r="D204" s="98"/>
      <c r="E204" s="39"/>
      <c r="F204" s="39"/>
      <c r="G204" s="39"/>
      <c r="H204" s="39"/>
      <c r="I204" s="39"/>
      <c r="J204" s="39"/>
      <c r="K204" s="39"/>
      <c r="L204" s="39"/>
      <c r="M204" s="39"/>
      <c r="N204" s="39"/>
      <c r="O204" s="39"/>
      <c r="P204" s="39"/>
      <c r="Q204" s="39"/>
      <c r="R204" s="39"/>
      <c r="S204" s="239"/>
      <c r="AE204" s="174"/>
    </row>
    <row r="205" ht="15.75" customHeight="1">
      <c r="C205" s="98"/>
      <c r="D205" s="98"/>
      <c r="E205" s="39"/>
      <c r="F205" s="39"/>
      <c r="G205" s="39"/>
      <c r="H205" s="39"/>
      <c r="I205" s="39"/>
      <c r="J205" s="39"/>
      <c r="K205" s="39"/>
      <c r="L205" s="39"/>
      <c r="M205" s="39"/>
      <c r="N205" s="39"/>
      <c r="O205" s="39"/>
      <c r="P205" s="39"/>
      <c r="Q205" s="39"/>
      <c r="R205" s="39"/>
      <c r="S205" s="239"/>
      <c r="AE205" s="174"/>
    </row>
    <row r="206" ht="15.75" customHeight="1">
      <c r="C206" s="98"/>
      <c r="D206" s="98"/>
      <c r="E206" s="39"/>
      <c r="F206" s="39"/>
      <c r="G206" s="39"/>
      <c r="H206" s="39"/>
      <c r="I206" s="39"/>
      <c r="J206" s="39"/>
      <c r="K206" s="39"/>
      <c r="L206" s="39"/>
      <c r="M206" s="39"/>
      <c r="N206" s="39"/>
      <c r="O206" s="39"/>
      <c r="P206" s="39"/>
      <c r="Q206" s="39"/>
      <c r="R206" s="39"/>
      <c r="S206" s="239"/>
      <c r="AE206" s="174"/>
    </row>
    <row r="207" ht="15.75" customHeight="1">
      <c r="C207" s="98"/>
      <c r="D207" s="98"/>
      <c r="E207" s="39"/>
      <c r="F207" s="39"/>
      <c r="G207" s="39"/>
      <c r="H207" s="39"/>
      <c r="I207" s="39"/>
      <c r="J207" s="39"/>
      <c r="K207" s="39"/>
      <c r="L207" s="39"/>
      <c r="M207" s="39"/>
      <c r="N207" s="39"/>
      <c r="O207" s="39"/>
      <c r="P207" s="39"/>
      <c r="Q207" s="39"/>
      <c r="R207" s="39"/>
      <c r="S207" s="239"/>
      <c r="AE207" s="174"/>
    </row>
    <row r="208" ht="15.75" customHeight="1">
      <c r="C208" s="98"/>
      <c r="D208" s="98"/>
      <c r="E208" s="39"/>
      <c r="F208" s="39"/>
      <c r="G208" s="39"/>
      <c r="H208" s="39"/>
      <c r="I208" s="39"/>
      <c r="J208" s="39"/>
      <c r="K208" s="39"/>
      <c r="L208" s="39"/>
      <c r="M208" s="39"/>
      <c r="N208" s="39"/>
      <c r="O208" s="39"/>
      <c r="P208" s="39"/>
      <c r="Q208" s="39"/>
      <c r="R208" s="39"/>
      <c r="S208" s="239"/>
      <c r="AE208" s="174"/>
    </row>
    <row r="209" ht="15.75" customHeight="1">
      <c r="C209" s="98"/>
      <c r="D209" s="98"/>
      <c r="E209" s="39"/>
      <c r="F209" s="39"/>
      <c r="G209" s="39"/>
      <c r="H209" s="39"/>
      <c r="I209" s="39"/>
      <c r="J209" s="39"/>
      <c r="K209" s="39"/>
      <c r="L209" s="39"/>
      <c r="M209" s="39"/>
      <c r="N209" s="39"/>
      <c r="O209" s="39"/>
      <c r="P209" s="39"/>
      <c r="Q209" s="39"/>
      <c r="R209" s="39"/>
      <c r="S209" s="239"/>
      <c r="AE209" s="174"/>
    </row>
    <row r="210" ht="15.75" customHeight="1">
      <c r="C210" s="98"/>
      <c r="D210" s="98"/>
      <c r="E210" s="39"/>
      <c r="F210" s="39"/>
      <c r="G210" s="39"/>
      <c r="H210" s="39"/>
      <c r="I210" s="39"/>
      <c r="J210" s="39"/>
      <c r="K210" s="39"/>
      <c r="L210" s="39"/>
      <c r="M210" s="39"/>
      <c r="N210" s="39"/>
      <c r="O210" s="39"/>
      <c r="P210" s="39"/>
      <c r="Q210" s="39"/>
      <c r="R210" s="39"/>
      <c r="S210" s="239"/>
      <c r="AE210" s="174"/>
    </row>
    <row r="211" ht="15.75" customHeight="1">
      <c r="C211" s="98"/>
      <c r="D211" s="98"/>
      <c r="E211" s="39"/>
      <c r="F211" s="39"/>
      <c r="G211" s="39"/>
      <c r="H211" s="39"/>
      <c r="I211" s="39"/>
      <c r="J211" s="39"/>
      <c r="K211" s="39"/>
      <c r="L211" s="39"/>
      <c r="M211" s="39"/>
      <c r="N211" s="39"/>
      <c r="O211" s="39"/>
      <c r="P211" s="39"/>
      <c r="Q211" s="39"/>
      <c r="R211" s="39"/>
      <c r="S211" s="239"/>
      <c r="AE211" s="174"/>
    </row>
    <row r="212" ht="15.75" customHeight="1">
      <c r="C212" s="98"/>
      <c r="D212" s="98"/>
      <c r="E212" s="39"/>
      <c r="F212" s="39"/>
      <c r="G212" s="39"/>
      <c r="H212" s="39"/>
      <c r="I212" s="39"/>
      <c r="J212" s="39"/>
      <c r="K212" s="39"/>
      <c r="L212" s="39"/>
      <c r="M212" s="39"/>
      <c r="N212" s="39"/>
      <c r="O212" s="39"/>
      <c r="P212" s="39"/>
      <c r="Q212" s="39"/>
      <c r="R212" s="39"/>
      <c r="S212" s="239"/>
      <c r="AE212" s="174"/>
    </row>
    <row r="213" ht="15.75" customHeight="1">
      <c r="C213" s="98"/>
      <c r="D213" s="98"/>
      <c r="E213" s="39"/>
      <c r="F213" s="39"/>
      <c r="G213" s="39"/>
      <c r="H213" s="39"/>
      <c r="I213" s="39"/>
      <c r="J213" s="39"/>
      <c r="K213" s="39"/>
      <c r="L213" s="39"/>
      <c r="M213" s="39"/>
      <c r="N213" s="39"/>
      <c r="O213" s="39"/>
      <c r="P213" s="39"/>
      <c r="Q213" s="39"/>
      <c r="R213" s="39"/>
      <c r="S213" s="239"/>
      <c r="AE213" s="174"/>
    </row>
    <row r="214" ht="15.75" customHeight="1">
      <c r="C214" s="98"/>
      <c r="D214" s="98"/>
      <c r="E214" s="39"/>
      <c r="F214" s="39"/>
      <c r="G214" s="39"/>
      <c r="H214" s="39"/>
      <c r="I214" s="39"/>
      <c r="J214" s="39"/>
      <c r="K214" s="39"/>
      <c r="L214" s="39"/>
      <c r="M214" s="39"/>
      <c r="N214" s="39"/>
      <c r="O214" s="39"/>
      <c r="P214" s="39"/>
      <c r="Q214" s="39"/>
      <c r="R214" s="39"/>
      <c r="S214" s="239"/>
      <c r="AE214" s="174"/>
    </row>
    <row r="215" ht="15.75" customHeight="1">
      <c r="C215" s="98"/>
      <c r="D215" s="98"/>
      <c r="E215" s="39"/>
      <c r="F215" s="39"/>
      <c r="G215" s="39"/>
      <c r="H215" s="39"/>
      <c r="I215" s="39"/>
      <c r="J215" s="39"/>
      <c r="K215" s="39"/>
      <c r="L215" s="39"/>
      <c r="M215" s="39"/>
      <c r="N215" s="39"/>
      <c r="O215" s="39"/>
      <c r="P215" s="39"/>
      <c r="Q215" s="39"/>
      <c r="R215" s="39"/>
      <c r="S215" s="239"/>
      <c r="AE215" s="174"/>
    </row>
    <row r="216" ht="15.75" customHeight="1">
      <c r="C216" s="98"/>
      <c r="D216" s="98"/>
      <c r="E216" s="39"/>
      <c r="F216" s="39"/>
      <c r="G216" s="39"/>
      <c r="H216" s="39"/>
      <c r="I216" s="39"/>
      <c r="J216" s="39"/>
      <c r="K216" s="39"/>
      <c r="L216" s="39"/>
      <c r="M216" s="39"/>
      <c r="N216" s="39"/>
      <c r="O216" s="39"/>
      <c r="P216" s="39"/>
      <c r="Q216" s="39"/>
      <c r="R216" s="39"/>
      <c r="S216" s="239"/>
      <c r="AE216" s="174"/>
    </row>
    <row r="217" ht="15.75" customHeight="1">
      <c r="C217" s="98"/>
      <c r="D217" s="98"/>
      <c r="E217" s="39"/>
      <c r="F217" s="39"/>
      <c r="G217" s="39"/>
      <c r="H217" s="39"/>
      <c r="I217" s="39"/>
      <c r="J217" s="39"/>
      <c r="K217" s="39"/>
      <c r="L217" s="39"/>
      <c r="M217" s="39"/>
      <c r="N217" s="39"/>
      <c r="O217" s="39"/>
      <c r="P217" s="39"/>
      <c r="Q217" s="39"/>
      <c r="R217" s="39"/>
      <c r="S217" s="239"/>
      <c r="AE217" s="174"/>
    </row>
    <row r="218" ht="15.75" customHeight="1">
      <c r="C218" s="98"/>
      <c r="D218" s="98"/>
      <c r="E218" s="39"/>
      <c r="F218" s="39"/>
      <c r="G218" s="39"/>
      <c r="H218" s="39"/>
      <c r="I218" s="39"/>
      <c r="J218" s="39"/>
      <c r="K218" s="39"/>
      <c r="L218" s="39"/>
      <c r="M218" s="39"/>
      <c r="N218" s="39"/>
      <c r="O218" s="39"/>
      <c r="P218" s="39"/>
      <c r="Q218" s="39"/>
      <c r="R218" s="39"/>
      <c r="S218" s="239"/>
      <c r="AE218" s="174"/>
    </row>
    <row r="219" ht="15.75" customHeight="1">
      <c r="C219" s="98"/>
      <c r="D219" s="98"/>
      <c r="E219" s="39"/>
      <c r="F219" s="39"/>
      <c r="G219" s="39"/>
      <c r="H219" s="39"/>
      <c r="I219" s="39"/>
      <c r="J219" s="39"/>
      <c r="K219" s="39"/>
      <c r="L219" s="39"/>
      <c r="M219" s="39"/>
      <c r="N219" s="39"/>
      <c r="O219" s="39"/>
      <c r="P219" s="39"/>
      <c r="Q219" s="39"/>
      <c r="R219" s="39"/>
      <c r="S219" s="239"/>
      <c r="AE219" s="174"/>
    </row>
    <row r="220" ht="15.75" customHeight="1">
      <c r="C220" s="98"/>
      <c r="D220" s="98"/>
      <c r="E220" s="39"/>
      <c r="F220" s="39"/>
      <c r="G220" s="39"/>
      <c r="H220" s="39"/>
      <c r="I220" s="39"/>
      <c r="J220" s="39"/>
      <c r="K220" s="39"/>
      <c r="L220" s="39"/>
      <c r="M220" s="39"/>
      <c r="N220" s="39"/>
      <c r="O220" s="39"/>
      <c r="P220" s="39"/>
      <c r="Q220" s="39"/>
      <c r="R220" s="39"/>
      <c r="S220" s="239"/>
      <c r="AE220" s="174"/>
    </row>
    <row r="221" ht="15.75" customHeight="1">
      <c r="C221" s="98"/>
      <c r="D221" s="98"/>
      <c r="E221" s="39"/>
      <c r="F221" s="39"/>
      <c r="G221" s="39"/>
      <c r="H221" s="39"/>
      <c r="I221" s="39"/>
      <c r="J221" s="39"/>
      <c r="K221" s="39"/>
      <c r="L221" s="39"/>
      <c r="M221" s="39"/>
      <c r="N221" s="39"/>
      <c r="O221" s="39"/>
      <c r="P221" s="39"/>
      <c r="Q221" s="39"/>
      <c r="R221" s="39"/>
      <c r="S221" s="239"/>
      <c r="AE221" s="174"/>
    </row>
    <row r="222" ht="15.75" customHeight="1">
      <c r="C222" s="98"/>
      <c r="D222" s="98"/>
      <c r="E222" s="39"/>
      <c r="F222" s="39"/>
      <c r="G222" s="39"/>
      <c r="H222" s="39"/>
      <c r="I222" s="39"/>
      <c r="J222" s="39"/>
      <c r="K222" s="39"/>
      <c r="L222" s="39"/>
      <c r="M222" s="39"/>
      <c r="N222" s="39"/>
      <c r="O222" s="39"/>
      <c r="P222" s="39"/>
      <c r="Q222" s="39"/>
      <c r="R222" s="39"/>
      <c r="S222" s="239"/>
      <c r="AE222" s="174"/>
    </row>
    <row r="223" ht="15.75" customHeight="1">
      <c r="C223" s="98"/>
      <c r="D223" s="98"/>
      <c r="E223" s="39"/>
      <c r="F223" s="39"/>
      <c r="G223" s="39"/>
      <c r="H223" s="39"/>
      <c r="I223" s="39"/>
      <c r="J223" s="39"/>
      <c r="K223" s="39"/>
      <c r="L223" s="39"/>
      <c r="M223" s="39"/>
      <c r="N223" s="39"/>
      <c r="O223" s="39"/>
      <c r="P223" s="39"/>
      <c r="Q223" s="39"/>
      <c r="R223" s="39"/>
      <c r="S223" s="239"/>
      <c r="AE223" s="174"/>
    </row>
    <row r="224" ht="15.75" customHeight="1">
      <c r="C224" s="98"/>
      <c r="D224" s="98"/>
      <c r="E224" s="39"/>
      <c r="F224" s="39"/>
      <c r="G224" s="39"/>
      <c r="H224" s="39"/>
      <c r="I224" s="39"/>
      <c r="J224" s="39"/>
      <c r="K224" s="39"/>
      <c r="L224" s="39"/>
      <c r="M224" s="39"/>
      <c r="N224" s="39"/>
      <c r="O224" s="39"/>
      <c r="P224" s="39"/>
      <c r="Q224" s="39"/>
      <c r="R224" s="39"/>
      <c r="S224" s="239"/>
      <c r="AE224" s="174"/>
    </row>
    <row r="225" ht="15.75" customHeight="1">
      <c r="C225" s="98"/>
      <c r="D225" s="98"/>
      <c r="E225" s="39"/>
      <c r="F225" s="39"/>
      <c r="G225" s="39"/>
      <c r="H225" s="39"/>
      <c r="I225" s="39"/>
      <c r="J225" s="39"/>
      <c r="K225" s="39"/>
      <c r="L225" s="39"/>
      <c r="M225" s="39"/>
      <c r="N225" s="39"/>
      <c r="O225" s="39"/>
      <c r="P225" s="39"/>
      <c r="Q225" s="39"/>
      <c r="R225" s="39"/>
      <c r="S225" s="239"/>
      <c r="AE225" s="174"/>
    </row>
    <row r="226" ht="15.75" customHeight="1">
      <c r="C226" s="98"/>
      <c r="D226" s="98"/>
      <c r="E226" s="39"/>
      <c r="F226" s="39"/>
      <c r="G226" s="39"/>
      <c r="H226" s="39"/>
      <c r="I226" s="39"/>
      <c r="J226" s="39"/>
      <c r="K226" s="39"/>
      <c r="L226" s="39"/>
      <c r="M226" s="39"/>
      <c r="N226" s="39"/>
      <c r="O226" s="39"/>
      <c r="P226" s="39"/>
      <c r="Q226" s="39"/>
      <c r="R226" s="39"/>
      <c r="S226" s="239"/>
      <c r="AE226" s="174"/>
    </row>
    <row r="227" ht="15.75" customHeight="1">
      <c r="C227" s="98"/>
      <c r="D227" s="98"/>
      <c r="E227" s="39"/>
      <c r="F227" s="39"/>
      <c r="G227" s="39"/>
      <c r="H227" s="39"/>
      <c r="I227" s="39"/>
      <c r="J227" s="39"/>
      <c r="K227" s="39"/>
      <c r="L227" s="39"/>
      <c r="M227" s="39"/>
      <c r="N227" s="39"/>
      <c r="O227" s="39"/>
      <c r="P227" s="39"/>
      <c r="Q227" s="39"/>
      <c r="R227" s="39"/>
      <c r="S227" s="239"/>
      <c r="AE227" s="174"/>
    </row>
    <row r="228" ht="15.75" customHeight="1">
      <c r="C228" s="98"/>
      <c r="D228" s="98"/>
      <c r="E228" s="39"/>
      <c r="F228" s="39"/>
      <c r="G228" s="39"/>
      <c r="H228" s="39"/>
      <c r="I228" s="39"/>
      <c r="J228" s="39"/>
      <c r="K228" s="39"/>
      <c r="L228" s="39"/>
      <c r="M228" s="39"/>
      <c r="N228" s="39"/>
      <c r="O228" s="39"/>
      <c r="P228" s="39"/>
      <c r="Q228" s="39"/>
      <c r="R228" s="39"/>
      <c r="S228" s="239"/>
      <c r="AE228" s="174"/>
    </row>
    <row r="229" ht="15.75" customHeight="1">
      <c r="C229" s="98"/>
      <c r="D229" s="98"/>
      <c r="E229" s="39"/>
      <c r="F229" s="39"/>
      <c r="G229" s="39"/>
      <c r="H229" s="39"/>
      <c r="I229" s="39"/>
      <c r="J229" s="39"/>
      <c r="K229" s="39"/>
      <c r="L229" s="39"/>
      <c r="M229" s="39"/>
      <c r="N229" s="39"/>
      <c r="O229" s="39"/>
      <c r="P229" s="39"/>
      <c r="Q229" s="39"/>
      <c r="R229" s="39"/>
      <c r="S229" s="239"/>
      <c r="AE229" s="174"/>
    </row>
    <row r="230" ht="15.75" customHeight="1">
      <c r="C230" s="98"/>
      <c r="D230" s="98"/>
      <c r="E230" s="39"/>
      <c r="F230" s="39"/>
      <c r="G230" s="39"/>
      <c r="H230" s="39"/>
      <c r="I230" s="39"/>
      <c r="J230" s="39"/>
      <c r="K230" s="39"/>
      <c r="L230" s="39"/>
      <c r="M230" s="39"/>
      <c r="N230" s="39"/>
      <c r="O230" s="39"/>
      <c r="P230" s="39"/>
      <c r="Q230" s="39"/>
      <c r="R230" s="39"/>
      <c r="S230" s="239"/>
      <c r="AE230" s="174"/>
    </row>
    <row r="231" ht="15.75" customHeight="1">
      <c r="C231" s="98"/>
      <c r="D231" s="98"/>
      <c r="E231" s="39"/>
      <c r="F231" s="39"/>
      <c r="G231" s="39"/>
      <c r="H231" s="39"/>
      <c r="I231" s="39"/>
      <c r="J231" s="39"/>
      <c r="K231" s="39"/>
      <c r="L231" s="39"/>
      <c r="M231" s="39"/>
      <c r="N231" s="39"/>
      <c r="O231" s="39"/>
      <c r="P231" s="39"/>
      <c r="Q231" s="39"/>
      <c r="R231" s="39"/>
      <c r="S231" s="239"/>
      <c r="AE231" s="174"/>
    </row>
    <row r="232" ht="15.75" customHeight="1">
      <c r="C232" s="98"/>
      <c r="D232" s="98"/>
      <c r="E232" s="39"/>
      <c r="F232" s="39"/>
      <c r="G232" s="39"/>
      <c r="H232" s="39"/>
      <c r="I232" s="39"/>
      <c r="J232" s="39"/>
      <c r="K232" s="39"/>
      <c r="L232" s="39"/>
      <c r="M232" s="39"/>
      <c r="N232" s="39"/>
      <c r="O232" s="39"/>
      <c r="P232" s="39"/>
      <c r="Q232" s="39"/>
      <c r="R232" s="39"/>
      <c r="S232" s="239"/>
      <c r="AE232" s="174"/>
    </row>
    <row r="233" ht="15.75" customHeight="1">
      <c r="C233" s="98"/>
      <c r="D233" s="98"/>
      <c r="E233" s="39"/>
      <c r="F233" s="39"/>
      <c r="G233" s="39"/>
      <c r="H233" s="39"/>
      <c r="I233" s="39"/>
      <c r="J233" s="39"/>
      <c r="K233" s="39"/>
      <c r="L233" s="39"/>
      <c r="M233" s="39"/>
      <c r="N233" s="39"/>
      <c r="O233" s="39"/>
      <c r="P233" s="39"/>
      <c r="Q233" s="39"/>
      <c r="R233" s="39"/>
      <c r="S233" s="239"/>
      <c r="AE233" s="174"/>
    </row>
    <row r="234" ht="15.75" customHeight="1">
      <c r="C234" s="98"/>
      <c r="D234" s="98"/>
      <c r="E234" s="39"/>
      <c r="F234" s="39"/>
      <c r="G234" s="39"/>
      <c r="H234" s="39"/>
      <c r="I234" s="39"/>
      <c r="J234" s="39"/>
      <c r="K234" s="39"/>
      <c r="L234" s="39"/>
      <c r="M234" s="39"/>
      <c r="N234" s="39"/>
      <c r="O234" s="39"/>
      <c r="P234" s="39"/>
      <c r="Q234" s="39"/>
      <c r="R234" s="39"/>
      <c r="S234" s="239"/>
      <c r="AE234" s="174"/>
    </row>
    <row r="235" ht="15.75" customHeight="1">
      <c r="C235" s="98"/>
      <c r="D235" s="98"/>
      <c r="E235" s="39"/>
      <c r="F235" s="39"/>
      <c r="G235" s="39"/>
      <c r="H235" s="39"/>
      <c r="I235" s="39"/>
      <c r="J235" s="39"/>
      <c r="K235" s="39"/>
      <c r="L235" s="39"/>
      <c r="M235" s="39"/>
      <c r="N235" s="39"/>
      <c r="O235" s="39"/>
      <c r="P235" s="39"/>
      <c r="Q235" s="39"/>
      <c r="R235" s="39"/>
      <c r="S235" s="239"/>
      <c r="AE235" s="174"/>
    </row>
    <row r="236" ht="15.75" customHeight="1">
      <c r="C236" s="98"/>
      <c r="D236" s="98"/>
      <c r="E236" s="39"/>
      <c r="F236" s="39"/>
      <c r="G236" s="39"/>
      <c r="H236" s="39"/>
      <c r="I236" s="39"/>
      <c r="J236" s="39"/>
      <c r="K236" s="39"/>
      <c r="L236" s="39"/>
      <c r="M236" s="39"/>
      <c r="N236" s="39"/>
      <c r="O236" s="39"/>
      <c r="P236" s="39"/>
      <c r="Q236" s="39"/>
      <c r="R236" s="39"/>
      <c r="S236" s="239"/>
      <c r="AE236" s="174"/>
    </row>
    <row r="237" ht="15.75" customHeight="1">
      <c r="C237" s="98"/>
      <c r="D237" s="98"/>
      <c r="E237" s="39"/>
      <c r="F237" s="39"/>
      <c r="G237" s="39"/>
      <c r="H237" s="39"/>
      <c r="I237" s="39"/>
      <c r="J237" s="39"/>
      <c r="K237" s="39"/>
      <c r="L237" s="39"/>
      <c r="M237" s="39"/>
      <c r="N237" s="39"/>
      <c r="O237" s="39"/>
      <c r="P237" s="39"/>
      <c r="Q237" s="39"/>
      <c r="R237" s="39"/>
      <c r="S237" s="239"/>
      <c r="AE237" s="174"/>
    </row>
    <row r="238" ht="15.75" customHeight="1">
      <c r="C238" s="98"/>
      <c r="D238" s="98"/>
      <c r="E238" s="39"/>
      <c r="F238" s="39"/>
      <c r="G238" s="39"/>
      <c r="H238" s="39"/>
      <c r="I238" s="39"/>
      <c r="J238" s="39"/>
      <c r="K238" s="39"/>
      <c r="L238" s="39"/>
      <c r="M238" s="39"/>
      <c r="N238" s="39"/>
      <c r="O238" s="39"/>
      <c r="P238" s="39"/>
      <c r="Q238" s="39"/>
      <c r="R238" s="39"/>
      <c r="S238" s="239"/>
      <c r="AE238" s="174"/>
    </row>
    <row r="239" ht="15.75" customHeight="1">
      <c r="S239" s="239"/>
      <c r="AE239" s="174"/>
    </row>
    <row r="240" ht="15.75" customHeight="1">
      <c r="S240" s="239"/>
      <c r="AE240" s="174"/>
    </row>
    <row r="241" ht="15.75" customHeight="1">
      <c r="S241" s="239"/>
      <c r="AE241" s="174"/>
    </row>
    <row r="242" ht="15.75" customHeight="1">
      <c r="S242" s="239"/>
      <c r="AE242" s="174"/>
    </row>
    <row r="243" ht="15.75" customHeight="1">
      <c r="S243" s="239"/>
      <c r="AE243" s="174"/>
    </row>
    <row r="244" ht="15.75" customHeight="1">
      <c r="S244" s="239"/>
      <c r="AE244" s="174"/>
    </row>
    <row r="245" ht="15.75" customHeight="1">
      <c r="S245" s="239"/>
      <c r="AE245" s="174"/>
    </row>
    <row r="246" ht="15.75" customHeight="1">
      <c r="S246" s="239"/>
      <c r="AE246" s="174"/>
    </row>
    <row r="247" ht="15.75" customHeight="1">
      <c r="S247" s="239"/>
      <c r="AE247" s="174"/>
    </row>
    <row r="248" ht="15.75" customHeight="1">
      <c r="S248" s="239"/>
      <c r="AE248" s="174"/>
    </row>
    <row r="249" ht="15.75" customHeight="1">
      <c r="S249" s="239"/>
      <c r="AE249" s="174"/>
    </row>
    <row r="250" ht="15.75" customHeight="1">
      <c r="S250" s="239"/>
      <c r="AE250" s="174"/>
    </row>
    <row r="251" ht="15.75" customHeight="1">
      <c r="S251" s="239"/>
      <c r="AE251" s="174"/>
    </row>
    <row r="252" ht="15.75" customHeight="1">
      <c r="S252" s="239"/>
      <c r="AE252" s="174"/>
    </row>
    <row r="253" ht="15.75" customHeight="1">
      <c r="S253" s="239"/>
      <c r="AE253" s="174"/>
    </row>
    <row r="254" ht="15.75" customHeight="1">
      <c r="S254" s="239"/>
      <c r="AE254" s="174"/>
    </row>
    <row r="255" ht="15.75" customHeight="1">
      <c r="S255" s="239"/>
      <c r="AE255" s="174"/>
    </row>
    <row r="256" ht="15.75" customHeight="1">
      <c r="S256" s="239"/>
      <c r="AE256" s="174"/>
    </row>
    <row r="257" ht="15.75" customHeight="1">
      <c r="S257" s="239"/>
      <c r="AE257" s="174"/>
    </row>
    <row r="258" ht="15.75" customHeight="1">
      <c r="S258" s="239"/>
      <c r="AE258" s="174"/>
    </row>
    <row r="259" ht="15.75" customHeight="1">
      <c r="S259" s="239"/>
      <c r="AE259" s="174"/>
    </row>
    <row r="260" ht="15.75" customHeight="1">
      <c r="S260" s="239"/>
      <c r="AE260" s="174"/>
    </row>
    <row r="261" ht="15.75" customHeight="1">
      <c r="S261" s="239"/>
      <c r="AE261" s="174"/>
    </row>
    <row r="262" ht="15.75" customHeight="1">
      <c r="S262" s="239"/>
      <c r="AE262" s="174"/>
    </row>
    <row r="263" ht="15.75" customHeight="1">
      <c r="S263" s="239"/>
      <c r="AE263" s="174"/>
    </row>
    <row r="264" ht="15.75" customHeight="1">
      <c r="S264" s="239"/>
      <c r="AE264" s="174"/>
    </row>
    <row r="265" ht="15.75" customHeight="1">
      <c r="S265" s="239"/>
      <c r="AE265" s="174"/>
    </row>
    <row r="266" ht="15.75" customHeight="1">
      <c r="S266" s="239"/>
      <c r="AE266" s="174"/>
    </row>
    <row r="267" ht="15.75" customHeight="1">
      <c r="S267" s="239"/>
      <c r="AE267" s="174"/>
    </row>
    <row r="268" ht="15.75" customHeight="1">
      <c r="S268" s="239"/>
      <c r="AE268" s="174"/>
    </row>
    <row r="269" ht="15.75" customHeight="1">
      <c r="S269" s="239"/>
      <c r="AE269" s="174"/>
    </row>
    <row r="270" ht="15.75" customHeight="1">
      <c r="S270" s="239"/>
      <c r="AE270" s="174"/>
    </row>
    <row r="271" ht="15.75" customHeight="1">
      <c r="S271" s="239"/>
      <c r="AE271" s="174"/>
    </row>
    <row r="272" ht="15.75" customHeight="1">
      <c r="S272" s="239"/>
      <c r="AE272" s="174"/>
    </row>
    <row r="273" ht="15.75" customHeight="1">
      <c r="S273" s="239"/>
      <c r="AE273" s="174"/>
    </row>
    <row r="274" ht="15.75" customHeight="1">
      <c r="S274" s="239"/>
      <c r="AE274" s="174"/>
    </row>
    <row r="275" ht="15.75" customHeight="1">
      <c r="S275" s="239"/>
      <c r="AE275" s="174"/>
    </row>
    <row r="276" ht="15.75" customHeight="1">
      <c r="S276" s="239"/>
      <c r="AE276" s="174"/>
    </row>
    <row r="277" ht="15.75" customHeight="1">
      <c r="S277" s="239"/>
      <c r="AE277" s="174"/>
    </row>
    <row r="278" ht="15.75" customHeight="1">
      <c r="S278" s="239"/>
      <c r="AE278" s="174"/>
    </row>
    <row r="279" ht="15.75" customHeight="1">
      <c r="S279" s="239"/>
      <c r="AE279" s="174"/>
    </row>
    <row r="280" ht="15.75" customHeight="1">
      <c r="S280" s="239"/>
      <c r="AE280" s="174"/>
    </row>
    <row r="281" ht="15.75" customHeight="1">
      <c r="S281" s="239"/>
      <c r="AE281" s="174"/>
    </row>
    <row r="282" ht="15.75" customHeight="1">
      <c r="S282" s="239"/>
      <c r="AE282" s="174"/>
    </row>
    <row r="283" ht="15.75" customHeight="1">
      <c r="S283" s="239"/>
      <c r="AE283" s="174"/>
    </row>
    <row r="284" ht="15.75" customHeight="1">
      <c r="S284" s="239"/>
      <c r="AE284" s="174"/>
    </row>
    <row r="285" ht="15.75" customHeight="1">
      <c r="S285" s="239"/>
      <c r="AE285" s="174"/>
    </row>
    <row r="286" ht="15.75" customHeight="1">
      <c r="S286" s="239"/>
      <c r="AE286" s="174"/>
    </row>
    <row r="287" ht="15.75" customHeight="1">
      <c r="S287" s="239"/>
      <c r="AE287" s="174"/>
    </row>
    <row r="288" ht="15.75" customHeight="1">
      <c r="S288" s="239"/>
      <c r="AE288" s="174"/>
    </row>
    <row r="289" ht="15.75" customHeight="1">
      <c r="S289" s="239"/>
      <c r="AE289" s="174"/>
    </row>
    <row r="290" ht="15.75" customHeight="1">
      <c r="S290" s="239"/>
      <c r="AE290" s="174"/>
    </row>
    <row r="291" ht="15.75" customHeight="1">
      <c r="S291" s="239"/>
      <c r="AE291" s="174"/>
    </row>
    <row r="292" ht="15.75" customHeight="1">
      <c r="S292" s="239"/>
      <c r="AE292" s="174"/>
    </row>
    <row r="293" ht="15.75" customHeight="1">
      <c r="S293" s="239"/>
      <c r="AE293" s="174"/>
    </row>
    <row r="294" ht="15.75" customHeight="1">
      <c r="S294" s="239"/>
      <c r="AE294" s="174"/>
    </row>
    <row r="295" ht="15.75" customHeight="1">
      <c r="S295" s="239"/>
      <c r="AE295" s="174"/>
    </row>
    <row r="296" ht="15.75" customHeight="1">
      <c r="S296" s="239"/>
      <c r="AE296" s="174"/>
    </row>
    <row r="297" ht="15.75" customHeight="1">
      <c r="S297" s="239"/>
      <c r="AE297" s="174"/>
    </row>
    <row r="298" ht="15.75" customHeight="1">
      <c r="S298" s="239"/>
      <c r="AE298" s="174"/>
    </row>
    <row r="299" ht="15.75" customHeight="1">
      <c r="S299" s="239"/>
      <c r="AE299" s="174"/>
    </row>
    <row r="300" ht="15.75" customHeight="1">
      <c r="S300" s="239"/>
      <c r="AE300" s="174"/>
    </row>
    <row r="301" ht="15.75" customHeight="1">
      <c r="S301" s="239"/>
      <c r="AE301" s="174"/>
    </row>
    <row r="302" ht="15.75" customHeight="1">
      <c r="S302" s="239"/>
      <c r="AE302" s="174"/>
    </row>
    <row r="303" ht="15.75" customHeight="1">
      <c r="S303" s="239"/>
      <c r="AE303" s="174"/>
    </row>
    <row r="304" ht="15.75" customHeight="1">
      <c r="S304" s="239"/>
      <c r="AE304" s="174"/>
    </row>
    <row r="305" ht="15.75" customHeight="1">
      <c r="S305" s="239"/>
      <c r="AE305" s="174"/>
    </row>
    <row r="306" ht="15.75" customHeight="1">
      <c r="S306" s="239"/>
      <c r="AE306" s="174"/>
    </row>
    <row r="307" ht="15.75" customHeight="1">
      <c r="S307" s="239"/>
      <c r="AE307" s="174"/>
    </row>
    <row r="308" ht="15.75" customHeight="1">
      <c r="S308" s="239"/>
      <c r="AE308" s="174"/>
    </row>
    <row r="309" ht="15.75" customHeight="1">
      <c r="S309" s="239"/>
      <c r="AE309" s="174"/>
    </row>
    <row r="310" ht="15.75" customHeight="1">
      <c r="S310" s="239"/>
      <c r="AE310" s="174"/>
    </row>
    <row r="311" ht="15.75" customHeight="1">
      <c r="S311" s="239"/>
      <c r="AE311" s="174"/>
    </row>
    <row r="312" ht="15.75" customHeight="1">
      <c r="S312" s="239"/>
      <c r="AE312" s="174"/>
    </row>
    <row r="313" ht="15.75" customHeight="1">
      <c r="S313" s="239"/>
      <c r="AE313" s="174"/>
    </row>
    <row r="314" ht="15.75" customHeight="1">
      <c r="S314" s="239"/>
      <c r="AE314" s="174"/>
    </row>
    <row r="315" ht="15.75" customHeight="1">
      <c r="S315" s="239"/>
      <c r="AE315" s="174"/>
    </row>
    <row r="316" ht="15.75" customHeight="1">
      <c r="S316" s="239"/>
      <c r="AE316" s="174"/>
    </row>
    <row r="317" ht="15.75" customHeight="1">
      <c r="S317" s="239"/>
      <c r="AE317" s="174"/>
    </row>
    <row r="318" ht="15.75" customHeight="1">
      <c r="S318" s="239"/>
      <c r="AE318" s="174"/>
    </row>
    <row r="319" ht="15.75" customHeight="1">
      <c r="S319" s="239"/>
      <c r="AE319" s="174"/>
    </row>
    <row r="320" ht="15.75" customHeight="1">
      <c r="S320" s="239"/>
      <c r="AE320" s="174"/>
    </row>
    <row r="321" ht="15.75" customHeight="1">
      <c r="S321" s="239"/>
      <c r="AE321" s="174"/>
    </row>
    <row r="322" ht="15.75" customHeight="1">
      <c r="S322" s="239"/>
      <c r="AE322" s="174"/>
    </row>
    <row r="323" ht="15.75" customHeight="1">
      <c r="S323" s="239"/>
      <c r="AE323" s="174"/>
    </row>
    <row r="324" ht="15.75" customHeight="1">
      <c r="S324" s="239"/>
      <c r="AE324" s="174"/>
    </row>
    <row r="325" ht="15.75" customHeight="1">
      <c r="S325" s="239"/>
      <c r="AE325" s="174"/>
    </row>
    <row r="326" ht="15.75" customHeight="1">
      <c r="S326" s="239"/>
      <c r="AE326" s="174"/>
    </row>
    <row r="327" ht="15.75" customHeight="1">
      <c r="S327" s="239"/>
      <c r="AE327" s="174"/>
    </row>
    <row r="328" ht="15.75" customHeight="1">
      <c r="S328" s="239"/>
      <c r="AE328" s="174"/>
    </row>
    <row r="329" ht="15.75" customHeight="1">
      <c r="S329" s="239"/>
      <c r="AE329" s="174"/>
    </row>
    <row r="330" ht="15.75" customHeight="1">
      <c r="S330" s="239"/>
      <c r="AE330" s="174"/>
    </row>
    <row r="331" ht="15.75" customHeight="1">
      <c r="S331" s="239"/>
      <c r="AE331" s="174"/>
    </row>
    <row r="332" ht="15.75" customHeight="1">
      <c r="S332" s="239"/>
      <c r="AE332" s="174"/>
    </row>
    <row r="333" ht="15.75" customHeight="1">
      <c r="S333" s="239"/>
      <c r="AE333" s="174"/>
    </row>
    <row r="334" ht="15.75" customHeight="1">
      <c r="S334" s="239"/>
      <c r="AE334" s="174"/>
    </row>
    <row r="335" ht="15.75" customHeight="1">
      <c r="S335" s="239"/>
      <c r="AE335" s="174"/>
    </row>
    <row r="336" ht="15.75" customHeight="1">
      <c r="S336" s="239"/>
      <c r="AE336" s="174"/>
    </row>
    <row r="337" ht="15.75" customHeight="1">
      <c r="S337" s="239"/>
      <c r="AE337" s="174"/>
    </row>
    <row r="338" ht="15.75" customHeight="1">
      <c r="S338" s="239"/>
      <c r="AE338" s="174"/>
    </row>
    <row r="339" ht="15.75" customHeight="1">
      <c r="S339" s="239"/>
      <c r="AE339" s="174"/>
    </row>
    <row r="340" ht="15.75" customHeight="1">
      <c r="S340" s="239"/>
      <c r="AE340" s="174"/>
    </row>
    <row r="341" ht="15.75" customHeight="1">
      <c r="S341" s="239"/>
      <c r="AE341" s="174"/>
    </row>
    <row r="342" ht="15.75" customHeight="1">
      <c r="S342" s="239"/>
      <c r="AE342" s="174"/>
    </row>
    <row r="343" ht="15.75" customHeight="1">
      <c r="S343" s="239"/>
      <c r="AE343" s="174"/>
    </row>
    <row r="344" ht="15.75" customHeight="1">
      <c r="S344" s="239"/>
      <c r="AE344" s="174"/>
    </row>
    <row r="345" ht="15.75" customHeight="1">
      <c r="S345" s="239"/>
      <c r="AE345" s="174"/>
    </row>
    <row r="346" ht="15.75" customHeight="1">
      <c r="S346" s="239"/>
      <c r="AE346" s="174"/>
    </row>
    <row r="347" ht="15.75" customHeight="1">
      <c r="S347" s="239"/>
      <c r="AE347" s="174"/>
    </row>
    <row r="348" ht="15.75" customHeight="1">
      <c r="S348" s="239"/>
      <c r="AE348" s="174"/>
    </row>
    <row r="349" ht="15.75" customHeight="1">
      <c r="S349" s="239"/>
      <c r="AE349" s="174"/>
    </row>
    <row r="350" ht="15.75" customHeight="1">
      <c r="S350" s="239"/>
      <c r="AE350" s="174"/>
    </row>
    <row r="351" ht="15.75" customHeight="1">
      <c r="S351" s="239"/>
      <c r="AE351" s="174"/>
    </row>
    <row r="352" ht="15.75" customHeight="1">
      <c r="S352" s="239"/>
      <c r="AE352" s="174"/>
    </row>
    <row r="353" ht="15.75" customHeight="1">
      <c r="S353" s="239"/>
      <c r="AE353" s="174"/>
    </row>
    <row r="354" ht="15.75" customHeight="1">
      <c r="S354" s="239"/>
      <c r="AE354" s="174"/>
    </row>
    <row r="355" ht="15.75" customHeight="1">
      <c r="S355" s="239"/>
      <c r="AE355" s="174"/>
    </row>
    <row r="356" ht="15.75" customHeight="1">
      <c r="S356" s="239"/>
      <c r="AE356" s="174"/>
    </row>
    <row r="357" ht="15.75" customHeight="1">
      <c r="S357" s="239"/>
      <c r="AE357" s="174"/>
    </row>
    <row r="358" ht="15.75" customHeight="1">
      <c r="S358" s="239"/>
      <c r="AE358" s="174"/>
    </row>
    <row r="359" ht="15.75" customHeight="1">
      <c r="S359" s="239"/>
      <c r="AE359" s="174"/>
    </row>
    <row r="360" ht="15.75" customHeight="1">
      <c r="S360" s="239"/>
      <c r="AE360" s="174"/>
    </row>
    <row r="361" ht="15.75" customHeight="1">
      <c r="S361" s="239"/>
      <c r="AE361" s="174"/>
    </row>
    <row r="362" ht="15.75" customHeight="1">
      <c r="S362" s="239"/>
      <c r="AE362" s="174"/>
    </row>
    <row r="363" ht="15.75" customHeight="1">
      <c r="S363" s="239"/>
      <c r="AE363" s="174"/>
    </row>
    <row r="364" ht="15.75" customHeight="1">
      <c r="S364" s="239"/>
      <c r="AE364" s="174"/>
    </row>
    <row r="365" ht="15.75" customHeight="1">
      <c r="S365" s="239"/>
      <c r="AE365" s="174"/>
    </row>
    <row r="366" ht="15.75" customHeight="1">
      <c r="S366" s="239"/>
      <c r="AE366" s="174"/>
    </row>
    <row r="367" ht="15.75" customHeight="1">
      <c r="S367" s="239"/>
      <c r="AE367" s="174"/>
    </row>
    <row r="368" ht="15.75" customHeight="1">
      <c r="S368" s="239"/>
      <c r="AE368" s="174"/>
    </row>
    <row r="369" ht="15.75" customHeight="1">
      <c r="S369" s="239"/>
      <c r="AE369" s="174"/>
    </row>
    <row r="370" ht="15.75" customHeight="1">
      <c r="S370" s="239"/>
      <c r="AE370" s="174"/>
    </row>
    <row r="371" ht="15.75" customHeight="1">
      <c r="S371" s="239"/>
      <c r="AE371" s="174"/>
    </row>
    <row r="372" ht="15.75" customHeight="1">
      <c r="S372" s="239"/>
      <c r="AE372" s="174"/>
    </row>
    <row r="373" ht="15.75" customHeight="1">
      <c r="S373" s="239"/>
      <c r="AE373" s="174"/>
    </row>
    <row r="374" ht="15.75" customHeight="1">
      <c r="S374" s="239"/>
      <c r="AE374" s="174"/>
    </row>
    <row r="375" ht="15.75" customHeight="1">
      <c r="S375" s="239"/>
      <c r="AE375" s="174"/>
    </row>
    <row r="376" ht="15.75" customHeight="1">
      <c r="S376" s="239"/>
      <c r="AE376" s="174"/>
    </row>
    <row r="377" ht="15.75" customHeight="1">
      <c r="S377" s="239"/>
      <c r="AE377" s="174"/>
    </row>
    <row r="378" ht="15.75" customHeight="1">
      <c r="S378" s="239"/>
      <c r="AE378" s="174"/>
    </row>
    <row r="379" ht="15.75" customHeight="1">
      <c r="S379" s="239"/>
      <c r="AE379" s="174"/>
    </row>
    <row r="380" ht="15.75" customHeight="1">
      <c r="S380" s="239"/>
      <c r="AE380" s="174"/>
    </row>
    <row r="381" ht="15.75" customHeight="1">
      <c r="S381" s="239"/>
      <c r="AE381" s="174"/>
    </row>
    <row r="382" ht="15.75" customHeight="1">
      <c r="S382" s="239"/>
      <c r="AE382" s="174"/>
    </row>
    <row r="383" ht="15.75" customHeight="1">
      <c r="S383" s="239"/>
      <c r="AE383" s="174"/>
    </row>
    <row r="384" ht="15.75" customHeight="1">
      <c r="S384" s="239"/>
      <c r="AE384" s="174"/>
    </row>
    <row r="385" ht="15.75" customHeight="1">
      <c r="S385" s="239"/>
      <c r="AE385" s="174"/>
    </row>
    <row r="386" ht="15.75" customHeight="1">
      <c r="S386" s="239"/>
      <c r="AE386" s="174"/>
    </row>
    <row r="387" ht="15.75" customHeight="1">
      <c r="S387" s="239"/>
      <c r="AE387" s="174"/>
    </row>
    <row r="388" ht="15.75" customHeight="1">
      <c r="S388" s="239"/>
      <c r="AE388" s="174"/>
    </row>
    <row r="389" ht="15.75" customHeight="1">
      <c r="S389" s="239"/>
      <c r="AE389" s="174"/>
    </row>
    <row r="390" ht="15.75" customHeight="1">
      <c r="S390" s="239"/>
      <c r="AE390" s="174"/>
    </row>
    <row r="391" ht="15.75" customHeight="1">
      <c r="S391" s="239"/>
      <c r="AE391" s="174"/>
    </row>
    <row r="392" ht="15.75" customHeight="1">
      <c r="S392" s="239"/>
      <c r="AE392" s="174"/>
    </row>
    <row r="393" ht="15.75" customHeight="1">
      <c r="S393" s="239"/>
      <c r="AE393" s="174"/>
    </row>
    <row r="394" ht="15.75" customHeight="1">
      <c r="S394" s="239"/>
      <c r="AE394" s="174"/>
    </row>
    <row r="395" ht="15.75" customHeight="1">
      <c r="S395" s="239"/>
      <c r="AE395" s="174"/>
    </row>
    <row r="396" ht="15.75" customHeight="1">
      <c r="S396" s="239"/>
      <c r="AE396" s="174"/>
    </row>
    <row r="397" ht="15.75" customHeight="1">
      <c r="S397" s="239"/>
      <c r="AE397" s="174"/>
    </row>
    <row r="398" ht="15.75" customHeight="1">
      <c r="S398" s="239"/>
      <c r="AE398" s="174"/>
    </row>
    <row r="399" ht="15.75" customHeight="1">
      <c r="S399" s="239"/>
      <c r="AE399" s="174"/>
    </row>
    <row r="400" ht="15.75" customHeight="1">
      <c r="S400" s="239"/>
      <c r="AE400" s="174"/>
    </row>
    <row r="401" ht="15.75" customHeight="1">
      <c r="S401" s="239"/>
      <c r="AE401" s="174"/>
    </row>
    <row r="402" ht="15.75" customHeight="1">
      <c r="S402" s="239"/>
      <c r="AE402" s="174"/>
    </row>
    <row r="403" ht="15.75" customHeight="1">
      <c r="S403" s="239"/>
      <c r="AE403" s="174"/>
    </row>
    <row r="404" ht="15.75" customHeight="1">
      <c r="S404" s="239"/>
      <c r="AE404" s="174"/>
    </row>
    <row r="405" ht="15.75" customHeight="1">
      <c r="S405" s="239"/>
      <c r="AE405" s="174"/>
    </row>
    <row r="406" ht="15.75" customHeight="1">
      <c r="S406" s="239"/>
      <c r="AE406" s="174"/>
    </row>
    <row r="407" ht="15.75" customHeight="1">
      <c r="S407" s="239"/>
      <c r="AE407" s="174"/>
    </row>
    <row r="408" ht="15.75" customHeight="1">
      <c r="S408" s="239"/>
      <c r="AE408" s="174"/>
    </row>
    <row r="409" ht="15.75" customHeight="1">
      <c r="S409" s="239"/>
      <c r="AE409" s="174"/>
    </row>
    <row r="410" ht="15.75" customHeight="1">
      <c r="S410" s="239"/>
      <c r="AE410" s="174"/>
    </row>
    <row r="411" ht="15.75" customHeight="1">
      <c r="S411" s="239"/>
      <c r="AE411" s="174"/>
    </row>
    <row r="412" ht="15.75" customHeight="1">
      <c r="S412" s="239"/>
      <c r="AE412" s="174"/>
    </row>
    <row r="413" ht="15.75" customHeight="1">
      <c r="S413" s="239"/>
      <c r="AE413" s="174"/>
    </row>
    <row r="414" ht="15.75" customHeight="1">
      <c r="S414" s="239"/>
      <c r="AE414" s="174"/>
    </row>
    <row r="415" ht="15.75" customHeight="1">
      <c r="S415" s="239"/>
      <c r="AE415" s="174"/>
    </row>
    <row r="416" ht="15.75" customHeight="1">
      <c r="S416" s="239"/>
      <c r="AE416" s="174"/>
    </row>
    <row r="417" ht="15.75" customHeight="1">
      <c r="S417" s="239"/>
      <c r="AE417" s="174"/>
    </row>
    <row r="418" ht="15.75" customHeight="1">
      <c r="S418" s="239"/>
      <c r="AE418" s="174"/>
    </row>
    <row r="419" ht="15.75" customHeight="1">
      <c r="S419" s="239"/>
      <c r="AE419" s="174"/>
    </row>
    <row r="420" ht="15.75" customHeight="1">
      <c r="S420" s="239"/>
      <c r="AE420" s="174"/>
    </row>
    <row r="421" ht="15.75" customHeight="1">
      <c r="S421" s="239"/>
      <c r="AE421" s="174"/>
    </row>
    <row r="422" ht="15.75" customHeight="1">
      <c r="S422" s="239"/>
      <c r="AE422" s="174"/>
    </row>
    <row r="423" ht="15.75" customHeight="1">
      <c r="S423" s="239"/>
      <c r="AE423" s="174"/>
    </row>
    <row r="424" ht="15.75" customHeight="1">
      <c r="S424" s="239"/>
      <c r="AE424" s="174"/>
    </row>
    <row r="425" ht="15.75" customHeight="1">
      <c r="S425" s="239"/>
      <c r="AE425" s="174"/>
    </row>
    <row r="426" ht="15.75" customHeight="1">
      <c r="S426" s="239"/>
      <c r="AE426" s="174"/>
    </row>
    <row r="427" ht="15.75" customHeight="1">
      <c r="S427" s="239"/>
      <c r="AE427" s="174"/>
    </row>
    <row r="428" ht="15.75" customHeight="1">
      <c r="S428" s="239"/>
      <c r="AE428" s="174"/>
    </row>
    <row r="429" ht="15.75" customHeight="1">
      <c r="S429" s="239"/>
      <c r="AE429" s="174"/>
    </row>
    <row r="430" ht="15.75" customHeight="1">
      <c r="S430" s="239"/>
      <c r="AE430" s="174"/>
    </row>
    <row r="431" ht="15.75" customHeight="1">
      <c r="S431" s="239"/>
      <c r="AE431" s="174"/>
    </row>
    <row r="432" ht="15.75" customHeight="1">
      <c r="S432" s="239"/>
      <c r="AE432" s="174"/>
    </row>
    <row r="433" ht="15.75" customHeight="1">
      <c r="S433" s="239"/>
      <c r="AE433" s="174"/>
    </row>
    <row r="434" ht="15.75" customHeight="1">
      <c r="S434" s="239"/>
      <c r="AE434" s="174"/>
    </row>
    <row r="435" ht="15.75" customHeight="1">
      <c r="S435" s="239"/>
      <c r="AE435" s="174"/>
    </row>
    <row r="436" ht="15.75" customHeight="1">
      <c r="S436" s="239"/>
      <c r="AE436" s="174"/>
    </row>
    <row r="437" ht="15.75" customHeight="1">
      <c r="S437" s="239"/>
      <c r="AE437" s="174"/>
    </row>
    <row r="438" ht="15.75" customHeight="1">
      <c r="S438" s="239"/>
      <c r="AE438" s="174"/>
    </row>
    <row r="439" ht="15.75" customHeight="1">
      <c r="S439" s="239"/>
      <c r="AE439" s="174"/>
    </row>
    <row r="440" ht="15.75" customHeight="1">
      <c r="S440" s="239"/>
      <c r="AE440" s="174"/>
    </row>
    <row r="441" ht="15.75" customHeight="1">
      <c r="S441" s="239"/>
      <c r="AE441" s="174"/>
    </row>
    <row r="442" ht="15.75" customHeight="1">
      <c r="S442" s="239"/>
      <c r="AE442" s="174"/>
    </row>
    <row r="443" ht="15.75" customHeight="1">
      <c r="S443" s="239"/>
      <c r="AE443" s="174"/>
    </row>
    <row r="444" ht="15.75" customHeight="1">
      <c r="S444" s="239"/>
      <c r="AE444" s="174"/>
    </row>
    <row r="445" ht="15.75" customHeight="1">
      <c r="S445" s="239"/>
      <c r="AE445" s="174"/>
    </row>
    <row r="446" ht="15.75" customHeight="1">
      <c r="S446" s="239"/>
      <c r="AE446" s="174"/>
    </row>
    <row r="447" ht="15.75" customHeight="1">
      <c r="S447" s="239"/>
      <c r="AE447" s="174"/>
    </row>
    <row r="448" ht="15.75" customHeight="1">
      <c r="S448" s="239"/>
      <c r="AE448" s="174"/>
    </row>
    <row r="449" ht="15.75" customHeight="1">
      <c r="S449" s="239"/>
      <c r="AE449" s="174"/>
    </row>
    <row r="450" ht="15.75" customHeight="1">
      <c r="S450" s="239"/>
      <c r="AE450" s="174"/>
    </row>
    <row r="451" ht="15.75" customHeight="1">
      <c r="S451" s="239"/>
      <c r="AE451" s="174"/>
    </row>
    <row r="452" ht="15.75" customHeight="1">
      <c r="S452" s="239"/>
      <c r="AE452" s="174"/>
    </row>
    <row r="453" ht="15.75" customHeight="1">
      <c r="S453" s="239"/>
      <c r="AE453" s="174"/>
    </row>
    <row r="454" ht="15.75" customHeight="1">
      <c r="S454" s="239"/>
      <c r="AE454" s="174"/>
    </row>
    <row r="455" ht="15.75" customHeight="1">
      <c r="S455" s="239"/>
      <c r="AE455" s="174"/>
    </row>
    <row r="456" ht="15.75" customHeight="1">
      <c r="S456" s="239"/>
      <c r="AE456" s="174"/>
    </row>
    <row r="457" ht="15.75" customHeight="1">
      <c r="S457" s="239"/>
      <c r="AE457" s="174"/>
    </row>
    <row r="458" ht="15.75" customHeight="1">
      <c r="S458" s="239"/>
      <c r="AE458" s="174"/>
    </row>
    <row r="459" ht="15.75" customHeight="1">
      <c r="S459" s="239"/>
      <c r="AE459" s="174"/>
    </row>
    <row r="460" ht="15.75" customHeight="1">
      <c r="S460" s="239"/>
      <c r="AE460" s="174"/>
    </row>
    <row r="461" ht="15.75" customHeight="1">
      <c r="S461" s="239"/>
      <c r="AE461" s="174"/>
    </row>
    <row r="462" ht="15.75" customHeight="1">
      <c r="S462" s="239"/>
      <c r="AE462" s="174"/>
    </row>
    <row r="463" ht="15.75" customHeight="1">
      <c r="S463" s="239"/>
      <c r="AE463" s="174"/>
    </row>
    <row r="464" ht="15.75" customHeight="1">
      <c r="S464" s="239"/>
      <c r="AE464" s="174"/>
    </row>
    <row r="465" ht="15.75" customHeight="1">
      <c r="S465" s="239"/>
      <c r="AE465" s="174"/>
    </row>
    <row r="466" ht="15.75" customHeight="1">
      <c r="S466" s="239"/>
      <c r="AE466" s="174"/>
    </row>
    <row r="467" ht="15.75" customHeight="1">
      <c r="S467" s="239"/>
      <c r="AE467" s="174"/>
    </row>
    <row r="468" ht="15.75" customHeight="1">
      <c r="S468" s="239"/>
      <c r="AE468" s="174"/>
    </row>
    <row r="469" ht="15.75" customHeight="1">
      <c r="S469" s="239"/>
      <c r="AE469" s="174"/>
    </row>
    <row r="470" ht="15.75" customHeight="1">
      <c r="S470" s="239"/>
      <c r="AE470" s="174"/>
    </row>
    <row r="471" ht="15.75" customHeight="1">
      <c r="S471" s="239"/>
      <c r="AE471" s="174"/>
    </row>
    <row r="472" ht="15.75" customHeight="1">
      <c r="S472" s="239"/>
      <c r="AE472" s="174"/>
    </row>
    <row r="473" ht="15.75" customHeight="1">
      <c r="S473" s="239"/>
      <c r="AE473" s="174"/>
    </row>
    <row r="474" ht="15.75" customHeight="1">
      <c r="S474" s="239"/>
      <c r="AE474" s="174"/>
    </row>
    <row r="475" ht="15.75" customHeight="1">
      <c r="S475" s="239"/>
      <c r="AE475" s="174"/>
    </row>
    <row r="476" ht="15.75" customHeight="1">
      <c r="S476" s="239"/>
      <c r="AE476" s="174"/>
    </row>
    <row r="477" ht="15.75" customHeight="1">
      <c r="S477" s="239"/>
      <c r="AE477" s="174"/>
    </row>
    <row r="478" ht="15.75" customHeight="1">
      <c r="S478" s="239"/>
      <c r="AE478" s="174"/>
    </row>
    <row r="479" ht="15.75" customHeight="1">
      <c r="S479" s="239"/>
      <c r="AE479" s="174"/>
    </row>
    <row r="480" ht="15.75" customHeight="1">
      <c r="S480" s="239"/>
      <c r="AE480" s="174"/>
    </row>
    <row r="481" ht="15.75" customHeight="1">
      <c r="S481" s="239"/>
      <c r="AE481" s="174"/>
    </row>
    <row r="482" ht="15.75" customHeight="1">
      <c r="S482" s="239"/>
      <c r="AE482" s="174"/>
    </row>
    <row r="483" ht="15.75" customHeight="1">
      <c r="S483" s="239"/>
      <c r="AE483" s="174"/>
    </row>
    <row r="484" ht="15.75" customHeight="1">
      <c r="S484" s="239"/>
      <c r="AE484" s="174"/>
    </row>
    <row r="485" ht="15.75" customHeight="1">
      <c r="S485" s="239"/>
      <c r="AE485" s="174"/>
    </row>
    <row r="486" ht="15.75" customHeight="1">
      <c r="S486" s="239"/>
      <c r="AE486" s="174"/>
    </row>
    <row r="487" ht="15.75" customHeight="1">
      <c r="S487" s="239"/>
      <c r="AE487" s="174"/>
    </row>
    <row r="488" ht="15.75" customHeight="1">
      <c r="S488" s="239"/>
      <c r="AE488" s="174"/>
    </row>
    <row r="489" ht="15.75" customHeight="1">
      <c r="S489" s="239"/>
      <c r="AE489" s="174"/>
    </row>
    <row r="490" ht="15.75" customHeight="1">
      <c r="S490" s="239"/>
      <c r="AE490" s="174"/>
    </row>
    <row r="491" ht="15.75" customHeight="1">
      <c r="S491" s="239"/>
      <c r="AE491" s="174"/>
    </row>
    <row r="492" ht="15.75" customHeight="1">
      <c r="S492" s="239"/>
      <c r="AE492" s="174"/>
    </row>
    <row r="493" ht="15.75" customHeight="1">
      <c r="S493" s="239"/>
      <c r="AE493" s="174"/>
    </row>
    <row r="494" ht="15.75" customHeight="1">
      <c r="S494" s="239"/>
      <c r="AE494" s="174"/>
    </row>
    <row r="495" ht="15.75" customHeight="1">
      <c r="S495" s="239"/>
      <c r="AE495" s="174"/>
    </row>
    <row r="496" ht="15.75" customHeight="1">
      <c r="S496" s="239"/>
      <c r="AE496" s="174"/>
    </row>
    <row r="497" ht="15.75" customHeight="1">
      <c r="S497" s="239"/>
      <c r="AE497" s="174"/>
    </row>
    <row r="498" ht="15.75" customHeight="1">
      <c r="S498" s="239"/>
      <c r="AE498" s="174"/>
    </row>
    <row r="499" ht="15.75" customHeight="1">
      <c r="S499" s="239"/>
      <c r="AE499" s="174"/>
    </row>
    <row r="500" ht="15.75" customHeight="1">
      <c r="S500" s="239"/>
      <c r="AE500" s="174"/>
    </row>
    <row r="501" ht="15.75" customHeight="1">
      <c r="S501" s="239"/>
      <c r="AE501" s="174"/>
    </row>
    <row r="502" ht="15.75" customHeight="1">
      <c r="S502" s="239"/>
      <c r="AE502" s="174"/>
    </row>
    <row r="503" ht="15.75" customHeight="1">
      <c r="S503" s="239"/>
      <c r="AE503" s="174"/>
    </row>
    <row r="504" ht="15.75" customHeight="1">
      <c r="S504" s="239"/>
      <c r="AE504" s="174"/>
    </row>
    <row r="505" ht="15.75" customHeight="1">
      <c r="S505" s="239"/>
      <c r="AE505" s="174"/>
    </row>
    <row r="506" ht="15.75" customHeight="1">
      <c r="S506" s="239"/>
      <c r="AE506" s="174"/>
    </row>
    <row r="507" ht="15.75" customHeight="1">
      <c r="S507" s="239"/>
      <c r="AE507" s="174"/>
    </row>
    <row r="508" ht="15.75" customHeight="1">
      <c r="S508" s="239"/>
      <c r="AE508" s="174"/>
    </row>
    <row r="509" ht="15.75" customHeight="1">
      <c r="S509" s="239"/>
      <c r="AE509" s="174"/>
    </row>
    <row r="510" ht="15.75" customHeight="1">
      <c r="S510" s="239"/>
      <c r="AE510" s="174"/>
    </row>
    <row r="511" ht="15.75" customHeight="1">
      <c r="S511" s="239"/>
      <c r="AE511" s="174"/>
    </row>
    <row r="512" ht="15.75" customHeight="1">
      <c r="S512" s="239"/>
      <c r="AE512" s="174"/>
    </row>
    <row r="513" ht="15.75" customHeight="1">
      <c r="S513" s="239"/>
      <c r="AE513" s="174"/>
    </row>
    <row r="514" ht="15.75" customHeight="1">
      <c r="S514" s="239"/>
      <c r="AE514" s="174"/>
    </row>
    <row r="515" ht="15.75" customHeight="1">
      <c r="S515" s="239"/>
      <c r="AE515" s="174"/>
    </row>
    <row r="516" ht="15.75" customHeight="1">
      <c r="S516" s="239"/>
      <c r="AE516" s="174"/>
    </row>
    <row r="517" ht="15.75" customHeight="1">
      <c r="S517" s="239"/>
      <c r="AE517" s="174"/>
    </row>
    <row r="518" ht="15.75" customHeight="1">
      <c r="S518" s="239"/>
      <c r="AE518" s="174"/>
    </row>
    <row r="519" ht="15.75" customHeight="1">
      <c r="S519" s="239"/>
      <c r="AE519" s="174"/>
    </row>
    <row r="520" ht="15.75" customHeight="1">
      <c r="S520" s="239"/>
      <c r="AE520" s="174"/>
    </row>
    <row r="521" ht="15.75" customHeight="1">
      <c r="S521" s="239"/>
      <c r="AE521" s="174"/>
    </row>
    <row r="522" ht="15.75" customHeight="1">
      <c r="S522" s="239"/>
      <c r="AE522" s="174"/>
    </row>
    <row r="523" ht="15.75" customHeight="1">
      <c r="S523" s="239"/>
      <c r="AE523" s="174"/>
    </row>
    <row r="524" ht="15.75" customHeight="1">
      <c r="S524" s="239"/>
      <c r="AE524" s="174"/>
    </row>
    <row r="525" ht="15.75" customHeight="1">
      <c r="S525" s="239"/>
      <c r="AE525" s="174"/>
    </row>
    <row r="526" ht="15.75" customHeight="1">
      <c r="S526" s="239"/>
      <c r="AE526" s="174"/>
    </row>
    <row r="527" ht="15.75" customHeight="1">
      <c r="S527" s="239"/>
      <c r="AE527" s="174"/>
    </row>
    <row r="528" ht="15.75" customHeight="1">
      <c r="S528" s="239"/>
      <c r="AE528" s="174"/>
    </row>
    <row r="529" ht="15.75" customHeight="1">
      <c r="S529" s="239"/>
      <c r="AE529" s="174"/>
    </row>
    <row r="530" ht="15.75" customHeight="1">
      <c r="S530" s="239"/>
      <c r="AE530" s="174"/>
    </row>
    <row r="531" ht="15.75" customHeight="1">
      <c r="S531" s="239"/>
      <c r="AE531" s="174"/>
    </row>
    <row r="532" ht="15.75" customHeight="1">
      <c r="S532" s="239"/>
      <c r="AE532" s="174"/>
    </row>
    <row r="533" ht="15.75" customHeight="1">
      <c r="S533" s="239"/>
      <c r="AE533" s="174"/>
    </row>
    <row r="534" ht="15.75" customHeight="1">
      <c r="S534" s="239"/>
      <c r="AE534" s="174"/>
    </row>
    <row r="535" ht="15.75" customHeight="1">
      <c r="S535" s="239"/>
      <c r="AE535" s="174"/>
    </row>
    <row r="536" ht="15.75" customHeight="1">
      <c r="S536" s="239"/>
      <c r="AE536" s="174"/>
    </row>
    <row r="537" ht="15.75" customHeight="1">
      <c r="S537" s="239"/>
      <c r="AE537" s="174"/>
    </row>
    <row r="538" ht="15.75" customHeight="1">
      <c r="S538" s="239"/>
      <c r="AE538" s="174"/>
    </row>
    <row r="539" ht="15.75" customHeight="1">
      <c r="S539" s="239"/>
      <c r="AE539" s="174"/>
    </row>
    <row r="540" ht="15.75" customHeight="1">
      <c r="S540" s="239"/>
      <c r="AE540" s="174"/>
    </row>
    <row r="541" ht="15.75" customHeight="1">
      <c r="S541" s="239"/>
      <c r="AE541" s="174"/>
    </row>
    <row r="542" ht="15.75" customHeight="1">
      <c r="S542" s="239"/>
      <c r="AE542" s="174"/>
    </row>
    <row r="543" ht="15.75" customHeight="1">
      <c r="S543" s="239"/>
      <c r="AE543" s="174"/>
    </row>
    <row r="544" ht="15.75" customHeight="1">
      <c r="S544" s="239"/>
      <c r="AE544" s="174"/>
    </row>
    <row r="545" ht="15.75" customHeight="1">
      <c r="S545" s="239"/>
      <c r="AE545" s="174"/>
    </row>
    <row r="546" ht="15.75" customHeight="1">
      <c r="S546" s="239"/>
      <c r="AE546" s="174"/>
    </row>
    <row r="547" ht="15.75" customHeight="1">
      <c r="S547" s="239"/>
      <c r="AE547" s="174"/>
    </row>
    <row r="548" ht="15.75" customHeight="1">
      <c r="S548" s="239"/>
      <c r="AE548" s="174"/>
    </row>
    <row r="549" ht="15.75" customHeight="1">
      <c r="S549" s="239"/>
      <c r="AE549" s="174"/>
    </row>
    <row r="550" ht="15.75" customHeight="1">
      <c r="S550" s="239"/>
      <c r="AE550" s="174"/>
    </row>
    <row r="551" ht="15.75" customHeight="1">
      <c r="S551" s="239"/>
      <c r="AE551" s="174"/>
    </row>
    <row r="552" ht="15.75" customHeight="1">
      <c r="S552" s="239"/>
      <c r="AE552" s="174"/>
    </row>
    <row r="553" ht="15.75" customHeight="1">
      <c r="S553" s="239"/>
      <c r="AE553" s="174"/>
    </row>
    <row r="554" ht="15.75" customHeight="1">
      <c r="S554" s="239"/>
      <c r="AE554" s="174"/>
    </row>
    <row r="555" ht="15.75" customHeight="1">
      <c r="S555" s="239"/>
      <c r="AE555" s="174"/>
    </row>
    <row r="556" ht="15.75" customHeight="1">
      <c r="S556" s="239"/>
      <c r="AE556" s="174"/>
    </row>
    <row r="557" ht="15.75" customHeight="1">
      <c r="S557" s="239"/>
      <c r="AE557" s="174"/>
    </row>
    <row r="558" ht="15.75" customHeight="1">
      <c r="S558" s="239"/>
      <c r="AE558" s="174"/>
    </row>
    <row r="559" ht="15.75" customHeight="1">
      <c r="S559" s="239"/>
      <c r="AE559" s="174"/>
    </row>
    <row r="560" ht="15.75" customHeight="1">
      <c r="S560" s="239"/>
      <c r="AE560" s="174"/>
    </row>
    <row r="561" ht="15.75" customHeight="1">
      <c r="S561" s="239"/>
      <c r="AE561" s="174"/>
    </row>
    <row r="562" ht="15.75" customHeight="1">
      <c r="S562" s="239"/>
      <c r="AE562" s="174"/>
    </row>
    <row r="563" ht="15.75" customHeight="1">
      <c r="S563" s="239"/>
      <c r="AE563" s="174"/>
    </row>
    <row r="564" ht="15.75" customHeight="1">
      <c r="S564" s="239"/>
      <c r="AE564" s="174"/>
    </row>
    <row r="565" ht="15.75" customHeight="1">
      <c r="S565" s="239"/>
      <c r="AE565" s="174"/>
    </row>
    <row r="566" ht="15.75" customHeight="1">
      <c r="S566" s="239"/>
      <c r="AE566" s="174"/>
    </row>
    <row r="567" ht="15.75" customHeight="1">
      <c r="S567" s="239"/>
      <c r="AE567" s="174"/>
    </row>
    <row r="568" ht="15.75" customHeight="1">
      <c r="S568" s="239"/>
      <c r="AE568" s="174"/>
    </row>
    <row r="569" ht="15.75" customHeight="1">
      <c r="S569" s="239"/>
      <c r="AE569" s="174"/>
    </row>
    <row r="570" ht="15.75" customHeight="1">
      <c r="S570" s="239"/>
      <c r="AE570" s="174"/>
    </row>
    <row r="571" ht="15.75" customHeight="1">
      <c r="S571" s="239"/>
      <c r="AE571" s="174"/>
    </row>
    <row r="572" ht="15.75" customHeight="1">
      <c r="S572" s="239"/>
      <c r="AE572" s="174"/>
    </row>
    <row r="573" ht="15.75" customHeight="1">
      <c r="S573" s="239"/>
      <c r="AE573" s="174"/>
    </row>
    <row r="574" ht="15.75" customHeight="1">
      <c r="S574" s="239"/>
      <c r="AE574" s="174"/>
    </row>
    <row r="575" ht="15.75" customHeight="1">
      <c r="S575" s="239"/>
      <c r="AE575" s="174"/>
    </row>
    <row r="576" ht="15.75" customHeight="1">
      <c r="S576" s="239"/>
      <c r="AE576" s="174"/>
    </row>
    <row r="577" ht="15.75" customHeight="1">
      <c r="S577" s="239"/>
      <c r="AE577" s="174"/>
    </row>
    <row r="578" ht="15.75" customHeight="1">
      <c r="S578" s="239"/>
      <c r="AE578" s="174"/>
    </row>
    <row r="579" ht="15.75" customHeight="1">
      <c r="S579" s="239"/>
      <c r="AE579" s="174"/>
    </row>
    <row r="580" ht="15.75" customHeight="1">
      <c r="S580" s="239"/>
      <c r="AE580" s="174"/>
    </row>
    <row r="581" ht="15.75" customHeight="1">
      <c r="S581" s="239"/>
      <c r="AE581" s="174"/>
    </row>
    <row r="582" ht="15.75" customHeight="1">
      <c r="S582" s="239"/>
      <c r="AE582" s="174"/>
    </row>
    <row r="583" ht="15.75" customHeight="1">
      <c r="S583" s="239"/>
      <c r="AE583" s="174"/>
    </row>
    <row r="584" ht="15.75" customHeight="1">
      <c r="S584" s="239"/>
      <c r="AE584" s="174"/>
    </row>
    <row r="585" ht="15.75" customHeight="1">
      <c r="S585" s="239"/>
      <c r="AE585" s="174"/>
    </row>
    <row r="586" ht="15.75" customHeight="1">
      <c r="S586" s="239"/>
      <c r="AE586" s="174"/>
    </row>
    <row r="587" ht="15.75" customHeight="1">
      <c r="S587" s="239"/>
      <c r="AE587" s="174"/>
    </row>
    <row r="588" ht="15.75" customHeight="1">
      <c r="S588" s="239"/>
      <c r="AE588" s="174"/>
    </row>
    <row r="589" ht="15.75" customHeight="1">
      <c r="S589" s="239"/>
      <c r="AE589" s="174"/>
    </row>
    <row r="590" ht="15.75" customHeight="1">
      <c r="S590" s="239"/>
      <c r="AE590" s="174"/>
    </row>
    <row r="591" ht="15.75" customHeight="1">
      <c r="S591" s="239"/>
      <c r="AE591" s="174"/>
    </row>
    <row r="592" ht="15.75" customHeight="1">
      <c r="S592" s="239"/>
      <c r="AE592" s="174"/>
    </row>
    <row r="593" ht="15.75" customHeight="1">
      <c r="S593" s="239"/>
      <c r="AE593" s="174"/>
    </row>
    <row r="594" ht="15.75" customHeight="1">
      <c r="S594" s="239"/>
      <c r="AE594" s="174"/>
    </row>
    <row r="595" ht="15.75" customHeight="1">
      <c r="S595" s="239"/>
      <c r="AE595" s="174"/>
    </row>
    <row r="596" ht="15.75" customHeight="1">
      <c r="S596" s="239"/>
      <c r="AE596" s="174"/>
    </row>
    <row r="597" ht="15.75" customHeight="1">
      <c r="S597" s="239"/>
      <c r="AE597" s="174"/>
    </row>
    <row r="598" ht="15.75" customHeight="1">
      <c r="S598" s="239"/>
      <c r="AE598" s="174"/>
    </row>
    <row r="599" ht="15.75" customHeight="1">
      <c r="S599" s="239"/>
      <c r="AE599" s="174"/>
    </row>
    <row r="600" ht="15.75" customHeight="1">
      <c r="S600" s="239"/>
      <c r="AE600" s="174"/>
    </row>
    <row r="601" ht="15.75" customHeight="1">
      <c r="S601" s="239"/>
      <c r="AE601" s="174"/>
    </row>
    <row r="602" ht="15.75" customHeight="1">
      <c r="S602" s="239"/>
      <c r="AE602" s="174"/>
    </row>
    <row r="603" ht="15.75" customHeight="1">
      <c r="S603" s="239"/>
      <c r="AE603" s="174"/>
    </row>
    <row r="604" ht="15.75" customHeight="1">
      <c r="S604" s="239"/>
      <c r="AE604" s="174"/>
    </row>
    <row r="605" ht="15.75" customHeight="1">
      <c r="S605" s="239"/>
      <c r="AE605" s="174"/>
    </row>
    <row r="606" ht="15.75" customHeight="1">
      <c r="S606" s="239"/>
      <c r="AE606" s="174"/>
    </row>
    <row r="607" ht="15.75" customHeight="1">
      <c r="S607" s="239"/>
      <c r="AE607" s="174"/>
    </row>
    <row r="608" ht="15.75" customHeight="1">
      <c r="S608" s="239"/>
      <c r="AE608" s="174"/>
    </row>
    <row r="609" ht="15.75" customHeight="1">
      <c r="S609" s="239"/>
      <c r="AE609" s="174"/>
    </row>
    <row r="610" ht="15.75" customHeight="1">
      <c r="S610" s="239"/>
      <c r="AE610" s="174"/>
    </row>
    <row r="611" ht="15.75" customHeight="1">
      <c r="S611" s="239"/>
      <c r="AE611" s="174"/>
    </row>
    <row r="612" ht="15.75" customHeight="1">
      <c r="S612" s="239"/>
      <c r="AE612" s="174"/>
    </row>
    <row r="613" ht="15.75" customHeight="1">
      <c r="S613" s="239"/>
      <c r="AE613" s="174"/>
    </row>
    <row r="614" ht="15.75" customHeight="1">
      <c r="S614" s="239"/>
      <c r="AE614" s="174"/>
    </row>
    <row r="615" ht="15.75" customHeight="1">
      <c r="S615" s="239"/>
      <c r="AE615" s="174"/>
    </row>
    <row r="616" ht="15.75" customHeight="1">
      <c r="S616" s="239"/>
      <c r="AE616" s="174"/>
    </row>
    <row r="617" ht="15.75" customHeight="1">
      <c r="S617" s="239"/>
      <c r="AE617" s="174"/>
    </row>
    <row r="618" ht="15.75" customHeight="1">
      <c r="S618" s="239"/>
      <c r="AE618" s="174"/>
    </row>
    <row r="619" ht="15.75" customHeight="1">
      <c r="S619" s="239"/>
      <c r="AE619" s="174"/>
    </row>
    <row r="620" ht="15.75" customHeight="1">
      <c r="S620" s="239"/>
      <c r="AE620" s="174"/>
    </row>
    <row r="621" ht="15.75" customHeight="1">
      <c r="S621" s="239"/>
      <c r="AE621" s="174"/>
    </row>
    <row r="622" ht="15.75" customHeight="1">
      <c r="S622" s="239"/>
      <c r="AE622" s="174"/>
    </row>
    <row r="623" ht="15.75" customHeight="1">
      <c r="S623" s="239"/>
      <c r="AE623" s="174"/>
    </row>
    <row r="624" ht="15.75" customHeight="1">
      <c r="S624" s="239"/>
      <c r="AE624" s="174"/>
    </row>
    <row r="625" ht="15.75" customHeight="1">
      <c r="S625" s="239"/>
      <c r="AE625" s="174"/>
    </row>
    <row r="626" ht="15.75" customHeight="1">
      <c r="S626" s="239"/>
      <c r="AE626" s="174"/>
    </row>
    <row r="627" ht="15.75" customHeight="1">
      <c r="S627" s="239"/>
      <c r="AE627" s="174"/>
    </row>
    <row r="628" ht="15.75" customHeight="1">
      <c r="S628" s="239"/>
      <c r="AE628" s="174"/>
    </row>
    <row r="629" ht="15.75" customHeight="1">
      <c r="S629" s="239"/>
      <c r="AE629" s="174"/>
    </row>
    <row r="630" ht="15.75" customHeight="1">
      <c r="S630" s="239"/>
      <c r="AE630" s="174"/>
    </row>
    <row r="631" ht="15.75" customHeight="1">
      <c r="S631" s="239"/>
      <c r="AE631" s="174"/>
    </row>
    <row r="632" ht="15.75" customHeight="1">
      <c r="S632" s="239"/>
      <c r="AE632" s="174"/>
    </row>
    <row r="633" ht="15.75" customHeight="1">
      <c r="S633" s="239"/>
      <c r="AE633" s="174"/>
    </row>
    <row r="634" ht="15.75" customHeight="1">
      <c r="S634" s="239"/>
      <c r="AE634" s="174"/>
    </row>
    <row r="635" ht="15.75" customHeight="1">
      <c r="S635" s="239"/>
      <c r="AE635" s="174"/>
    </row>
    <row r="636" ht="15.75" customHeight="1">
      <c r="S636" s="239"/>
      <c r="AE636" s="174"/>
    </row>
    <row r="637" ht="15.75" customHeight="1">
      <c r="S637" s="239"/>
      <c r="AE637" s="174"/>
    </row>
    <row r="638" ht="15.75" customHeight="1">
      <c r="S638" s="239"/>
      <c r="AE638" s="174"/>
    </row>
    <row r="639" ht="15.75" customHeight="1">
      <c r="S639" s="239"/>
      <c r="AE639" s="174"/>
    </row>
    <row r="640" ht="15.75" customHeight="1">
      <c r="S640" s="239"/>
      <c r="AE640" s="174"/>
    </row>
    <row r="641" ht="15.75" customHeight="1">
      <c r="S641" s="239"/>
      <c r="AE641" s="174"/>
    </row>
    <row r="642" ht="15.75" customHeight="1">
      <c r="S642" s="239"/>
      <c r="AE642" s="174"/>
    </row>
    <row r="643" ht="15.75" customHeight="1">
      <c r="S643" s="239"/>
      <c r="AE643" s="174"/>
    </row>
    <row r="644" ht="15.75" customHeight="1">
      <c r="S644" s="239"/>
      <c r="AE644" s="174"/>
    </row>
    <row r="645" ht="15.75" customHeight="1">
      <c r="S645" s="239"/>
      <c r="AE645" s="174"/>
    </row>
    <row r="646" ht="15.75" customHeight="1">
      <c r="S646" s="239"/>
      <c r="AE646" s="174"/>
    </row>
    <row r="647" ht="15.75" customHeight="1">
      <c r="S647" s="239"/>
      <c r="AE647" s="174"/>
    </row>
    <row r="648" ht="15.75" customHeight="1">
      <c r="S648" s="239"/>
      <c r="AE648" s="174"/>
    </row>
    <row r="649" ht="15.75" customHeight="1">
      <c r="S649" s="239"/>
      <c r="AE649" s="174"/>
    </row>
    <row r="650" ht="15.75" customHeight="1">
      <c r="S650" s="239"/>
      <c r="AE650" s="174"/>
    </row>
    <row r="651" ht="15.75" customHeight="1">
      <c r="S651" s="239"/>
      <c r="AE651" s="174"/>
    </row>
    <row r="652" ht="15.75" customHeight="1">
      <c r="S652" s="239"/>
      <c r="AE652" s="174"/>
    </row>
    <row r="653" ht="15.75" customHeight="1">
      <c r="S653" s="239"/>
      <c r="AE653" s="174"/>
    </row>
    <row r="654" ht="15.75" customHeight="1">
      <c r="S654" s="239"/>
      <c r="AE654" s="174"/>
    </row>
    <row r="655" ht="15.75" customHeight="1">
      <c r="S655" s="239"/>
      <c r="AE655" s="174"/>
    </row>
    <row r="656" ht="15.75" customHeight="1">
      <c r="S656" s="239"/>
      <c r="AE656" s="174"/>
    </row>
    <row r="657" ht="15.75" customHeight="1">
      <c r="S657" s="239"/>
      <c r="AE657" s="174"/>
    </row>
    <row r="658" ht="15.75" customHeight="1">
      <c r="S658" s="239"/>
      <c r="AE658" s="174"/>
    </row>
    <row r="659" ht="15.75" customHeight="1">
      <c r="S659" s="239"/>
      <c r="AE659" s="174"/>
    </row>
    <row r="660" ht="15.75" customHeight="1">
      <c r="S660" s="239"/>
      <c r="AE660" s="174"/>
    </row>
    <row r="661" ht="15.75" customHeight="1">
      <c r="S661" s="239"/>
      <c r="AE661" s="174"/>
    </row>
    <row r="662" ht="15.75" customHeight="1">
      <c r="S662" s="239"/>
      <c r="AE662" s="174"/>
    </row>
    <row r="663" ht="15.75" customHeight="1">
      <c r="S663" s="239"/>
      <c r="AE663" s="174"/>
    </row>
    <row r="664" ht="15.75" customHeight="1">
      <c r="S664" s="239"/>
      <c r="AE664" s="174"/>
    </row>
    <row r="665" ht="15.75" customHeight="1">
      <c r="S665" s="239"/>
      <c r="AE665" s="174"/>
    </row>
    <row r="666" ht="15.75" customHeight="1">
      <c r="S666" s="239"/>
      <c r="AE666" s="174"/>
    </row>
    <row r="667" ht="15.75" customHeight="1">
      <c r="S667" s="239"/>
      <c r="AE667" s="174"/>
    </row>
    <row r="668" ht="15.75" customHeight="1">
      <c r="S668" s="239"/>
      <c r="AE668" s="174"/>
    </row>
    <row r="669" ht="15.75" customHeight="1">
      <c r="S669" s="239"/>
      <c r="AE669" s="174"/>
    </row>
    <row r="670" ht="15.75" customHeight="1">
      <c r="S670" s="239"/>
      <c r="AE670" s="174"/>
    </row>
    <row r="671" ht="15.75" customHeight="1">
      <c r="S671" s="239"/>
      <c r="AE671" s="174"/>
    </row>
    <row r="672" ht="15.75" customHeight="1">
      <c r="S672" s="239"/>
      <c r="AE672" s="174"/>
    </row>
    <row r="673" ht="15.75" customHeight="1">
      <c r="S673" s="239"/>
      <c r="AE673" s="174"/>
    </row>
    <row r="674" ht="15.75" customHeight="1">
      <c r="S674" s="239"/>
      <c r="AE674" s="174"/>
    </row>
    <row r="675" ht="15.75" customHeight="1">
      <c r="S675" s="239"/>
      <c r="AE675" s="174"/>
    </row>
    <row r="676" ht="15.75" customHeight="1">
      <c r="S676" s="239"/>
      <c r="AE676" s="174"/>
    </row>
    <row r="677" ht="15.75" customHeight="1">
      <c r="S677" s="239"/>
      <c r="AE677" s="174"/>
    </row>
    <row r="678" ht="15.75" customHeight="1">
      <c r="S678" s="239"/>
      <c r="AE678" s="174"/>
    </row>
    <row r="679" ht="15.75" customHeight="1">
      <c r="S679" s="239"/>
      <c r="AE679" s="174"/>
    </row>
    <row r="680" ht="15.75" customHeight="1">
      <c r="S680" s="239"/>
      <c r="AE680" s="174"/>
    </row>
    <row r="681" ht="15.75" customHeight="1">
      <c r="S681" s="239"/>
      <c r="AE681" s="174"/>
    </row>
    <row r="682" ht="15.75" customHeight="1">
      <c r="S682" s="239"/>
      <c r="AE682" s="174"/>
    </row>
    <row r="683" ht="15.75" customHeight="1">
      <c r="S683" s="239"/>
      <c r="AE683" s="174"/>
    </row>
    <row r="684" ht="15.75" customHeight="1">
      <c r="S684" s="239"/>
      <c r="AE684" s="174"/>
    </row>
    <row r="685" ht="15.75" customHeight="1">
      <c r="S685" s="239"/>
      <c r="AE685" s="174"/>
    </row>
    <row r="686" ht="15.75" customHeight="1">
      <c r="S686" s="239"/>
      <c r="AE686" s="174"/>
    </row>
    <row r="687" ht="15.75" customHeight="1">
      <c r="S687" s="239"/>
      <c r="AE687" s="174"/>
    </row>
    <row r="688" ht="15.75" customHeight="1">
      <c r="S688" s="239"/>
      <c r="AE688" s="174"/>
    </row>
    <row r="689" ht="15.75" customHeight="1">
      <c r="S689" s="239"/>
      <c r="AE689" s="174"/>
    </row>
    <row r="690" ht="15.75" customHeight="1">
      <c r="S690" s="239"/>
      <c r="AE690" s="174"/>
    </row>
    <row r="691" ht="15.75" customHeight="1">
      <c r="S691" s="239"/>
      <c r="AE691" s="174"/>
    </row>
    <row r="692" ht="15.75" customHeight="1">
      <c r="S692" s="239"/>
      <c r="AE692" s="174"/>
    </row>
    <row r="693" ht="15.75" customHeight="1">
      <c r="S693" s="239"/>
      <c r="AE693" s="174"/>
    </row>
    <row r="694" ht="15.75" customHeight="1">
      <c r="S694" s="239"/>
      <c r="AE694" s="174"/>
    </row>
    <row r="695" ht="15.75" customHeight="1">
      <c r="S695" s="239"/>
      <c r="AE695" s="174"/>
    </row>
    <row r="696" ht="15.75" customHeight="1">
      <c r="S696" s="239"/>
      <c r="AE696" s="174"/>
    </row>
    <row r="697" ht="15.75" customHeight="1">
      <c r="S697" s="239"/>
      <c r="AE697" s="174"/>
    </row>
    <row r="698" ht="15.75" customHeight="1">
      <c r="S698" s="239"/>
      <c r="AE698" s="174"/>
    </row>
    <row r="699" ht="15.75" customHeight="1">
      <c r="S699" s="239"/>
      <c r="AE699" s="174"/>
    </row>
    <row r="700" ht="15.75" customHeight="1">
      <c r="S700" s="239"/>
      <c r="AE700" s="174"/>
    </row>
    <row r="701" ht="15.75" customHeight="1">
      <c r="S701" s="239"/>
      <c r="AE701" s="174"/>
    </row>
    <row r="702" ht="15.75" customHeight="1">
      <c r="S702" s="239"/>
      <c r="AE702" s="174"/>
    </row>
    <row r="703" ht="15.75" customHeight="1">
      <c r="S703" s="239"/>
      <c r="AE703" s="174"/>
    </row>
    <row r="704" ht="15.75" customHeight="1">
      <c r="S704" s="239"/>
      <c r="AE704" s="174"/>
    </row>
    <row r="705" ht="15.75" customHeight="1">
      <c r="S705" s="239"/>
      <c r="AE705" s="174"/>
    </row>
    <row r="706" ht="15.75" customHeight="1">
      <c r="S706" s="239"/>
      <c r="AE706" s="174"/>
    </row>
    <row r="707" ht="15.75" customHeight="1">
      <c r="S707" s="239"/>
      <c r="AE707" s="174"/>
    </row>
    <row r="708" ht="15.75" customHeight="1">
      <c r="S708" s="239"/>
      <c r="AE708" s="174"/>
    </row>
    <row r="709" ht="15.75" customHeight="1">
      <c r="S709" s="239"/>
      <c r="AE709" s="174"/>
    </row>
    <row r="710" ht="15.75" customHeight="1">
      <c r="S710" s="239"/>
      <c r="AE710" s="174"/>
    </row>
    <row r="711" ht="15.75" customHeight="1">
      <c r="S711" s="239"/>
      <c r="AE711" s="174"/>
    </row>
    <row r="712" ht="15.75" customHeight="1">
      <c r="S712" s="239"/>
      <c r="AE712" s="174"/>
    </row>
    <row r="713" ht="15.75" customHeight="1">
      <c r="S713" s="239"/>
      <c r="AE713" s="174"/>
    </row>
    <row r="714" ht="15.75" customHeight="1">
      <c r="S714" s="239"/>
      <c r="AE714" s="174"/>
    </row>
    <row r="715" ht="15.75" customHeight="1">
      <c r="S715" s="239"/>
      <c r="AE715" s="174"/>
    </row>
    <row r="716" ht="15.75" customHeight="1">
      <c r="S716" s="239"/>
      <c r="AE716" s="174"/>
    </row>
    <row r="717" ht="15.75" customHeight="1">
      <c r="S717" s="239"/>
      <c r="AE717" s="174"/>
    </row>
    <row r="718" ht="15.75" customHeight="1">
      <c r="S718" s="239"/>
      <c r="AE718" s="174"/>
    </row>
    <row r="719" ht="15.75" customHeight="1">
      <c r="S719" s="239"/>
      <c r="AE719" s="174"/>
    </row>
    <row r="720" ht="15.75" customHeight="1">
      <c r="S720" s="239"/>
      <c r="AE720" s="174"/>
    </row>
    <row r="721" ht="15.75" customHeight="1">
      <c r="S721" s="239"/>
      <c r="AE721" s="174"/>
    </row>
    <row r="722" ht="15.75" customHeight="1">
      <c r="S722" s="239"/>
      <c r="AE722" s="174"/>
    </row>
    <row r="723" ht="15.75" customHeight="1">
      <c r="S723" s="239"/>
      <c r="AE723" s="174"/>
    </row>
    <row r="724" ht="15.75" customHeight="1">
      <c r="S724" s="239"/>
      <c r="AE724" s="174"/>
    </row>
    <row r="725" ht="15.75" customHeight="1">
      <c r="S725" s="239"/>
      <c r="AE725" s="174"/>
    </row>
    <row r="726" ht="15.75" customHeight="1">
      <c r="S726" s="239"/>
      <c r="AE726" s="174"/>
    </row>
    <row r="727" ht="15.75" customHeight="1">
      <c r="S727" s="239"/>
      <c r="AE727" s="174"/>
    </row>
    <row r="728" ht="15.75" customHeight="1">
      <c r="S728" s="239"/>
      <c r="AE728" s="174"/>
    </row>
    <row r="729" ht="15.75" customHeight="1">
      <c r="S729" s="239"/>
      <c r="AE729" s="174"/>
    </row>
    <row r="730" ht="15.75" customHeight="1">
      <c r="S730" s="239"/>
      <c r="AE730" s="174"/>
    </row>
    <row r="731" ht="15.75" customHeight="1">
      <c r="S731" s="239"/>
      <c r="AE731" s="174"/>
    </row>
    <row r="732" ht="15.75" customHeight="1">
      <c r="S732" s="239"/>
      <c r="AE732" s="174"/>
    </row>
    <row r="733" ht="15.75" customHeight="1">
      <c r="S733" s="239"/>
      <c r="AE733" s="174"/>
    </row>
    <row r="734" ht="15.75" customHeight="1">
      <c r="S734" s="239"/>
      <c r="AE734" s="174"/>
    </row>
    <row r="735" ht="15.75" customHeight="1">
      <c r="S735" s="239"/>
      <c r="AE735" s="174"/>
    </row>
    <row r="736" ht="15.75" customHeight="1">
      <c r="S736" s="239"/>
      <c r="AE736" s="174"/>
    </row>
    <row r="737" ht="15.75" customHeight="1">
      <c r="S737" s="239"/>
      <c r="AE737" s="174"/>
    </row>
    <row r="738" ht="15.75" customHeight="1">
      <c r="S738" s="239"/>
      <c r="AE738" s="174"/>
    </row>
    <row r="739" ht="15.75" customHeight="1">
      <c r="S739" s="239"/>
      <c r="AE739" s="174"/>
    </row>
    <row r="740" ht="15.75" customHeight="1">
      <c r="S740" s="239"/>
      <c r="AE740" s="174"/>
    </row>
    <row r="741" ht="15.75" customHeight="1">
      <c r="S741" s="239"/>
      <c r="AE741" s="174"/>
    </row>
    <row r="742" ht="15.75" customHeight="1">
      <c r="S742" s="239"/>
      <c r="AE742" s="174"/>
    </row>
    <row r="743" ht="15.75" customHeight="1">
      <c r="S743" s="239"/>
      <c r="AE743" s="174"/>
    </row>
    <row r="744" ht="15.75" customHeight="1">
      <c r="S744" s="239"/>
      <c r="AE744" s="174"/>
    </row>
    <row r="745" ht="15.75" customHeight="1">
      <c r="S745" s="239"/>
      <c r="AE745" s="174"/>
    </row>
    <row r="746" ht="15.75" customHeight="1">
      <c r="S746" s="239"/>
      <c r="AE746" s="174"/>
    </row>
    <row r="747" ht="15.75" customHeight="1">
      <c r="S747" s="239"/>
      <c r="AE747" s="174"/>
    </row>
    <row r="748" ht="15.75" customHeight="1">
      <c r="S748" s="239"/>
      <c r="AE748" s="174"/>
    </row>
    <row r="749" ht="15.75" customHeight="1">
      <c r="S749" s="239"/>
      <c r="AE749" s="174"/>
    </row>
    <row r="750" ht="15.75" customHeight="1">
      <c r="S750" s="239"/>
      <c r="AE750" s="174"/>
    </row>
    <row r="751" ht="15.75" customHeight="1">
      <c r="S751" s="239"/>
      <c r="AE751" s="174"/>
    </row>
    <row r="752" ht="15.75" customHeight="1">
      <c r="S752" s="239"/>
      <c r="AE752" s="174"/>
    </row>
    <row r="753" ht="15.75" customHeight="1">
      <c r="S753" s="239"/>
      <c r="AE753" s="174"/>
    </row>
    <row r="754" ht="15.75" customHeight="1">
      <c r="S754" s="239"/>
      <c r="AE754" s="174"/>
    </row>
    <row r="755" ht="15.75" customHeight="1">
      <c r="S755" s="239"/>
      <c r="AE755" s="174"/>
    </row>
    <row r="756" ht="15.75" customHeight="1">
      <c r="S756" s="239"/>
      <c r="AE756" s="174"/>
    </row>
    <row r="757" ht="15.75" customHeight="1">
      <c r="S757" s="239"/>
      <c r="AE757" s="174"/>
    </row>
    <row r="758" ht="15.75" customHeight="1">
      <c r="S758" s="239"/>
      <c r="AE758" s="174"/>
    </row>
    <row r="759" ht="15.75" customHeight="1">
      <c r="S759" s="239"/>
      <c r="AE759" s="174"/>
    </row>
    <row r="760" ht="15.75" customHeight="1">
      <c r="S760" s="239"/>
      <c r="AE760" s="174"/>
    </row>
    <row r="761" ht="15.75" customHeight="1">
      <c r="S761" s="239"/>
      <c r="AE761" s="174"/>
    </row>
    <row r="762" ht="15.75" customHeight="1">
      <c r="S762" s="239"/>
      <c r="AE762" s="174"/>
    </row>
    <row r="763" ht="15.75" customHeight="1">
      <c r="S763" s="239"/>
      <c r="AE763" s="174"/>
    </row>
    <row r="764" ht="15.75" customHeight="1">
      <c r="S764" s="239"/>
      <c r="AE764" s="174"/>
    </row>
    <row r="765" ht="15.75" customHeight="1">
      <c r="S765" s="239"/>
      <c r="AE765" s="174"/>
    </row>
    <row r="766" ht="15.75" customHeight="1">
      <c r="S766" s="239"/>
      <c r="AE766" s="174"/>
    </row>
    <row r="767" ht="15.75" customHeight="1">
      <c r="S767" s="239"/>
      <c r="AE767" s="174"/>
    </row>
    <row r="768" ht="15.75" customHeight="1">
      <c r="S768" s="239"/>
      <c r="AE768" s="174"/>
    </row>
    <row r="769" ht="15.75" customHeight="1">
      <c r="S769" s="239"/>
      <c r="AE769" s="174"/>
    </row>
    <row r="770" ht="15.75" customHeight="1">
      <c r="S770" s="239"/>
      <c r="AE770" s="174"/>
    </row>
    <row r="771" ht="15.75" customHeight="1">
      <c r="S771" s="239"/>
      <c r="AE771" s="174"/>
    </row>
    <row r="772" ht="15.75" customHeight="1">
      <c r="S772" s="239"/>
      <c r="AE772" s="174"/>
    </row>
    <row r="773" ht="15.75" customHeight="1">
      <c r="S773" s="239"/>
      <c r="AE773" s="174"/>
    </row>
    <row r="774" ht="15.75" customHeight="1">
      <c r="S774" s="239"/>
      <c r="AE774" s="174"/>
    </row>
    <row r="775" ht="15.75" customHeight="1">
      <c r="S775" s="239"/>
      <c r="AE775" s="174"/>
    </row>
    <row r="776" ht="15.75" customHeight="1">
      <c r="S776" s="239"/>
      <c r="AE776" s="174"/>
    </row>
    <row r="777" ht="15.75" customHeight="1">
      <c r="S777" s="239"/>
      <c r="AE777" s="174"/>
    </row>
    <row r="778" ht="15.75" customHeight="1">
      <c r="S778" s="239"/>
      <c r="AE778" s="174"/>
    </row>
    <row r="779" ht="15.75" customHeight="1">
      <c r="S779" s="239"/>
      <c r="AE779" s="174"/>
    </row>
    <row r="780" ht="15.75" customHeight="1">
      <c r="S780" s="239"/>
      <c r="AE780" s="174"/>
    </row>
    <row r="781" ht="15.75" customHeight="1">
      <c r="S781" s="239"/>
      <c r="AE781" s="174"/>
    </row>
    <row r="782" ht="15.75" customHeight="1">
      <c r="S782" s="239"/>
      <c r="AE782" s="174"/>
    </row>
    <row r="783" ht="15.75" customHeight="1">
      <c r="S783" s="239"/>
      <c r="AE783" s="174"/>
    </row>
    <row r="784" ht="15.75" customHeight="1">
      <c r="S784" s="239"/>
      <c r="AE784" s="174"/>
    </row>
    <row r="785" ht="15.75" customHeight="1">
      <c r="S785" s="239"/>
      <c r="AE785" s="174"/>
    </row>
    <row r="786" ht="15.75" customHeight="1">
      <c r="S786" s="239"/>
      <c r="AE786" s="174"/>
    </row>
    <row r="787" ht="15.75" customHeight="1">
      <c r="S787" s="239"/>
      <c r="AE787" s="174"/>
    </row>
    <row r="788" ht="15.75" customHeight="1">
      <c r="S788" s="239"/>
      <c r="AE788" s="174"/>
    </row>
    <row r="789" ht="15.75" customHeight="1">
      <c r="S789" s="239"/>
      <c r="AE789" s="174"/>
    </row>
    <row r="790" ht="15.75" customHeight="1">
      <c r="S790" s="239"/>
      <c r="AE790" s="174"/>
    </row>
    <row r="791" ht="15.75" customHeight="1">
      <c r="S791" s="239"/>
      <c r="AE791" s="174"/>
    </row>
    <row r="792" ht="15.75" customHeight="1">
      <c r="S792" s="239"/>
      <c r="AE792" s="174"/>
    </row>
    <row r="793" ht="15.75" customHeight="1">
      <c r="S793" s="239"/>
      <c r="AE793" s="174"/>
    </row>
    <row r="794" ht="15.75" customHeight="1">
      <c r="S794" s="239"/>
      <c r="AE794" s="174"/>
    </row>
    <row r="795" ht="15.75" customHeight="1">
      <c r="S795" s="239"/>
      <c r="AE795" s="174"/>
    </row>
    <row r="796" ht="15.75" customHeight="1">
      <c r="S796" s="239"/>
      <c r="AE796" s="174"/>
    </row>
    <row r="797" ht="15.75" customHeight="1">
      <c r="S797" s="239"/>
      <c r="AE797" s="174"/>
    </row>
    <row r="798" ht="15.75" customHeight="1">
      <c r="S798" s="239"/>
      <c r="AE798" s="174"/>
    </row>
    <row r="799" ht="15.75" customHeight="1">
      <c r="S799" s="239"/>
      <c r="AE799" s="174"/>
    </row>
    <row r="800" ht="15.75" customHeight="1">
      <c r="S800" s="239"/>
      <c r="AE800" s="174"/>
    </row>
    <row r="801" ht="15.75" customHeight="1">
      <c r="S801" s="239"/>
      <c r="AE801" s="174"/>
    </row>
    <row r="802" ht="15.75" customHeight="1">
      <c r="S802" s="239"/>
      <c r="AE802" s="174"/>
    </row>
    <row r="803" ht="15.75" customHeight="1">
      <c r="S803" s="239"/>
      <c r="AE803" s="174"/>
    </row>
    <row r="804" ht="15.75" customHeight="1">
      <c r="S804" s="239"/>
      <c r="AE804" s="174"/>
    </row>
    <row r="805" ht="15.75" customHeight="1">
      <c r="S805" s="239"/>
      <c r="AE805" s="174"/>
    </row>
    <row r="806" ht="15.75" customHeight="1">
      <c r="S806" s="239"/>
      <c r="AE806" s="174"/>
    </row>
    <row r="807" ht="15.75" customHeight="1">
      <c r="S807" s="239"/>
      <c r="AE807" s="174"/>
    </row>
    <row r="808" ht="15.75" customHeight="1">
      <c r="S808" s="239"/>
      <c r="AE808" s="174"/>
    </row>
    <row r="809" ht="15.75" customHeight="1">
      <c r="S809" s="239"/>
      <c r="AE809" s="174"/>
    </row>
    <row r="810" ht="15.75" customHeight="1">
      <c r="S810" s="239"/>
      <c r="AE810" s="174"/>
    </row>
    <row r="811" ht="15.75" customHeight="1">
      <c r="S811" s="239"/>
      <c r="AE811" s="174"/>
    </row>
    <row r="812" ht="15.75" customHeight="1">
      <c r="S812" s="239"/>
      <c r="AE812" s="174"/>
    </row>
    <row r="813" ht="15.75" customHeight="1">
      <c r="S813" s="239"/>
      <c r="AE813" s="174"/>
    </row>
    <row r="814" ht="15.75" customHeight="1">
      <c r="S814" s="239"/>
      <c r="AE814" s="174"/>
    </row>
    <row r="815" ht="15.75" customHeight="1">
      <c r="S815" s="239"/>
      <c r="AE815" s="174"/>
    </row>
    <row r="816" ht="15.75" customHeight="1">
      <c r="S816" s="239"/>
      <c r="AE816" s="174"/>
    </row>
    <row r="817" ht="15.75" customHeight="1">
      <c r="S817" s="239"/>
      <c r="AE817" s="174"/>
    </row>
    <row r="818" ht="15.75" customHeight="1">
      <c r="S818" s="239"/>
      <c r="AE818" s="174"/>
    </row>
    <row r="819" ht="15.75" customHeight="1">
      <c r="S819" s="239"/>
      <c r="AE819" s="174"/>
    </row>
    <row r="820" ht="15.75" customHeight="1">
      <c r="S820" s="239"/>
      <c r="AE820" s="174"/>
    </row>
    <row r="821" ht="15.75" customHeight="1">
      <c r="S821" s="239"/>
      <c r="AE821" s="174"/>
    </row>
    <row r="822" ht="15.75" customHeight="1">
      <c r="S822" s="239"/>
      <c r="AE822" s="174"/>
    </row>
    <row r="823" ht="15.75" customHeight="1">
      <c r="S823" s="239"/>
      <c r="AE823" s="174"/>
    </row>
    <row r="824" ht="15.75" customHeight="1">
      <c r="S824" s="239"/>
      <c r="AE824" s="174"/>
    </row>
    <row r="825" ht="15.75" customHeight="1">
      <c r="S825" s="239"/>
      <c r="AE825" s="174"/>
    </row>
    <row r="826" ht="15.75" customHeight="1">
      <c r="S826" s="239"/>
      <c r="AE826" s="174"/>
    </row>
    <row r="827" ht="15.75" customHeight="1">
      <c r="S827" s="239"/>
      <c r="AE827" s="174"/>
    </row>
    <row r="828" ht="15.75" customHeight="1">
      <c r="S828" s="239"/>
      <c r="AE828" s="174"/>
    </row>
    <row r="829" ht="15.75" customHeight="1">
      <c r="S829" s="239"/>
      <c r="AE829" s="174"/>
    </row>
    <row r="830" ht="15.75" customHeight="1">
      <c r="S830" s="239"/>
      <c r="AE830" s="174"/>
    </row>
    <row r="831" ht="15.75" customHeight="1">
      <c r="S831" s="239"/>
      <c r="AE831" s="174"/>
    </row>
    <row r="832" ht="15.75" customHeight="1">
      <c r="S832" s="239"/>
      <c r="AE832" s="174"/>
    </row>
    <row r="833" ht="15.75" customHeight="1">
      <c r="S833" s="239"/>
      <c r="AE833" s="174"/>
    </row>
    <row r="834" ht="15.75" customHeight="1">
      <c r="S834" s="239"/>
      <c r="AE834" s="174"/>
    </row>
    <row r="835" ht="15.75" customHeight="1">
      <c r="S835" s="239"/>
      <c r="AE835" s="174"/>
    </row>
    <row r="836" ht="15.75" customHeight="1">
      <c r="S836" s="239"/>
      <c r="AE836" s="174"/>
    </row>
    <row r="837" ht="15.75" customHeight="1">
      <c r="S837" s="239"/>
      <c r="AE837" s="174"/>
    </row>
    <row r="838" ht="15.75" customHeight="1">
      <c r="S838" s="239"/>
      <c r="AE838" s="174"/>
    </row>
    <row r="839" ht="15.75" customHeight="1">
      <c r="S839" s="239"/>
      <c r="AE839" s="174"/>
    </row>
    <row r="840" ht="15.75" customHeight="1">
      <c r="S840" s="239"/>
      <c r="AE840" s="174"/>
    </row>
    <row r="841" ht="15.75" customHeight="1">
      <c r="S841" s="239"/>
      <c r="AE841" s="174"/>
    </row>
    <row r="842" ht="15.75" customHeight="1">
      <c r="S842" s="239"/>
      <c r="AE842" s="174"/>
    </row>
    <row r="843" ht="15.75" customHeight="1">
      <c r="S843" s="239"/>
      <c r="AE843" s="174"/>
    </row>
    <row r="844" ht="15.75" customHeight="1">
      <c r="S844" s="239"/>
      <c r="AE844" s="174"/>
    </row>
    <row r="845" ht="15.75" customHeight="1">
      <c r="S845" s="239"/>
      <c r="AE845" s="174"/>
    </row>
    <row r="846" ht="15.75" customHeight="1">
      <c r="S846" s="239"/>
      <c r="AE846" s="174"/>
    </row>
    <row r="847" ht="15.75" customHeight="1">
      <c r="S847" s="239"/>
      <c r="AE847" s="174"/>
    </row>
    <row r="848" ht="15.75" customHeight="1">
      <c r="S848" s="239"/>
      <c r="AE848" s="174"/>
    </row>
    <row r="849" ht="15.75" customHeight="1">
      <c r="S849" s="239"/>
      <c r="AE849" s="174"/>
    </row>
    <row r="850" ht="15.75" customHeight="1">
      <c r="S850" s="239"/>
      <c r="AE850" s="174"/>
    </row>
    <row r="851" ht="15.75" customHeight="1">
      <c r="S851" s="239"/>
      <c r="AE851" s="174"/>
    </row>
    <row r="852" ht="15.75" customHeight="1">
      <c r="S852" s="239"/>
      <c r="AE852" s="174"/>
    </row>
    <row r="853" ht="15.75" customHeight="1">
      <c r="S853" s="239"/>
      <c r="AE853" s="174"/>
    </row>
    <row r="854" ht="15.75" customHeight="1">
      <c r="S854" s="239"/>
      <c r="AE854" s="174"/>
    </row>
    <row r="855" ht="15.75" customHeight="1">
      <c r="S855" s="239"/>
      <c r="AE855" s="174"/>
    </row>
    <row r="856" ht="15.75" customHeight="1">
      <c r="S856" s="239"/>
      <c r="AE856" s="174"/>
    </row>
    <row r="857" ht="15.75" customHeight="1">
      <c r="S857" s="239"/>
      <c r="AE857" s="174"/>
    </row>
    <row r="858" ht="15.75" customHeight="1">
      <c r="S858" s="239"/>
      <c r="AE858" s="174"/>
    </row>
    <row r="859" ht="15.75" customHeight="1">
      <c r="S859" s="239"/>
      <c r="AE859" s="174"/>
    </row>
    <row r="860" ht="15.75" customHeight="1">
      <c r="S860" s="239"/>
      <c r="AE860" s="174"/>
    </row>
    <row r="861" ht="15.75" customHeight="1">
      <c r="S861" s="239"/>
      <c r="AE861" s="174"/>
    </row>
    <row r="862" ht="15.75" customHeight="1">
      <c r="S862" s="239"/>
      <c r="AE862" s="174"/>
    </row>
    <row r="863" ht="15.75" customHeight="1">
      <c r="S863" s="239"/>
      <c r="AE863" s="174"/>
    </row>
    <row r="864" ht="15.75" customHeight="1">
      <c r="S864" s="239"/>
      <c r="AE864" s="174"/>
    </row>
    <row r="865" ht="15.75" customHeight="1">
      <c r="S865" s="239"/>
      <c r="AE865" s="174"/>
    </row>
    <row r="866" ht="15.75" customHeight="1">
      <c r="S866" s="239"/>
      <c r="AE866" s="174"/>
    </row>
    <row r="867" ht="15.75" customHeight="1">
      <c r="S867" s="239"/>
      <c r="AE867" s="174"/>
    </row>
    <row r="868" ht="15.75" customHeight="1">
      <c r="S868" s="239"/>
      <c r="AE868" s="174"/>
    </row>
    <row r="869" ht="15.75" customHeight="1">
      <c r="S869" s="239"/>
      <c r="AE869" s="174"/>
    </row>
    <row r="870" ht="15.75" customHeight="1">
      <c r="S870" s="239"/>
      <c r="AE870" s="174"/>
    </row>
    <row r="871" ht="15.75" customHeight="1">
      <c r="S871" s="239"/>
      <c r="AE871" s="174"/>
    </row>
    <row r="872" ht="15.75" customHeight="1">
      <c r="S872" s="239"/>
      <c r="AE872" s="174"/>
    </row>
    <row r="873" ht="15.75" customHeight="1">
      <c r="S873" s="239"/>
      <c r="AE873" s="174"/>
    </row>
    <row r="874" ht="15.75" customHeight="1">
      <c r="S874" s="239"/>
      <c r="AE874" s="174"/>
    </row>
    <row r="875" ht="15.75" customHeight="1">
      <c r="S875" s="239"/>
      <c r="AE875" s="174"/>
    </row>
    <row r="876" ht="15.75" customHeight="1">
      <c r="S876" s="239"/>
      <c r="AE876" s="174"/>
    </row>
    <row r="877" ht="15.75" customHeight="1">
      <c r="S877" s="239"/>
      <c r="AE877" s="174"/>
    </row>
    <row r="878" ht="15.75" customHeight="1">
      <c r="S878" s="239"/>
      <c r="AE878" s="174"/>
    </row>
    <row r="879" ht="15.75" customHeight="1">
      <c r="S879" s="239"/>
      <c r="AE879" s="174"/>
    </row>
    <row r="880" ht="15.75" customHeight="1">
      <c r="S880" s="239"/>
      <c r="AE880" s="174"/>
    </row>
    <row r="881" ht="15.75" customHeight="1">
      <c r="S881" s="239"/>
      <c r="AE881" s="174"/>
    </row>
    <row r="882" ht="15.75" customHeight="1">
      <c r="S882" s="239"/>
      <c r="AE882" s="174"/>
    </row>
    <row r="883" ht="15.75" customHeight="1">
      <c r="S883" s="239"/>
      <c r="AE883" s="174"/>
    </row>
    <row r="884" ht="15.75" customHeight="1">
      <c r="S884" s="239"/>
      <c r="AE884" s="174"/>
    </row>
    <row r="885" ht="15.75" customHeight="1">
      <c r="S885" s="239"/>
      <c r="AE885" s="174"/>
    </row>
    <row r="886" ht="15.75" customHeight="1">
      <c r="S886" s="239"/>
      <c r="AE886" s="174"/>
    </row>
    <row r="887" ht="15.75" customHeight="1">
      <c r="S887" s="239"/>
      <c r="AE887" s="174"/>
    </row>
    <row r="888" ht="15.75" customHeight="1">
      <c r="S888" s="239"/>
      <c r="AE888" s="174"/>
    </row>
    <row r="889" ht="15.75" customHeight="1">
      <c r="S889" s="239"/>
      <c r="AE889" s="174"/>
    </row>
    <row r="890" ht="15.75" customHeight="1">
      <c r="S890" s="239"/>
      <c r="AE890" s="174"/>
    </row>
    <row r="891" ht="15.75" customHeight="1">
      <c r="S891" s="239"/>
      <c r="AE891" s="174"/>
    </row>
    <row r="892" ht="15.75" customHeight="1">
      <c r="S892" s="239"/>
      <c r="AE892" s="174"/>
    </row>
    <row r="893" ht="15.75" customHeight="1">
      <c r="S893" s="239"/>
      <c r="AE893" s="174"/>
    </row>
    <row r="894" ht="15.75" customHeight="1">
      <c r="S894" s="239"/>
      <c r="AE894" s="174"/>
    </row>
    <row r="895" ht="15.75" customHeight="1">
      <c r="S895" s="239"/>
      <c r="AE895" s="174"/>
    </row>
    <row r="896" ht="15.75" customHeight="1">
      <c r="S896" s="239"/>
      <c r="AE896" s="174"/>
    </row>
    <row r="897" ht="15.75" customHeight="1">
      <c r="S897" s="239"/>
      <c r="AE897" s="174"/>
    </row>
    <row r="898" ht="15.75" customHeight="1">
      <c r="S898" s="239"/>
      <c r="AE898" s="174"/>
    </row>
    <row r="899" ht="15.75" customHeight="1">
      <c r="S899" s="239"/>
      <c r="AE899" s="174"/>
    </row>
    <row r="900" ht="15.75" customHeight="1">
      <c r="S900" s="239"/>
      <c r="AE900" s="174"/>
    </row>
    <row r="901" ht="15.75" customHeight="1">
      <c r="S901" s="239"/>
      <c r="AE901" s="174"/>
    </row>
    <row r="902" ht="15.75" customHeight="1">
      <c r="S902" s="239"/>
      <c r="AE902" s="174"/>
    </row>
    <row r="903" ht="15.75" customHeight="1">
      <c r="S903" s="239"/>
      <c r="AE903" s="174"/>
    </row>
    <row r="904" ht="15.75" customHeight="1">
      <c r="S904" s="239"/>
      <c r="AE904" s="174"/>
    </row>
    <row r="905" ht="15.75" customHeight="1">
      <c r="S905" s="239"/>
      <c r="AE905" s="174"/>
    </row>
    <row r="906" ht="15.75" customHeight="1">
      <c r="S906" s="239"/>
      <c r="AE906" s="174"/>
    </row>
    <row r="907" ht="15.75" customHeight="1">
      <c r="S907" s="239"/>
      <c r="AE907" s="174"/>
    </row>
    <row r="908" ht="15.75" customHeight="1">
      <c r="S908" s="239"/>
      <c r="AE908" s="174"/>
    </row>
    <row r="909" ht="15.75" customHeight="1">
      <c r="S909" s="239"/>
      <c r="AE909" s="174"/>
    </row>
    <row r="910" ht="15.75" customHeight="1">
      <c r="S910" s="239"/>
      <c r="AE910" s="174"/>
    </row>
    <row r="911" ht="15.75" customHeight="1">
      <c r="S911" s="239"/>
      <c r="AE911" s="174"/>
    </row>
    <row r="912" ht="15.75" customHeight="1">
      <c r="S912" s="239"/>
      <c r="AE912" s="174"/>
    </row>
    <row r="913" ht="15.75" customHeight="1">
      <c r="S913" s="239"/>
      <c r="AE913" s="174"/>
    </row>
    <row r="914" ht="15.75" customHeight="1">
      <c r="S914" s="239"/>
      <c r="AE914" s="174"/>
    </row>
    <row r="915" ht="15.75" customHeight="1">
      <c r="S915" s="239"/>
      <c r="AE915" s="174"/>
    </row>
    <row r="916" ht="15.75" customHeight="1">
      <c r="S916" s="239"/>
      <c r="AE916" s="174"/>
    </row>
    <row r="917" ht="15.75" customHeight="1">
      <c r="S917" s="239"/>
      <c r="AE917" s="174"/>
    </row>
    <row r="918" ht="15.75" customHeight="1">
      <c r="S918" s="239"/>
      <c r="AE918" s="174"/>
    </row>
    <row r="919" ht="15.75" customHeight="1">
      <c r="S919" s="239"/>
      <c r="AE919" s="174"/>
    </row>
    <row r="920" ht="15.75" customHeight="1">
      <c r="S920" s="239"/>
      <c r="AE920" s="174"/>
    </row>
    <row r="921" ht="15.75" customHeight="1">
      <c r="S921" s="239"/>
      <c r="AE921" s="174"/>
    </row>
    <row r="922" ht="15.75" customHeight="1">
      <c r="S922" s="239"/>
      <c r="AE922" s="174"/>
    </row>
    <row r="923" ht="15.75" customHeight="1">
      <c r="S923" s="239"/>
      <c r="AE923" s="174"/>
    </row>
    <row r="924" ht="15.75" customHeight="1">
      <c r="S924" s="239"/>
      <c r="AE924" s="174"/>
    </row>
    <row r="925" ht="15.75" customHeight="1">
      <c r="S925" s="239"/>
      <c r="AE925" s="174"/>
    </row>
    <row r="926" ht="15.75" customHeight="1">
      <c r="S926" s="239"/>
      <c r="AE926" s="174"/>
    </row>
    <row r="927" ht="15.75" customHeight="1">
      <c r="S927" s="239"/>
      <c r="AE927" s="174"/>
    </row>
    <row r="928" ht="15.75" customHeight="1">
      <c r="S928" s="239"/>
      <c r="AE928" s="174"/>
    </row>
    <row r="929" ht="15.75" customHeight="1">
      <c r="S929" s="239"/>
      <c r="AE929" s="174"/>
    </row>
    <row r="930" ht="15.75" customHeight="1">
      <c r="S930" s="239"/>
      <c r="AE930" s="174"/>
    </row>
    <row r="931" ht="15.75" customHeight="1">
      <c r="S931" s="239"/>
      <c r="AE931" s="174"/>
    </row>
    <row r="932" ht="15.75" customHeight="1">
      <c r="S932" s="239"/>
      <c r="AE932" s="174"/>
    </row>
    <row r="933" ht="15.75" customHeight="1">
      <c r="S933" s="239"/>
      <c r="AE933" s="174"/>
    </row>
    <row r="934" ht="15.75" customHeight="1">
      <c r="S934" s="239"/>
      <c r="AE934" s="174"/>
    </row>
    <row r="935" ht="15.75" customHeight="1">
      <c r="S935" s="239"/>
      <c r="AE935" s="174"/>
    </row>
    <row r="936" ht="15.75" customHeight="1">
      <c r="S936" s="239"/>
      <c r="AE936" s="174"/>
    </row>
    <row r="937" ht="15.75" customHeight="1">
      <c r="S937" s="239"/>
      <c r="AE937" s="174"/>
    </row>
    <row r="938" ht="15.75" customHeight="1">
      <c r="S938" s="239"/>
      <c r="AE938" s="174"/>
    </row>
    <row r="939" ht="15.75" customHeight="1">
      <c r="S939" s="239"/>
      <c r="AE939" s="174"/>
    </row>
    <row r="940" ht="15.75" customHeight="1">
      <c r="S940" s="239"/>
      <c r="AE940" s="174"/>
    </row>
    <row r="941" ht="15.75" customHeight="1">
      <c r="S941" s="239"/>
      <c r="AE941" s="174"/>
    </row>
    <row r="942" ht="15.75" customHeight="1">
      <c r="S942" s="239"/>
      <c r="AE942" s="174"/>
    </row>
    <row r="943" ht="15.75" customHeight="1">
      <c r="S943" s="239"/>
      <c r="AE943" s="174"/>
    </row>
    <row r="944" ht="15.75" customHeight="1">
      <c r="S944" s="239"/>
      <c r="AE944" s="174"/>
    </row>
    <row r="945" ht="15.75" customHeight="1">
      <c r="S945" s="239"/>
      <c r="AE945" s="174"/>
    </row>
    <row r="946" ht="15.75" customHeight="1">
      <c r="S946" s="239"/>
      <c r="AE946" s="174"/>
    </row>
    <row r="947" ht="15.75" customHeight="1">
      <c r="S947" s="239"/>
      <c r="AE947" s="174"/>
    </row>
    <row r="948" ht="15.75" customHeight="1">
      <c r="S948" s="239"/>
      <c r="AE948" s="174"/>
    </row>
    <row r="949" ht="15.75" customHeight="1">
      <c r="S949" s="239"/>
      <c r="AE949" s="174"/>
    </row>
    <row r="950" ht="15.75" customHeight="1">
      <c r="S950" s="239"/>
      <c r="AE950" s="174"/>
    </row>
    <row r="951" ht="15.75" customHeight="1">
      <c r="S951" s="239"/>
      <c r="AE951" s="174"/>
    </row>
    <row r="952" ht="15.75" customHeight="1">
      <c r="S952" s="239"/>
      <c r="AE952" s="174"/>
    </row>
    <row r="953" ht="15.75" customHeight="1">
      <c r="S953" s="239"/>
      <c r="AE953" s="174"/>
    </row>
    <row r="954" ht="15.75" customHeight="1">
      <c r="S954" s="239"/>
      <c r="AE954" s="174"/>
    </row>
    <row r="955" ht="15.75" customHeight="1">
      <c r="S955" s="239"/>
      <c r="AE955" s="174"/>
    </row>
    <row r="956" ht="15.75" customHeight="1">
      <c r="S956" s="239"/>
      <c r="AE956" s="174"/>
    </row>
    <row r="957" ht="15.75" customHeight="1">
      <c r="S957" s="239"/>
      <c r="AE957" s="174"/>
    </row>
    <row r="958" ht="15.75" customHeight="1">
      <c r="S958" s="239"/>
      <c r="AE958" s="174"/>
    </row>
    <row r="959" ht="15.75" customHeight="1">
      <c r="S959" s="239"/>
      <c r="AE959" s="174"/>
    </row>
    <row r="960" ht="15.75" customHeight="1">
      <c r="S960" s="239"/>
      <c r="AE960" s="174"/>
    </row>
    <row r="961" ht="15.75" customHeight="1">
      <c r="S961" s="239"/>
      <c r="AE961" s="174"/>
    </row>
    <row r="962" ht="15.75" customHeight="1">
      <c r="S962" s="239"/>
      <c r="AE962" s="174"/>
    </row>
    <row r="963" ht="15.75" customHeight="1">
      <c r="S963" s="239"/>
      <c r="AE963" s="174"/>
    </row>
    <row r="964" ht="15.75" customHeight="1">
      <c r="S964" s="239"/>
      <c r="AE964" s="174"/>
    </row>
    <row r="965" ht="15.75" customHeight="1">
      <c r="S965" s="239"/>
      <c r="AE965" s="174"/>
    </row>
    <row r="966" ht="15.75" customHeight="1">
      <c r="S966" s="239"/>
      <c r="AE966" s="174"/>
    </row>
    <row r="967" ht="15.75" customHeight="1">
      <c r="S967" s="239"/>
      <c r="AE967" s="174"/>
    </row>
    <row r="968" ht="15.75" customHeight="1">
      <c r="S968" s="239"/>
      <c r="AE968" s="174"/>
    </row>
    <row r="969" ht="15.75" customHeight="1">
      <c r="S969" s="239"/>
      <c r="AE969" s="174"/>
    </row>
    <row r="970" ht="15.75" customHeight="1">
      <c r="S970" s="239"/>
      <c r="AE970" s="174"/>
    </row>
    <row r="971" ht="15.75" customHeight="1">
      <c r="S971" s="239"/>
      <c r="AE971" s="174"/>
    </row>
    <row r="972" ht="15.75" customHeight="1">
      <c r="S972" s="239"/>
      <c r="AE972" s="174"/>
    </row>
    <row r="973" ht="15.75" customHeight="1">
      <c r="S973" s="239"/>
      <c r="AE973" s="174"/>
    </row>
    <row r="974" ht="15.75" customHeight="1">
      <c r="S974" s="239"/>
      <c r="AE974" s="174"/>
    </row>
    <row r="975" ht="15.75" customHeight="1">
      <c r="S975" s="239"/>
      <c r="AE975" s="174"/>
    </row>
    <row r="976" ht="15.75" customHeight="1">
      <c r="S976" s="239"/>
      <c r="AE976" s="174"/>
    </row>
    <row r="977" ht="15.75" customHeight="1">
      <c r="S977" s="239"/>
      <c r="AE977" s="174"/>
    </row>
    <row r="978" ht="15.75" customHeight="1">
      <c r="S978" s="239"/>
      <c r="AE978" s="174"/>
    </row>
    <row r="979" ht="15.75" customHeight="1">
      <c r="S979" s="239"/>
      <c r="AE979" s="174"/>
    </row>
    <row r="980" ht="15.75" customHeight="1">
      <c r="S980" s="239"/>
      <c r="AE980" s="174"/>
    </row>
    <row r="981" ht="15.75" customHeight="1">
      <c r="S981" s="239"/>
      <c r="AE981" s="174"/>
    </row>
    <row r="982" ht="15.75" customHeight="1">
      <c r="S982" s="239"/>
      <c r="AE982" s="174"/>
    </row>
    <row r="983" ht="15.75" customHeight="1">
      <c r="S983" s="239"/>
      <c r="AE983" s="174"/>
    </row>
    <row r="984" ht="15.75" customHeight="1">
      <c r="S984" s="239"/>
      <c r="AE984" s="174"/>
    </row>
    <row r="985" ht="15.75" customHeight="1">
      <c r="S985" s="239"/>
      <c r="AE985" s="174"/>
    </row>
    <row r="986" ht="15.75" customHeight="1">
      <c r="S986" s="239"/>
      <c r="AE986" s="174"/>
    </row>
    <row r="987" ht="15.75" customHeight="1">
      <c r="S987" s="239"/>
      <c r="AE987" s="174"/>
    </row>
    <row r="988" ht="15.75" customHeight="1">
      <c r="S988" s="239"/>
      <c r="AE988" s="174"/>
    </row>
    <row r="989" ht="15.75" customHeight="1">
      <c r="S989" s="239"/>
      <c r="AE989" s="174"/>
    </row>
    <row r="990" ht="15.75" customHeight="1">
      <c r="S990" s="239"/>
      <c r="AE990" s="174"/>
    </row>
    <row r="991" ht="15.75" customHeight="1">
      <c r="S991" s="239"/>
      <c r="AE991" s="174"/>
    </row>
    <row r="992" ht="15.75" customHeight="1">
      <c r="S992" s="239"/>
      <c r="AE992" s="174"/>
    </row>
    <row r="993" ht="15.75" customHeight="1">
      <c r="S993" s="239"/>
      <c r="AE993" s="174"/>
    </row>
    <row r="994" ht="15.75" customHeight="1">
      <c r="S994" s="239"/>
      <c r="AE994" s="174"/>
    </row>
    <row r="995" ht="15.75" customHeight="1">
      <c r="S995" s="239"/>
      <c r="AE995" s="174"/>
    </row>
    <row r="996" ht="15.75" customHeight="1">
      <c r="S996" s="239"/>
      <c r="AE996" s="174"/>
    </row>
    <row r="997" ht="15.75" customHeight="1">
      <c r="S997" s="239"/>
      <c r="AE997" s="174"/>
    </row>
    <row r="998" ht="15.75" customHeight="1">
      <c r="S998" s="239"/>
      <c r="AE998" s="174"/>
    </row>
    <row r="999" ht="15.75" customHeight="1">
      <c r="S999" s="239"/>
      <c r="AE999" s="174"/>
    </row>
    <row r="1000" ht="15.75" customHeight="1">
      <c r="S1000" s="239"/>
      <c r="AE1000" s="174"/>
    </row>
    <row r="1001" ht="15.75" customHeight="1">
      <c r="S1001" s="239"/>
      <c r="AE1001" s="174"/>
    </row>
    <row r="1002" ht="15.75" customHeight="1">
      <c r="S1002" s="239"/>
      <c r="AE1002" s="174"/>
    </row>
    <row r="1003" ht="15.75" customHeight="1">
      <c r="S1003" s="239"/>
      <c r="AE1003" s="174"/>
    </row>
  </sheetData>
  <autoFilter ref="$A$1:$AE$31"/>
  <dataValidations>
    <dataValidation type="list" allowBlank="1" showErrorMessage="1" sqref="Z2:AD24">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6.1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118.0"/>
  </cols>
  <sheetData>
    <row r="1" ht="15.75" customHeight="1">
      <c r="A1" s="42"/>
      <c r="B1" s="43" t="s">
        <v>61</v>
      </c>
      <c r="C1" s="56" t="s">
        <v>393</v>
      </c>
      <c r="D1" s="56" t="s">
        <v>83</v>
      </c>
      <c r="E1" s="72" t="s">
        <v>63</v>
      </c>
      <c r="F1" s="72" t="s">
        <v>83</v>
      </c>
      <c r="G1" s="72" t="s">
        <v>394</v>
      </c>
      <c r="H1" s="72" t="s">
        <v>83</v>
      </c>
      <c r="I1" s="72" t="s">
        <v>395</v>
      </c>
      <c r="J1" s="72" t="s">
        <v>83</v>
      </c>
      <c r="K1" s="72" t="s">
        <v>440</v>
      </c>
      <c r="L1" s="72" t="s">
        <v>83</v>
      </c>
      <c r="M1" s="72" t="s">
        <v>397</v>
      </c>
      <c r="N1" s="72" t="s">
        <v>83</v>
      </c>
      <c r="O1" s="72" t="s">
        <v>441</v>
      </c>
      <c r="P1" s="72" t="s">
        <v>83</v>
      </c>
      <c r="Q1" s="240" t="s">
        <v>48</v>
      </c>
      <c r="R1" s="240" t="s">
        <v>83</v>
      </c>
      <c r="S1" s="72" t="s">
        <v>399</v>
      </c>
      <c r="T1" s="43" t="s">
        <v>83</v>
      </c>
      <c r="U1" s="43" t="s">
        <v>32</v>
      </c>
      <c r="V1" s="43" t="s">
        <v>83</v>
      </c>
      <c r="W1" s="42"/>
      <c r="X1" s="43" t="s">
        <v>33</v>
      </c>
      <c r="Y1" s="43" t="s">
        <v>73</v>
      </c>
      <c r="Z1" s="43" t="s">
        <v>74</v>
      </c>
      <c r="AA1" s="42" t="s">
        <v>75</v>
      </c>
      <c r="AB1" s="42" t="s">
        <v>76</v>
      </c>
      <c r="AC1" s="42" t="s">
        <v>77</v>
      </c>
      <c r="AD1" s="42" t="s">
        <v>210</v>
      </c>
      <c r="AE1" s="96" t="s">
        <v>79</v>
      </c>
    </row>
    <row r="2" ht="15.75" customHeight="1">
      <c r="A2" s="42">
        <v>1.0</v>
      </c>
      <c r="B2" s="244" t="s">
        <v>537</v>
      </c>
      <c r="C2" s="63">
        <v>38.0</v>
      </c>
      <c r="D2" s="56" t="str">
        <f t="shared" ref="D2:D11" si="1">VLOOKUP(C2,$B$21:$C$29,2)</f>
        <v>F</v>
      </c>
      <c r="E2" s="73">
        <v>38.0</v>
      </c>
      <c r="F2" s="56" t="str">
        <f t="shared" ref="F2:F11" si="2">VLOOKUP(E2,$B$21:$C$29,2)</f>
        <v>F</v>
      </c>
      <c r="G2" s="73">
        <v>41.0</v>
      </c>
      <c r="H2" s="56" t="str">
        <f t="shared" ref="H2:H11" si="3">VLOOKUP(G2,$B$21:$C$29,2)</f>
        <v>E</v>
      </c>
      <c r="I2" s="73">
        <v>43.0</v>
      </c>
      <c r="J2" s="56" t="str">
        <f t="shared" ref="J2:J11" si="4">VLOOKUP(I2,$B$21:$C$29,2)</f>
        <v>E</v>
      </c>
      <c r="K2" s="72"/>
      <c r="L2" s="56" t="str">
        <f t="shared" ref="L2:L11" si="5">VLOOKUP(K2,$B$21:$C$29,2)</f>
        <v>U</v>
      </c>
      <c r="M2" s="72"/>
      <c r="N2" s="56" t="str">
        <f t="shared" ref="N2:N11" si="6">VLOOKUP(M2,$B$21:$C$29,2)</f>
        <v>U</v>
      </c>
      <c r="O2" s="72"/>
      <c r="P2" s="56" t="str">
        <f t="shared" ref="P2:P11" si="7">VLOOKUP(O2,$B$21:$C$29,2)</f>
        <v>U</v>
      </c>
      <c r="Q2" s="72"/>
      <c r="R2" s="56" t="str">
        <f t="shared" ref="R2:R11" si="8">VLOOKUP(Q2,$B$21:$C$29,2)</f>
        <v>U</v>
      </c>
      <c r="S2" s="73">
        <v>38.0</v>
      </c>
      <c r="T2" s="56" t="str">
        <f t="shared" ref="T2:T11" si="9">VLOOKUP(S2,$B$21:$C$29,2)</f>
        <v>F</v>
      </c>
      <c r="U2" s="232">
        <v>59.0</v>
      </c>
      <c r="V2" s="56" t="str">
        <f t="shared" ref="V2:V11" si="10">VLOOKUP(U2,$B$21:$C$29,2)</f>
        <v>D</v>
      </c>
      <c r="W2" s="72"/>
      <c r="X2" s="233">
        <f t="shared" ref="X2:X11" si="11">AVERAGE(C2,E2,G2,I2,K2,M2,O2,Q2,S2,U2)</f>
        <v>42.83333333</v>
      </c>
      <c r="Y2" s="72">
        <f t="shared" ref="Y2:Y11" si="12">RANK(X2,$X$2:$X$9)</f>
        <v>2</v>
      </c>
      <c r="Z2" s="134" t="s">
        <v>93</v>
      </c>
      <c r="AA2" s="134" t="s">
        <v>85</v>
      </c>
      <c r="AB2" s="134" t="s">
        <v>90</v>
      </c>
      <c r="AC2" s="134" t="s">
        <v>85</v>
      </c>
      <c r="AD2" s="134" t="s">
        <v>85</v>
      </c>
      <c r="AE2" s="81" t="s">
        <v>538</v>
      </c>
    </row>
    <row r="3" ht="15.75" customHeight="1">
      <c r="A3" s="42">
        <v>2.0</v>
      </c>
      <c r="B3" s="176" t="s">
        <v>539</v>
      </c>
      <c r="C3" s="63">
        <v>39.0</v>
      </c>
      <c r="D3" s="56" t="str">
        <f t="shared" si="1"/>
        <v>F</v>
      </c>
      <c r="E3" s="73">
        <v>80.0</v>
      </c>
      <c r="F3" s="56" t="str">
        <f t="shared" si="2"/>
        <v>A</v>
      </c>
      <c r="G3" s="72"/>
      <c r="H3" s="56" t="str">
        <f t="shared" si="3"/>
        <v>U</v>
      </c>
      <c r="I3" s="73">
        <v>55.0</v>
      </c>
      <c r="J3" s="56" t="str">
        <f t="shared" si="4"/>
        <v>D</v>
      </c>
      <c r="K3" s="73">
        <v>61.0</v>
      </c>
      <c r="L3" s="56" t="str">
        <f t="shared" si="5"/>
        <v>C</v>
      </c>
      <c r="M3" s="73">
        <v>52.0</v>
      </c>
      <c r="N3" s="56" t="str">
        <f t="shared" si="6"/>
        <v>D</v>
      </c>
      <c r="O3" s="72"/>
      <c r="P3" s="56" t="str">
        <f t="shared" si="7"/>
        <v>U</v>
      </c>
      <c r="Q3" s="73">
        <v>49.0</v>
      </c>
      <c r="R3" s="56" t="str">
        <f t="shared" si="8"/>
        <v>E</v>
      </c>
      <c r="S3" s="236"/>
      <c r="T3" s="56" t="str">
        <f t="shared" si="9"/>
        <v>U</v>
      </c>
      <c r="U3" s="121"/>
      <c r="V3" s="56" t="str">
        <f t="shared" si="10"/>
        <v>U</v>
      </c>
      <c r="W3" s="42"/>
      <c r="X3" s="233">
        <f t="shared" si="11"/>
        <v>56</v>
      </c>
      <c r="Y3" s="72">
        <f t="shared" si="12"/>
        <v>1</v>
      </c>
      <c r="Z3" s="134" t="s">
        <v>87</v>
      </c>
      <c r="AA3" s="134" t="s">
        <v>85</v>
      </c>
      <c r="AB3" s="134" t="s">
        <v>85</v>
      </c>
      <c r="AC3" s="134" t="s">
        <v>85</v>
      </c>
      <c r="AD3" s="134" t="s">
        <v>85</v>
      </c>
      <c r="AE3" s="81" t="s">
        <v>540</v>
      </c>
    </row>
    <row r="4" ht="15.75" customHeight="1">
      <c r="A4" s="42">
        <v>3.0</v>
      </c>
      <c r="B4" s="176" t="s">
        <v>541</v>
      </c>
      <c r="C4" s="63">
        <v>40.0</v>
      </c>
      <c r="D4" s="56" t="str">
        <f t="shared" si="1"/>
        <v>E</v>
      </c>
      <c r="E4" s="73">
        <v>46.0</v>
      </c>
      <c r="F4" s="56" t="str">
        <f t="shared" si="2"/>
        <v>E</v>
      </c>
      <c r="G4" s="72"/>
      <c r="H4" s="56" t="str">
        <f t="shared" si="3"/>
        <v>U</v>
      </c>
      <c r="I4" s="72"/>
      <c r="J4" s="56" t="str">
        <f t="shared" si="4"/>
        <v>U</v>
      </c>
      <c r="K4" s="73">
        <v>44.0</v>
      </c>
      <c r="L4" s="56" t="str">
        <f t="shared" si="5"/>
        <v>E</v>
      </c>
      <c r="M4" s="73">
        <v>43.0</v>
      </c>
      <c r="N4" s="56" t="str">
        <f t="shared" si="6"/>
        <v>E</v>
      </c>
      <c r="O4" s="72"/>
      <c r="P4" s="56" t="str">
        <f t="shared" si="7"/>
        <v>U</v>
      </c>
      <c r="Q4" s="73">
        <v>40.0</v>
      </c>
      <c r="R4" s="56" t="str">
        <f t="shared" si="8"/>
        <v>E</v>
      </c>
      <c r="S4" s="236"/>
      <c r="T4" s="56" t="str">
        <f t="shared" si="9"/>
        <v>U</v>
      </c>
      <c r="U4" s="121"/>
      <c r="V4" s="56" t="str">
        <f t="shared" si="10"/>
        <v>U</v>
      </c>
      <c r="W4" s="42"/>
      <c r="X4" s="233">
        <f t="shared" si="11"/>
        <v>42.6</v>
      </c>
      <c r="Y4" s="72">
        <f t="shared" si="12"/>
        <v>3</v>
      </c>
      <c r="Z4" s="134" t="s">
        <v>87</v>
      </c>
      <c r="AA4" s="134" t="s">
        <v>85</v>
      </c>
      <c r="AB4" s="134" t="s">
        <v>87</v>
      </c>
      <c r="AC4" s="134" t="s">
        <v>85</v>
      </c>
      <c r="AD4" s="134" t="s">
        <v>86</v>
      </c>
      <c r="AE4" s="83" t="s">
        <v>542</v>
      </c>
    </row>
    <row r="5" ht="15.75" customHeight="1">
      <c r="A5" s="42">
        <v>4.0</v>
      </c>
      <c r="B5" s="176" t="s">
        <v>543</v>
      </c>
      <c r="C5" s="63">
        <v>29.0</v>
      </c>
      <c r="D5" s="56" t="str">
        <f t="shared" si="1"/>
        <v>G</v>
      </c>
      <c r="E5" s="73">
        <v>36.0</v>
      </c>
      <c r="F5" s="56" t="str">
        <f t="shared" si="2"/>
        <v>F</v>
      </c>
      <c r="G5" s="72"/>
      <c r="H5" s="56" t="str">
        <f t="shared" si="3"/>
        <v>U</v>
      </c>
      <c r="I5" s="72"/>
      <c r="J5" s="56" t="str">
        <f t="shared" si="4"/>
        <v>U</v>
      </c>
      <c r="K5" s="73">
        <v>21.0</v>
      </c>
      <c r="L5" s="56" t="str">
        <f t="shared" si="5"/>
        <v>G</v>
      </c>
      <c r="M5" s="73">
        <v>14.0</v>
      </c>
      <c r="N5" s="56" t="str">
        <f t="shared" si="6"/>
        <v>U</v>
      </c>
      <c r="O5" s="72"/>
      <c r="P5" s="56" t="str">
        <f t="shared" si="7"/>
        <v>U</v>
      </c>
      <c r="Q5" s="73">
        <v>31.0</v>
      </c>
      <c r="R5" s="56" t="str">
        <f t="shared" si="8"/>
        <v>F</v>
      </c>
      <c r="S5" s="72"/>
      <c r="T5" s="56" t="str">
        <f t="shared" si="9"/>
        <v>U</v>
      </c>
      <c r="U5" s="121"/>
      <c r="V5" s="56" t="str">
        <f t="shared" si="10"/>
        <v>U</v>
      </c>
      <c r="W5" s="42"/>
      <c r="X5" s="233">
        <f t="shared" si="11"/>
        <v>26.2</v>
      </c>
      <c r="Y5" s="72">
        <f t="shared" si="12"/>
        <v>8</v>
      </c>
      <c r="Z5" s="134" t="s">
        <v>87</v>
      </c>
      <c r="AA5" s="134" t="s">
        <v>85</v>
      </c>
      <c r="AB5" s="134" t="s">
        <v>90</v>
      </c>
      <c r="AC5" s="134" t="s">
        <v>85</v>
      </c>
      <c r="AD5" s="134" t="s">
        <v>85</v>
      </c>
      <c r="AE5" s="81" t="s">
        <v>544</v>
      </c>
    </row>
    <row r="6" ht="15.75" customHeight="1">
      <c r="A6" s="42">
        <v>5.0</v>
      </c>
      <c r="B6" s="176" t="s">
        <v>545</v>
      </c>
      <c r="C6" s="63">
        <v>38.0</v>
      </c>
      <c r="D6" s="56" t="str">
        <f t="shared" si="1"/>
        <v>F</v>
      </c>
      <c r="E6" s="73">
        <v>7.0</v>
      </c>
      <c r="F6" s="56" t="str">
        <f t="shared" si="2"/>
        <v>U</v>
      </c>
      <c r="G6" s="72"/>
      <c r="H6" s="56" t="str">
        <f t="shared" si="3"/>
        <v>U</v>
      </c>
      <c r="I6" s="72"/>
      <c r="J6" s="56" t="str">
        <f t="shared" si="4"/>
        <v>U</v>
      </c>
      <c r="K6" s="73">
        <v>38.0</v>
      </c>
      <c r="L6" s="56" t="str">
        <f t="shared" si="5"/>
        <v>F</v>
      </c>
      <c r="M6" s="73">
        <v>33.0</v>
      </c>
      <c r="N6" s="56" t="str">
        <f t="shared" si="6"/>
        <v>F</v>
      </c>
      <c r="O6" s="72"/>
      <c r="P6" s="56" t="str">
        <f t="shared" si="7"/>
        <v>U</v>
      </c>
      <c r="Q6" s="73">
        <v>56.0</v>
      </c>
      <c r="R6" s="56" t="str">
        <f t="shared" si="8"/>
        <v>D</v>
      </c>
      <c r="S6" s="236"/>
      <c r="T6" s="56" t="str">
        <f t="shared" si="9"/>
        <v>U</v>
      </c>
      <c r="U6" s="121"/>
      <c r="V6" s="56" t="str">
        <f t="shared" si="10"/>
        <v>U</v>
      </c>
      <c r="W6" s="42"/>
      <c r="X6" s="233">
        <f t="shared" si="11"/>
        <v>34.4</v>
      </c>
      <c r="Y6" s="72">
        <f t="shared" si="12"/>
        <v>7</v>
      </c>
      <c r="Z6" s="134" t="s">
        <v>85</v>
      </c>
      <c r="AA6" s="134" t="s">
        <v>85</v>
      </c>
      <c r="AB6" s="134" t="s">
        <v>87</v>
      </c>
      <c r="AC6" s="134" t="s">
        <v>85</v>
      </c>
      <c r="AD6" s="134" t="s">
        <v>85</v>
      </c>
      <c r="AE6" s="83" t="s">
        <v>546</v>
      </c>
    </row>
    <row r="7" ht="24.75" customHeight="1">
      <c r="A7" s="121">
        <v>6.0</v>
      </c>
      <c r="B7" s="176" t="s">
        <v>547</v>
      </c>
      <c r="C7" s="63">
        <v>48.0</v>
      </c>
      <c r="D7" s="56" t="str">
        <f t="shared" si="1"/>
        <v>E</v>
      </c>
      <c r="E7" s="73">
        <v>38.0</v>
      </c>
      <c r="F7" s="56" t="str">
        <f t="shared" si="2"/>
        <v>F</v>
      </c>
      <c r="G7" s="72"/>
      <c r="H7" s="56" t="str">
        <f t="shared" si="3"/>
        <v>U</v>
      </c>
      <c r="I7" s="72"/>
      <c r="J7" s="56" t="str">
        <f t="shared" si="4"/>
        <v>U</v>
      </c>
      <c r="K7" s="73">
        <v>43.0</v>
      </c>
      <c r="L7" s="56" t="str">
        <f t="shared" si="5"/>
        <v>E</v>
      </c>
      <c r="M7" s="73">
        <v>19.0</v>
      </c>
      <c r="N7" s="56" t="str">
        <f t="shared" si="6"/>
        <v>U</v>
      </c>
      <c r="O7" s="72"/>
      <c r="P7" s="56" t="str">
        <f t="shared" si="7"/>
        <v>U</v>
      </c>
      <c r="Q7" s="72"/>
      <c r="R7" s="56" t="str">
        <f t="shared" si="8"/>
        <v>U</v>
      </c>
      <c r="S7" s="236"/>
      <c r="T7" s="56" t="str">
        <f t="shared" si="9"/>
        <v>U</v>
      </c>
      <c r="U7" s="121">
        <v>58.0</v>
      </c>
      <c r="V7" s="56" t="str">
        <f t="shared" si="10"/>
        <v>D</v>
      </c>
      <c r="W7" s="42"/>
      <c r="X7" s="233">
        <f t="shared" si="11"/>
        <v>41.2</v>
      </c>
      <c r="Y7" s="72">
        <f t="shared" si="12"/>
        <v>5</v>
      </c>
      <c r="Z7" s="134" t="s">
        <v>90</v>
      </c>
      <c r="AA7" s="134" t="s">
        <v>87</v>
      </c>
      <c r="AB7" s="134" t="s">
        <v>85</v>
      </c>
      <c r="AC7" s="134" t="s">
        <v>85</v>
      </c>
      <c r="AD7" s="134" t="s">
        <v>87</v>
      </c>
      <c r="AE7" s="129" t="s">
        <v>548</v>
      </c>
    </row>
    <row r="8" ht="15.75" customHeight="1">
      <c r="A8" s="42">
        <v>7.0</v>
      </c>
      <c r="B8" s="176" t="s">
        <v>549</v>
      </c>
      <c r="C8" s="63">
        <v>36.0</v>
      </c>
      <c r="D8" s="56" t="str">
        <f t="shared" si="1"/>
        <v>F</v>
      </c>
      <c r="E8" s="73">
        <v>31.0</v>
      </c>
      <c r="F8" s="56" t="str">
        <f t="shared" si="2"/>
        <v>F</v>
      </c>
      <c r="G8" s="73">
        <v>50.0</v>
      </c>
      <c r="H8" s="56" t="str">
        <f t="shared" si="3"/>
        <v>D</v>
      </c>
      <c r="I8" s="73">
        <v>36.0</v>
      </c>
      <c r="J8" s="56" t="str">
        <f t="shared" si="4"/>
        <v>F</v>
      </c>
      <c r="K8" s="72"/>
      <c r="L8" s="56" t="str">
        <f t="shared" si="5"/>
        <v>U</v>
      </c>
      <c r="M8" s="72"/>
      <c r="N8" s="56" t="str">
        <f t="shared" si="6"/>
        <v>U</v>
      </c>
      <c r="O8" s="72"/>
      <c r="P8" s="56" t="str">
        <f t="shared" si="7"/>
        <v>U</v>
      </c>
      <c r="Q8" s="73">
        <v>45.0</v>
      </c>
      <c r="R8" s="56" t="str">
        <f t="shared" si="8"/>
        <v>E</v>
      </c>
      <c r="S8" s="73">
        <v>50.0</v>
      </c>
      <c r="T8" s="56" t="str">
        <f t="shared" si="9"/>
        <v>D</v>
      </c>
      <c r="U8" s="121"/>
      <c r="V8" s="56" t="str">
        <f t="shared" si="10"/>
        <v>U</v>
      </c>
      <c r="W8" s="42"/>
      <c r="X8" s="233">
        <f t="shared" si="11"/>
        <v>41.33333333</v>
      </c>
      <c r="Y8" s="72">
        <f t="shared" si="12"/>
        <v>4</v>
      </c>
      <c r="Z8" s="134" t="s">
        <v>87</v>
      </c>
      <c r="AA8" s="134" t="s">
        <v>86</v>
      </c>
      <c r="AB8" s="134" t="s">
        <v>85</v>
      </c>
      <c r="AC8" s="134" t="s">
        <v>86</v>
      </c>
      <c r="AD8" s="134" t="s">
        <v>85</v>
      </c>
      <c r="AE8" s="83" t="s">
        <v>550</v>
      </c>
    </row>
    <row r="9" ht="15.75" customHeight="1">
      <c r="A9" s="42">
        <v>8.0</v>
      </c>
      <c r="B9" s="176" t="s">
        <v>520</v>
      </c>
      <c r="C9" s="63">
        <v>38.0</v>
      </c>
      <c r="D9" s="56" t="str">
        <f t="shared" si="1"/>
        <v>F</v>
      </c>
      <c r="E9" s="73">
        <v>38.0</v>
      </c>
      <c r="F9" s="56" t="str">
        <f t="shared" si="2"/>
        <v>F</v>
      </c>
      <c r="G9" s="73">
        <v>32.0</v>
      </c>
      <c r="H9" s="56" t="str">
        <f t="shared" si="3"/>
        <v>F</v>
      </c>
      <c r="I9" s="72"/>
      <c r="J9" s="56" t="str">
        <f t="shared" si="4"/>
        <v>U</v>
      </c>
      <c r="K9" s="73">
        <v>36.0</v>
      </c>
      <c r="L9" s="56" t="str">
        <f t="shared" si="5"/>
        <v>F</v>
      </c>
      <c r="M9" s="72"/>
      <c r="N9" s="56" t="str">
        <f t="shared" si="6"/>
        <v>U</v>
      </c>
      <c r="O9" s="72"/>
      <c r="P9" s="56" t="str">
        <f t="shared" si="7"/>
        <v>U</v>
      </c>
      <c r="Q9" s="72"/>
      <c r="R9" s="56" t="str">
        <f t="shared" si="8"/>
        <v>U</v>
      </c>
      <c r="S9" s="236"/>
      <c r="T9" s="56" t="str">
        <f t="shared" si="9"/>
        <v>U</v>
      </c>
      <c r="U9" s="121">
        <v>61.0</v>
      </c>
      <c r="V9" s="56" t="str">
        <f t="shared" si="10"/>
        <v>C</v>
      </c>
      <c r="W9" s="42"/>
      <c r="X9" s="233">
        <f t="shared" si="11"/>
        <v>41</v>
      </c>
      <c r="Y9" s="72">
        <f t="shared" si="12"/>
        <v>6</v>
      </c>
      <c r="Z9" s="134" t="s">
        <v>86</v>
      </c>
      <c r="AA9" s="134" t="s">
        <v>85</v>
      </c>
      <c r="AB9" s="134" t="s">
        <v>87</v>
      </c>
      <c r="AC9" s="134" t="s">
        <v>85</v>
      </c>
      <c r="AD9" s="134" t="s">
        <v>85</v>
      </c>
      <c r="AE9" s="83" t="s">
        <v>551</v>
      </c>
    </row>
    <row r="10" ht="22.5" customHeight="1">
      <c r="A10" s="121">
        <v>9.0</v>
      </c>
      <c r="B10" s="94" t="s">
        <v>552</v>
      </c>
      <c r="C10" s="63">
        <v>36.0</v>
      </c>
      <c r="D10" s="56" t="str">
        <f t="shared" si="1"/>
        <v>F</v>
      </c>
      <c r="E10" s="73">
        <v>38.0</v>
      </c>
      <c r="F10" s="56" t="str">
        <f t="shared" si="2"/>
        <v>F</v>
      </c>
      <c r="G10" s="73"/>
      <c r="H10" s="56" t="str">
        <f t="shared" si="3"/>
        <v>U</v>
      </c>
      <c r="I10" s="72"/>
      <c r="J10" s="56" t="str">
        <f t="shared" si="4"/>
        <v>U</v>
      </c>
      <c r="K10" s="73">
        <v>61.0</v>
      </c>
      <c r="L10" s="56" t="str">
        <f t="shared" si="5"/>
        <v>C</v>
      </c>
      <c r="M10" s="72"/>
      <c r="N10" s="56" t="str">
        <f t="shared" si="6"/>
        <v>U</v>
      </c>
      <c r="O10" s="72"/>
      <c r="P10" s="56" t="str">
        <f t="shared" si="7"/>
        <v>U</v>
      </c>
      <c r="Q10" s="72"/>
      <c r="R10" s="56" t="str">
        <f t="shared" si="8"/>
        <v>U</v>
      </c>
      <c r="S10" s="236"/>
      <c r="T10" s="56" t="str">
        <f t="shared" si="9"/>
        <v>U</v>
      </c>
      <c r="U10" s="121">
        <v>68.0</v>
      </c>
      <c r="V10" s="56" t="str">
        <f t="shared" si="10"/>
        <v>C</v>
      </c>
      <c r="W10" s="42"/>
      <c r="X10" s="233">
        <f t="shared" si="11"/>
        <v>50.75</v>
      </c>
      <c r="Y10" s="72" t="str">
        <f t="shared" si="12"/>
        <v>#N/A</v>
      </c>
      <c r="Z10" s="176"/>
      <c r="AA10" s="176"/>
      <c r="AB10" s="176"/>
      <c r="AC10" s="176"/>
      <c r="AD10" s="176"/>
      <c r="AE10" s="193"/>
    </row>
    <row r="11" ht="22.5" customHeight="1">
      <c r="A11" s="42">
        <v>10.0</v>
      </c>
      <c r="B11" s="95"/>
      <c r="C11" s="63"/>
      <c r="D11" s="56" t="str">
        <f t="shared" si="1"/>
        <v>U</v>
      </c>
      <c r="E11" s="72"/>
      <c r="F11" s="56" t="str">
        <f t="shared" si="2"/>
        <v>U</v>
      </c>
      <c r="G11" s="72"/>
      <c r="H11" s="56" t="str">
        <f t="shared" si="3"/>
        <v>U</v>
      </c>
      <c r="I11" s="72"/>
      <c r="J11" s="56" t="str">
        <f t="shared" si="4"/>
        <v>U</v>
      </c>
      <c r="K11" s="72"/>
      <c r="L11" s="56" t="str">
        <f t="shared" si="5"/>
        <v>U</v>
      </c>
      <c r="M11" s="72"/>
      <c r="N11" s="56" t="str">
        <f t="shared" si="6"/>
        <v>U</v>
      </c>
      <c r="O11" s="72"/>
      <c r="P11" s="56" t="str">
        <f t="shared" si="7"/>
        <v>U</v>
      </c>
      <c r="Q11" s="72"/>
      <c r="R11" s="56" t="str">
        <f t="shared" si="8"/>
        <v>U</v>
      </c>
      <c r="S11" s="236"/>
      <c r="T11" s="56" t="str">
        <f t="shared" si="9"/>
        <v>U</v>
      </c>
      <c r="U11" s="42"/>
      <c r="V11" s="56" t="str">
        <f t="shared" si="10"/>
        <v>U</v>
      </c>
      <c r="W11" s="42"/>
      <c r="X11" s="233" t="str">
        <f t="shared" si="11"/>
        <v>#DIV/0!</v>
      </c>
      <c r="Y11" s="72" t="str">
        <f t="shared" si="12"/>
        <v>#DIV/0!</v>
      </c>
      <c r="Z11" s="176"/>
      <c r="AA11" s="176"/>
      <c r="AB11" s="176"/>
      <c r="AC11" s="176"/>
      <c r="AD11" s="176"/>
      <c r="AE11" s="193"/>
    </row>
    <row r="12" ht="15.75" customHeight="1">
      <c r="B12" s="101"/>
      <c r="C12" s="147"/>
      <c r="D12" s="103"/>
      <c r="E12" s="33"/>
      <c r="F12" s="105"/>
      <c r="G12" s="33"/>
      <c r="H12" s="105"/>
      <c r="I12" s="33"/>
      <c r="J12" s="105"/>
      <c r="K12" s="33"/>
      <c r="L12" s="105"/>
      <c r="M12" s="33"/>
      <c r="N12" s="105"/>
      <c r="O12" s="33"/>
      <c r="P12" s="105"/>
      <c r="Q12" s="33"/>
      <c r="R12" s="105"/>
      <c r="S12" s="33"/>
      <c r="T12" s="101"/>
      <c r="U12" s="33"/>
      <c r="V12" s="101"/>
      <c r="W12" s="101"/>
      <c r="X12" s="101"/>
      <c r="Y12" s="101"/>
      <c r="Z12" s="101"/>
      <c r="AA12" s="101"/>
      <c r="AE12" s="174"/>
    </row>
    <row r="13" ht="15.75" customHeight="1">
      <c r="B13" s="101"/>
      <c r="C13" s="147"/>
      <c r="D13" s="103"/>
      <c r="E13" s="33"/>
      <c r="F13" s="105"/>
      <c r="G13" s="33"/>
      <c r="H13" s="105"/>
      <c r="I13" s="33"/>
      <c r="J13" s="105"/>
      <c r="K13" s="33"/>
      <c r="L13" s="105"/>
      <c r="M13" s="33"/>
      <c r="N13" s="105"/>
      <c r="O13" s="33"/>
      <c r="P13" s="105"/>
      <c r="Q13" s="33"/>
      <c r="R13" s="105"/>
      <c r="S13" s="33"/>
      <c r="T13" s="101"/>
      <c r="U13" s="33"/>
      <c r="V13" s="101"/>
      <c r="W13" s="101"/>
      <c r="X13" s="101"/>
      <c r="Y13" s="101"/>
      <c r="Z13" s="101"/>
      <c r="AA13" s="101"/>
      <c r="AE13" s="174"/>
    </row>
    <row r="14" ht="15.75" customHeight="1">
      <c r="B14" s="101" t="s">
        <v>33</v>
      </c>
      <c r="C14" s="237">
        <f>AVERAGE(C2:C9)</f>
        <v>38.25</v>
      </c>
      <c r="D14" s="238"/>
      <c r="E14" s="237">
        <f>AVERAGE(E2:E9)</f>
        <v>39.25</v>
      </c>
      <c r="F14" s="105"/>
      <c r="G14" s="237">
        <f>AVERAGE(G2:G9)</f>
        <v>41</v>
      </c>
      <c r="H14" s="105"/>
      <c r="I14" s="237">
        <f>AVERAGE(I2:I9)</f>
        <v>44.66666667</v>
      </c>
      <c r="J14" s="105"/>
      <c r="K14" s="237">
        <f>AVERAGE(K2:K9)</f>
        <v>40.5</v>
      </c>
      <c r="L14" s="105"/>
      <c r="M14" s="237">
        <f>AVERAGE(M2:M9)</f>
        <v>32.2</v>
      </c>
      <c r="N14" s="105"/>
      <c r="O14" s="237" t="str">
        <f>AVERAGE(O2:O9)</f>
        <v>#DIV/0!</v>
      </c>
      <c r="P14" s="105"/>
      <c r="Q14" s="237">
        <f>AVERAGE(Q2:Q9)</f>
        <v>44.2</v>
      </c>
      <c r="R14" s="105"/>
      <c r="S14" s="237">
        <f>AVERAGE(S2:S9)</f>
        <v>44</v>
      </c>
      <c r="T14" s="101"/>
      <c r="U14" s="237">
        <f>AVERAGE(U2:U9)</f>
        <v>59.33333333</v>
      </c>
      <c r="V14" s="101"/>
      <c r="W14" s="101"/>
      <c r="X14" s="101"/>
      <c r="Y14" s="101"/>
      <c r="Z14" s="101"/>
      <c r="AA14" s="101"/>
      <c r="AE14" s="174"/>
    </row>
    <row r="15" ht="15.75" customHeight="1">
      <c r="B15" s="101" t="s">
        <v>34</v>
      </c>
      <c r="C15" s="104">
        <f>COUNT(C2:C9)</f>
        <v>8</v>
      </c>
      <c r="D15" s="104"/>
      <c r="E15" s="104">
        <f>COUNT(E2:E9)</f>
        <v>8</v>
      </c>
      <c r="F15" s="105"/>
      <c r="G15" s="104">
        <f>COUNT(G2:G9)</f>
        <v>3</v>
      </c>
      <c r="H15" s="105"/>
      <c r="I15" s="104">
        <f>COUNT(I2:I9)</f>
        <v>3</v>
      </c>
      <c r="J15" s="105"/>
      <c r="K15" s="104">
        <f>COUNT(K2:K9)</f>
        <v>6</v>
      </c>
      <c r="L15" s="105"/>
      <c r="M15" s="104">
        <f>COUNT(M2:M9)</f>
        <v>5</v>
      </c>
      <c r="N15" s="105"/>
      <c r="O15" s="104">
        <f>COUNT(O2:O9)</f>
        <v>0</v>
      </c>
      <c r="P15" s="105"/>
      <c r="Q15" s="104">
        <f>COUNT(Q2:Q9)</f>
        <v>5</v>
      </c>
      <c r="R15" s="105"/>
      <c r="S15" s="104">
        <f>COUNT(S2:S9)</f>
        <v>2</v>
      </c>
      <c r="T15" s="101"/>
      <c r="U15" s="104">
        <f>COUNT(U2:U9)</f>
        <v>3</v>
      </c>
      <c r="V15" s="101"/>
      <c r="W15" s="101"/>
      <c r="X15" s="101"/>
      <c r="Y15" s="101"/>
      <c r="Z15" s="101"/>
      <c r="AA15" s="101"/>
      <c r="AE15" s="174"/>
    </row>
    <row r="16" ht="15.75" customHeight="1">
      <c r="B16" s="101" t="s">
        <v>35</v>
      </c>
      <c r="C16" s="104">
        <f>COUNTIF(C2:C9,"&gt;49")</f>
        <v>0</v>
      </c>
      <c r="D16" s="104"/>
      <c r="E16" s="104">
        <f>COUNTIF(E2:E9,"&gt;49")</f>
        <v>1</v>
      </c>
      <c r="F16" s="105"/>
      <c r="G16" s="104">
        <f>COUNTIF(G2:G9,"&gt;49")</f>
        <v>1</v>
      </c>
      <c r="H16" s="105"/>
      <c r="I16" s="104">
        <f>COUNTIF(I2:I9,"&gt;49")</f>
        <v>1</v>
      </c>
      <c r="J16" s="105"/>
      <c r="K16" s="104">
        <f>COUNTIF(K2:K9,"&gt;49")</f>
        <v>1</v>
      </c>
      <c r="L16" s="105"/>
      <c r="M16" s="104">
        <f>COUNTIF(M2:M9,"&gt;49")</f>
        <v>1</v>
      </c>
      <c r="N16" s="105"/>
      <c r="O16" s="104">
        <f>COUNTIF(O2:O9,"&gt;49")</f>
        <v>0</v>
      </c>
      <c r="P16" s="105"/>
      <c r="Q16" s="104">
        <f>COUNTIF(Q2:Q9,"&gt;49")</f>
        <v>1</v>
      </c>
      <c r="R16" s="105"/>
      <c r="S16" s="104">
        <f>COUNTIF(S2:S9,"&gt;49")</f>
        <v>1</v>
      </c>
      <c r="T16" s="101"/>
      <c r="U16" s="104">
        <f>COUNTIF(U2:U9,"&gt;49")</f>
        <v>3</v>
      </c>
      <c r="V16" s="101"/>
      <c r="W16" s="101"/>
      <c r="X16" s="101"/>
      <c r="Y16" s="101"/>
      <c r="Z16" s="101"/>
      <c r="AA16" s="101"/>
      <c r="AE16" s="174"/>
    </row>
    <row r="17" ht="15.75" customHeight="1">
      <c r="B17" s="101" t="s">
        <v>36</v>
      </c>
      <c r="C17" s="104">
        <f>COUNTIF(C2:C9,"&lt;50")</f>
        <v>8</v>
      </c>
      <c r="D17" s="104"/>
      <c r="E17" s="104">
        <f>COUNTIF(E2:E9,"&lt;50")</f>
        <v>7</v>
      </c>
      <c r="F17" s="105"/>
      <c r="G17" s="104">
        <f>COUNTIF(G2:G9,"&lt;50")</f>
        <v>2</v>
      </c>
      <c r="H17" s="105"/>
      <c r="I17" s="104">
        <f>COUNTIF(I2:I9,"&lt;50")</f>
        <v>2</v>
      </c>
      <c r="J17" s="105"/>
      <c r="K17" s="104">
        <f>COUNTIF(K2:K9,"&lt;50")</f>
        <v>5</v>
      </c>
      <c r="L17" s="105"/>
      <c r="M17" s="104">
        <f>COUNTIF(M2:M9,"&lt;50")</f>
        <v>4</v>
      </c>
      <c r="N17" s="105"/>
      <c r="O17" s="104">
        <f>COUNTIF(O2:O9,"&lt;50")</f>
        <v>0</v>
      </c>
      <c r="P17" s="105"/>
      <c r="Q17" s="104">
        <f>COUNTIF(Q2:Q9,"&lt;50")</f>
        <v>4</v>
      </c>
      <c r="R17" s="105"/>
      <c r="S17" s="104">
        <f>COUNTIF(S2:S9,"&lt;50")</f>
        <v>1</v>
      </c>
      <c r="T17" s="101"/>
      <c r="U17" s="104">
        <f>COUNTIF(U2:U9,"&lt;50")</f>
        <v>0</v>
      </c>
      <c r="V17" s="101"/>
      <c r="W17" s="101"/>
      <c r="X17" s="101"/>
      <c r="Y17" s="101"/>
      <c r="Z17" s="101"/>
      <c r="AA17" s="101"/>
      <c r="AE17" s="174"/>
    </row>
    <row r="18" ht="15.75" customHeight="1">
      <c r="B18" s="31" t="s">
        <v>37</v>
      </c>
      <c r="C18" s="107">
        <f>C16*100/C15</f>
        <v>0</v>
      </c>
      <c r="D18" s="109"/>
      <c r="E18" s="107">
        <f>E16*100/E15</f>
        <v>12.5</v>
      </c>
      <c r="F18" s="110"/>
      <c r="G18" s="107">
        <f>G16*100/G15</f>
        <v>33.33333333</v>
      </c>
      <c r="H18" s="110"/>
      <c r="I18" s="107">
        <f>I16*100/I15</f>
        <v>33.33333333</v>
      </c>
      <c r="J18" s="110"/>
      <c r="K18" s="107">
        <f>K16*100/K15</f>
        <v>16.66666667</v>
      </c>
      <c r="L18" s="110"/>
      <c r="M18" s="107">
        <f>M16*100/M15</f>
        <v>20</v>
      </c>
      <c r="N18" s="110"/>
      <c r="O18" s="107" t="str">
        <f>O16*100/O15</f>
        <v>#DIV/0!</v>
      </c>
      <c r="P18" s="110"/>
      <c r="Q18" s="107">
        <f>Q16*100/Q15</f>
        <v>20</v>
      </c>
      <c r="R18" s="110"/>
      <c r="S18" s="107">
        <f>S16*100/S15</f>
        <v>50</v>
      </c>
      <c r="T18" s="31"/>
      <c r="U18" s="107">
        <f>U16*100/U15</f>
        <v>100</v>
      </c>
      <c r="V18" s="31"/>
      <c r="W18" s="31"/>
      <c r="X18" s="31"/>
      <c r="Y18" s="31"/>
      <c r="Z18" s="31"/>
      <c r="AA18" s="31"/>
      <c r="AE18" s="174"/>
    </row>
    <row r="19" ht="15.75" customHeight="1">
      <c r="C19" s="98"/>
      <c r="D19" s="98"/>
      <c r="E19" s="39"/>
      <c r="F19" s="39"/>
      <c r="G19" s="39"/>
      <c r="H19" s="39"/>
      <c r="I19" s="39"/>
      <c r="J19" s="39"/>
      <c r="K19" s="39"/>
      <c r="L19" s="39"/>
      <c r="M19" s="39"/>
      <c r="N19" s="39"/>
      <c r="O19" s="39"/>
      <c r="P19" s="39"/>
      <c r="Q19" s="39"/>
      <c r="R19" s="39"/>
      <c r="S19" s="239"/>
      <c r="AE19" s="174"/>
    </row>
    <row r="20" ht="15.75" customHeight="1">
      <c r="C20" s="98"/>
      <c r="D20" s="98"/>
      <c r="E20" s="39"/>
      <c r="F20" s="39"/>
      <c r="G20" s="39"/>
      <c r="H20" s="39"/>
      <c r="I20" s="39"/>
      <c r="J20" s="39"/>
      <c r="K20" s="39"/>
      <c r="L20" s="39"/>
      <c r="M20" s="39"/>
      <c r="N20" s="39"/>
      <c r="O20" s="39"/>
      <c r="P20" s="39"/>
      <c r="Q20" s="39"/>
      <c r="R20" s="39"/>
      <c r="S20" s="239"/>
      <c r="AE20" s="174"/>
    </row>
    <row r="21" ht="15.75" customHeight="1">
      <c r="A21" s="26" t="s">
        <v>139</v>
      </c>
      <c r="B21" s="26">
        <v>0.0</v>
      </c>
      <c r="C21" s="113" t="s">
        <v>140</v>
      </c>
      <c r="D21" s="98"/>
      <c r="E21" s="39"/>
      <c r="F21" s="39"/>
      <c r="G21" s="39"/>
      <c r="H21" s="39"/>
      <c r="I21" s="39"/>
      <c r="J21" s="39"/>
      <c r="K21" s="39"/>
      <c r="L21" s="39"/>
      <c r="M21" s="39"/>
      <c r="N21" s="39"/>
      <c r="O21" s="39"/>
      <c r="P21" s="39"/>
      <c r="Q21" s="39"/>
      <c r="R21" s="39"/>
      <c r="S21" s="239"/>
      <c r="AE21" s="174"/>
    </row>
    <row r="22" ht="15.75" customHeight="1">
      <c r="A22" s="26" t="s">
        <v>141</v>
      </c>
      <c r="B22" s="26">
        <v>20.0</v>
      </c>
      <c r="C22" s="113" t="s">
        <v>142</v>
      </c>
      <c r="D22" s="98"/>
      <c r="E22" s="39"/>
      <c r="F22" s="39"/>
      <c r="G22" s="39"/>
      <c r="H22" s="39"/>
      <c r="I22" s="39"/>
      <c r="J22" s="39"/>
      <c r="K22" s="39"/>
      <c r="L22" s="39"/>
      <c r="M22" s="39"/>
      <c r="N22" s="39"/>
      <c r="O22" s="39"/>
      <c r="P22" s="39"/>
      <c r="Q22" s="39"/>
      <c r="R22" s="39"/>
      <c r="S22" s="239"/>
      <c r="AE22" s="174"/>
    </row>
    <row r="23" ht="15.75" customHeight="1">
      <c r="A23" s="114" t="s">
        <v>143</v>
      </c>
      <c r="B23" s="115">
        <v>30.0</v>
      </c>
      <c r="C23" s="114" t="s">
        <v>144</v>
      </c>
      <c r="D23" s="98"/>
      <c r="E23" s="39"/>
      <c r="F23" s="39"/>
      <c r="G23" s="39"/>
      <c r="H23" s="39"/>
      <c r="I23" s="39"/>
      <c r="J23" s="39"/>
      <c r="K23" s="39"/>
      <c r="L23" s="39"/>
      <c r="M23" s="39"/>
      <c r="N23" s="39"/>
      <c r="O23" s="39"/>
      <c r="P23" s="39"/>
      <c r="Q23" s="39"/>
      <c r="R23" s="39"/>
      <c r="S23" s="239"/>
      <c r="AE23" s="174"/>
    </row>
    <row r="24" ht="15.75" customHeight="1">
      <c r="A24" s="114" t="s">
        <v>145</v>
      </c>
      <c r="B24" s="115">
        <v>40.0</v>
      </c>
      <c r="C24" s="114" t="s">
        <v>146</v>
      </c>
      <c r="D24" s="98"/>
      <c r="E24" s="39"/>
      <c r="F24" s="39"/>
      <c r="G24" s="39"/>
      <c r="H24" s="39"/>
      <c r="I24" s="39"/>
      <c r="J24" s="39"/>
      <c r="K24" s="39"/>
      <c r="L24" s="39"/>
      <c r="M24" s="39"/>
      <c r="N24" s="39"/>
      <c r="O24" s="39"/>
      <c r="P24" s="39"/>
      <c r="Q24" s="39"/>
      <c r="R24" s="39"/>
      <c r="S24" s="239"/>
      <c r="AE24" s="174"/>
    </row>
    <row r="25" ht="15.75" customHeight="1">
      <c r="A25" s="114" t="s">
        <v>147</v>
      </c>
      <c r="B25" s="115">
        <v>50.0</v>
      </c>
      <c r="C25" s="114" t="s">
        <v>93</v>
      </c>
      <c r="D25" s="98"/>
      <c r="E25" s="39"/>
      <c r="F25" s="39"/>
      <c r="G25" s="39"/>
      <c r="H25" s="39"/>
      <c r="I25" s="39"/>
      <c r="J25" s="39"/>
      <c r="K25" s="39"/>
      <c r="L25" s="39"/>
      <c r="M25" s="39"/>
      <c r="N25" s="39"/>
      <c r="O25" s="39"/>
      <c r="P25" s="39"/>
      <c r="Q25" s="39"/>
      <c r="R25" s="39"/>
      <c r="S25" s="239"/>
      <c r="AE25" s="174"/>
    </row>
    <row r="26" ht="15.75" customHeight="1">
      <c r="A26" s="114" t="s">
        <v>148</v>
      </c>
      <c r="B26" s="115">
        <v>60.0</v>
      </c>
      <c r="C26" s="114" t="s">
        <v>90</v>
      </c>
      <c r="D26" s="98"/>
      <c r="E26" s="39"/>
      <c r="F26" s="39"/>
      <c r="G26" s="39"/>
      <c r="H26" s="39"/>
      <c r="I26" s="39"/>
      <c r="J26" s="39"/>
      <c r="K26" s="39"/>
      <c r="L26" s="39"/>
      <c r="M26" s="39"/>
      <c r="N26" s="39"/>
      <c r="O26" s="39"/>
      <c r="P26" s="39"/>
      <c r="Q26" s="39"/>
      <c r="R26" s="39"/>
      <c r="S26" s="239"/>
      <c r="AE26" s="174"/>
    </row>
    <row r="27" ht="15.75" customHeight="1">
      <c r="A27" s="114" t="s">
        <v>149</v>
      </c>
      <c r="B27" s="115">
        <v>70.0</v>
      </c>
      <c r="C27" s="114" t="s">
        <v>87</v>
      </c>
      <c r="D27" s="98"/>
      <c r="E27" s="39"/>
      <c r="F27" s="39"/>
      <c r="G27" s="39"/>
      <c r="H27" s="39"/>
      <c r="I27" s="39"/>
      <c r="J27" s="39"/>
      <c r="K27" s="39"/>
      <c r="L27" s="39"/>
      <c r="M27" s="39"/>
      <c r="N27" s="39"/>
      <c r="O27" s="39"/>
      <c r="P27" s="39"/>
      <c r="Q27" s="39"/>
      <c r="R27" s="39"/>
      <c r="S27" s="239"/>
      <c r="AE27" s="174"/>
    </row>
    <row r="28" ht="15.75" customHeight="1">
      <c r="A28" s="116" t="s">
        <v>150</v>
      </c>
      <c r="B28" s="117">
        <v>80.0</v>
      </c>
      <c r="C28" s="116" t="s">
        <v>85</v>
      </c>
      <c r="D28" s="98"/>
      <c r="E28" s="39"/>
      <c r="F28" s="39"/>
      <c r="G28" s="39"/>
      <c r="H28" s="39"/>
      <c r="I28" s="39"/>
      <c r="J28" s="39"/>
      <c r="K28" s="39"/>
      <c r="L28" s="39"/>
      <c r="M28" s="39"/>
      <c r="N28" s="39"/>
      <c r="O28" s="39"/>
      <c r="P28" s="39"/>
      <c r="Q28" s="39"/>
      <c r="R28" s="39"/>
      <c r="S28" s="239"/>
      <c r="AE28" s="174"/>
    </row>
    <row r="29" ht="15.75" customHeight="1">
      <c r="A29" s="116" t="s">
        <v>151</v>
      </c>
      <c r="B29" s="117">
        <v>90.0</v>
      </c>
      <c r="C29" s="116" t="s">
        <v>152</v>
      </c>
      <c r="D29" s="98"/>
      <c r="E29" s="39"/>
      <c r="F29" s="39"/>
      <c r="G29" s="39"/>
      <c r="H29" s="39"/>
      <c r="I29" s="39"/>
      <c r="J29" s="39"/>
      <c r="K29" s="39"/>
      <c r="L29" s="39"/>
      <c r="M29" s="39"/>
      <c r="N29" s="39"/>
      <c r="O29" s="39"/>
      <c r="P29" s="39"/>
      <c r="Q29" s="39"/>
      <c r="R29" s="39"/>
      <c r="S29" s="239"/>
      <c r="AE29" s="174"/>
    </row>
    <row r="30" ht="15.75" customHeight="1">
      <c r="C30" s="98"/>
      <c r="D30" s="98"/>
      <c r="E30" s="39"/>
      <c r="F30" s="39"/>
      <c r="G30" s="39"/>
      <c r="H30" s="39"/>
      <c r="I30" s="39"/>
      <c r="J30" s="39"/>
      <c r="K30" s="39"/>
      <c r="L30" s="39"/>
      <c r="M30" s="39"/>
      <c r="N30" s="39"/>
      <c r="O30" s="39"/>
      <c r="P30" s="39"/>
      <c r="Q30" s="39"/>
      <c r="R30" s="39"/>
      <c r="S30" s="239"/>
      <c r="AE30" s="174"/>
    </row>
    <row r="31" ht="15.75" customHeight="1">
      <c r="C31" s="98"/>
      <c r="D31" s="98"/>
      <c r="E31" s="39"/>
      <c r="F31" s="39"/>
      <c r="G31" s="39"/>
      <c r="H31" s="39"/>
      <c r="I31" s="39"/>
      <c r="J31" s="39"/>
      <c r="K31" s="39"/>
      <c r="L31" s="39"/>
      <c r="M31" s="39"/>
      <c r="N31" s="39"/>
      <c r="O31" s="39"/>
      <c r="P31" s="39"/>
      <c r="Q31" s="39"/>
      <c r="R31" s="39"/>
      <c r="S31" s="239"/>
      <c r="AE31" s="174"/>
    </row>
    <row r="32" ht="15.75" customHeight="1">
      <c r="C32" s="98"/>
      <c r="D32" s="98"/>
      <c r="E32" s="39"/>
      <c r="F32" s="39"/>
      <c r="G32" s="39"/>
      <c r="H32" s="39"/>
      <c r="I32" s="39"/>
      <c r="J32" s="39"/>
      <c r="K32" s="39"/>
      <c r="L32" s="39"/>
      <c r="M32" s="39"/>
      <c r="N32" s="39"/>
      <c r="O32" s="39"/>
      <c r="P32" s="39"/>
      <c r="Q32" s="39"/>
      <c r="R32" s="39"/>
      <c r="S32" s="239"/>
      <c r="AE32" s="174"/>
    </row>
    <row r="33" ht="15.75" customHeight="1">
      <c r="C33" s="98"/>
      <c r="D33" s="98"/>
      <c r="E33" s="39"/>
      <c r="F33" s="39"/>
      <c r="G33" s="39"/>
      <c r="H33" s="39"/>
      <c r="I33" s="39"/>
      <c r="J33" s="39"/>
      <c r="K33" s="39"/>
      <c r="L33" s="39"/>
      <c r="M33" s="39"/>
      <c r="N33" s="39"/>
      <c r="O33" s="39"/>
      <c r="P33" s="39"/>
      <c r="Q33" s="39"/>
      <c r="R33" s="39"/>
      <c r="S33" s="239"/>
      <c r="AE33" s="174"/>
    </row>
    <row r="34" ht="15.75" customHeight="1">
      <c r="C34" s="98"/>
      <c r="D34" s="98"/>
      <c r="E34" s="39"/>
      <c r="F34" s="39"/>
      <c r="G34" s="39"/>
      <c r="H34" s="39"/>
      <c r="I34" s="39"/>
      <c r="J34" s="39"/>
      <c r="K34" s="39"/>
      <c r="L34" s="39"/>
      <c r="M34" s="39"/>
      <c r="N34" s="39"/>
      <c r="O34" s="39"/>
      <c r="P34" s="39"/>
      <c r="Q34" s="39"/>
      <c r="R34" s="39"/>
      <c r="S34" s="239"/>
      <c r="AE34" s="174"/>
    </row>
    <row r="35" ht="15.75" customHeight="1">
      <c r="C35" s="98"/>
      <c r="D35" s="98"/>
      <c r="E35" s="39"/>
      <c r="F35" s="39"/>
      <c r="G35" s="39"/>
      <c r="H35" s="39"/>
      <c r="I35" s="39"/>
      <c r="J35" s="39"/>
      <c r="K35" s="39"/>
      <c r="L35" s="39"/>
      <c r="M35" s="39"/>
      <c r="N35" s="39"/>
      <c r="O35" s="39"/>
      <c r="P35" s="39"/>
      <c r="Q35" s="39"/>
      <c r="R35" s="39"/>
      <c r="S35" s="239"/>
      <c r="AE35" s="174"/>
    </row>
    <row r="36" ht="15.75" customHeight="1">
      <c r="C36" s="98"/>
      <c r="D36" s="98"/>
      <c r="E36" s="39"/>
      <c r="F36" s="39"/>
      <c r="G36" s="39"/>
      <c r="H36" s="39"/>
      <c r="I36" s="39"/>
      <c r="J36" s="39"/>
      <c r="K36" s="39"/>
      <c r="L36" s="39"/>
      <c r="M36" s="39"/>
      <c r="N36" s="39"/>
      <c r="O36" s="39"/>
      <c r="P36" s="39"/>
      <c r="Q36" s="39"/>
      <c r="R36" s="39"/>
      <c r="S36" s="239"/>
      <c r="AE36" s="174"/>
    </row>
    <row r="37" ht="15.75" customHeight="1">
      <c r="C37" s="98"/>
      <c r="D37" s="98"/>
      <c r="E37" s="39"/>
      <c r="F37" s="39"/>
      <c r="G37" s="39"/>
      <c r="H37" s="39"/>
      <c r="I37" s="39"/>
      <c r="J37" s="39"/>
      <c r="K37" s="39"/>
      <c r="L37" s="39"/>
      <c r="M37" s="39"/>
      <c r="N37" s="39"/>
      <c r="O37" s="39"/>
      <c r="P37" s="39"/>
      <c r="Q37" s="39"/>
      <c r="R37" s="39"/>
      <c r="S37" s="239"/>
      <c r="AE37" s="174"/>
    </row>
    <row r="38" ht="15.75" customHeight="1">
      <c r="C38" s="98"/>
      <c r="D38" s="98"/>
      <c r="E38" s="39"/>
      <c r="F38" s="39"/>
      <c r="G38" s="39"/>
      <c r="H38" s="39"/>
      <c r="I38" s="39"/>
      <c r="J38" s="39"/>
      <c r="K38" s="39"/>
      <c r="L38" s="39"/>
      <c r="M38" s="39"/>
      <c r="N38" s="39"/>
      <c r="O38" s="39"/>
      <c r="P38" s="39"/>
      <c r="Q38" s="39"/>
      <c r="R38" s="39"/>
      <c r="S38" s="239"/>
      <c r="AE38" s="174"/>
    </row>
    <row r="39" ht="15.75" customHeight="1">
      <c r="C39" s="98"/>
      <c r="D39" s="98"/>
      <c r="E39" s="39"/>
      <c r="F39" s="39"/>
      <c r="G39" s="39"/>
      <c r="H39" s="39"/>
      <c r="I39" s="39"/>
      <c r="J39" s="39"/>
      <c r="K39" s="39"/>
      <c r="L39" s="39"/>
      <c r="M39" s="39"/>
      <c r="N39" s="39"/>
      <c r="O39" s="39"/>
      <c r="P39" s="39"/>
      <c r="Q39" s="39"/>
      <c r="R39" s="39"/>
      <c r="S39" s="239"/>
      <c r="AE39" s="174"/>
    </row>
    <row r="40" ht="15.75" customHeight="1">
      <c r="C40" s="98"/>
      <c r="D40" s="98"/>
      <c r="E40" s="39"/>
      <c r="F40" s="39"/>
      <c r="G40" s="39"/>
      <c r="H40" s="39"/>
      <c r="I40" s="39"/>
      <c r="J40" s="39"/>
      <c r="K40" s="39"/>
      <c r="L40" s="39"/>
      <c r="M40" s="39"/>
      <c r="N40" s="39"/>
      <c r="O40" s="39"/>
      <c r="P40" s="39"/>
      <c r="Q40" s="39"/>
      <c r="R40" s="39"/>
      <c r="S40" s="239"/>
      <c r="AE40" s="174"/>
    </row>
    <row r="41" ht="15.75" customHeight="1">
      <c r="C41" s="98"/>
      <c r="D41" s="98"/>
      <c r="E41" s="39"/>
      <c r="F41" s="39"/>
      <c r="G41" s="39"/>
      <c r="H41" s="39"/>
      <c r="I41" s="39"/>
      <c r="J41" s="39"/>
      <c r="K41" s="39"/>
      <c r="L41" s="39"/>
      <c r="M41" s="39"/>
      <c r="N41" s="39"/>
      <c r="O41" s="39"/>
      <c r="P41" s="39"/>
      <c r="Q41" s="39"/>
      <c r="R41" s="39"/>
      <c r="S41" s="239"/>
      <c r="AE41" s="174"/>
    </row>
    <row r="42" ht="15.75" customHeight="1">
      <c r="C42" s="98"/>
      <c r="D42" s="98"/>
      <c r="E42" s="39"/>
      <c r="F42" s="39"/>
      <c r="G42" s="39"/>
      <c r="H42" s="39"/>
      <c r="I42" s="39"/>
      <c r="J42" s="39"/>
      <c r="K42" s="39"/>
      <c r="L42" s="39"/>
      <c r="M42" s="39"/>
      <c r="N42" s="39"/>
      <c r="O42" s="39"/>
      <c r="P42" s="39"/>
      <c r="Q42" s="39"/>
      <c r="R42" s="39"/>
      <c r="S42" s="239"/>
      <c r="AE42" s="174"/>
    </row>
    <row r="43" ht="15.75" customHeight="1">
      <c r="C43" s="98"/>
      <c r="D43" s="98"/>
      <c r="E43" s="39"/>
      <c r="F43" s="39"/>
      <c r="G43" s="39"/>
      <c r="H43" s="39"/>
      <c r="I43" s="39"/>
      <c r="J43" s="39"/>
      <c r="K43" s="39"/>
      <c r="L43" s="39"/>
      <c r="M43" s="39"/>
      <c r="N43" s="39"/>
      <c r="O43" s="39"/>
      <c r="P43" s="39"/>
      <c r="Q43" s="39"/>
      <c r="R43" s="39"/>
      <c r="S43" s="239"/>
      <c r="AE43" s="174"/>
    </row>
    <row r="44" ht="15.75" customHeight="1">
      <c r="C44" s="98"/>
      <c r="D44" s="98"/>
      <c r="E44" s="39"/>
      <c r="F44" s="39"/>
      <c r="G44" s="39"/>
      <c r="H44" s="39"/>
      <c r="I44" s="39"/>
      <c r="J44" s="39"/>
      <c r="K44" s="39"/>
      <c r="L44" s="39"/>
      <c r="M44" s="39"/>
      <c r="N44" s="39"/>
      <c r="O44" s="39"/>
      <c r="P44" s="39"/>
      <c r="Q44" s="39"/>
      <c r="R44" s="39"/>
      <c r="S44" s="239"/>
      <c r="AE44" s="174"/>
    </row>
    <row r="45" ht="15.75" customHeight="1">
      <c r="C45" s="98"/>
      <c r="D45" s="98"/>
      <c r="E45" s="39"/>
      <c r="F45" s="39"/>
      <c r="G45" s="39"/>
      <c r="H45" s="39"/>
      <c r="I45" s="39"/>
      <c r="J45" s="39"/>
      <c r="K45" s="39"/>
      <c r="L45" s="39"/>
      <c r="M45" s="39"/>
      <c r="N45" s="39"/>
      <c r="O45" s="39"/>
      <c r="P45" s="39"/>
      <c r="Q45" s="39"/>
      <c r="R45" s="39"/>
      <c r="S45" s="239"/>
      <c r="AE45" s="174"/>
    </row>
    <row r="46" ht="15.75" customHeight="1">
      <c r="C46" s="98"/>
      <c r="D46" s="98"/>
      <c r="E46" s="39"/>
      <c r="F46" s="39"/>
      <c r="G46" s="39"/>
      <c r="H46" s="39"/>
      <c r="I46" s="39"/>
      <c r="J46" s="39"/>
      <c r="K46" s="39"/>
      <c r="L46" s="39"/>
      <c r="M46" s="39"/>
      <c r="N46" s="39"/>
      <c r="O46" s="39"/>
      <c r="P46" s="39"/>
      <c r="Q46" s="39"/>
      <c r="R46" s="39"/>
      <c r="S46" s="239"/>
      <c r="AE46" s="174"/>
    </row>
    <row r="47" ht="15.75" customHeight="1">
      <c r="C47" s="98"/>
      <c r="D47" s="98"/>
      <c r="E47" s="39"/>
      <c r="F47" s="39"/>
      <c r="G47" s="39"/>
      <c r="H47" s="39"/>
      <c r="I47" s="39"/>
      <c r="J47" s="39"/>
      <c r="K47" s="39"/>
      <c r="L47" s="39"/>
      <c r="M47" s="39"/>
      <c r="N47" s="39"/>
      <c r="O47" s="39"/>
      <c r="P47" s="39"/>
      <c r="Q47" s="39"/>
      <c r="R47" s="39"/>
      <c r="S47" s="239"/>
      <c r="AE47" s="174"/>
    </row>
    <row r="48" ht="15.75" customHeight="1">
      <c r="C48" s="98"/>
      <c r="D48" s="98"/>
      <c r="E48" s="39"/>
      <c r="F48" s="39"/>
      <c r="G48" s="39"/>
      <c r="H48" s="39"/>
      <c r="I48" s="39"/>
      <c r="J48" s="39"/>
      <c r="K48" s="39"/>
      <c r="L48" s="39"/>
      <c r="M48" s="39"/>
      <c r="N48" s="39"/>
      <c r="O48" s="39"/>
      <c r="P48" s="39"/>
      <c r="Q48" s="39"/>
      <c r="R48" s="39"/>
      <c r="S48" s="239"/>
      <c r="AE48" s="174"/>
    </row>
    <row r="49" ht="15.75" customHeight="1">
      <c r="C49" s="98"/>
      <c r="D49" s="98"/>
      <c r="E49" s="39"/>
      <c r="F49" s="39"/>
      <c r="G49" s="39"/>
      <c r="H49" s="39"/>
      <c r="I49" s="39"/>
      <c r="J49" s="39"/>
      <c r="K49" s="39"/>
      <c r="L49" s="39"/>
      <c r="M49" s="39"/>
      <c r="N49" s="39"/>
      <c r="O49" s="39"/>
      <c r="P49" s="39"/>
      <c r="Q49" s="39"/>
      <c r="R49" s="39"/>
      <c r="S49" s="239"/>
      <c r="AE49" s="174"/>
    </row>
    <row r="50" ht="15.75" customHeight="1">
      <c r="C50" s="98"/>
      <c r="D50" s="98"/>
      <c r="E50" s="39"/>
      <c r="F50" s="39"/>
      <c r="G50" s="39"/>
      <c r="H50" s="39"/>
      <c r="I50" s="39"/>
      <c r="J50" s="39"/>
      <c r="K50" s="39"/>
      <c r="L50" s="39"/>
      <c r="M50" s="39"/>
      <c r="N50" s="39"/>
      <c r="O50" s="39"/>
      <c r="P50" s="39"/>
      <c r="Q50" s="39"/>
      <c r="R50" s="39"/>
      <c r="S50" s="239"/>
      <c r="AE50" s="174"/>
    </row>
    <row r="51" ht="15.75" customHeight="1">
      <c r="C51" s="98"/>
      <c r="D51" s="98"/>
      <c r="E51" s="39"/>
      <c r="F51" s="39"/>
      <c r="G51" s="39"/>
      <c r="H51" s="39"/>
      <c r="I51" s="39"/>
      <c r="J51" s="39"/>
      <c r="K51" s="39"/>
      <c r="L51" s="39"/>
      <c r="M51" s="39"/>
      <c r="N51" s="39"/>
      <c r="O51" s="39"/>
      <c r="P51" s="39"/>
      <c r="Q51" s="39"/>
      <c r="R51" s="39"/>
      <c r="S51" s="239"/>
      <c r="AE51" s="174"/>
    </row>
    <row r="52" ht="15.75" customHeight="1">
      <c r="C52" s="98"/>
      <c r="D52" s="98"/>
      <c r="E52" s="39"/>
      <c r="F52" s="39"/>
      <c r="G52" s="39"/>
      <c r="H52" s="39"/>
      <c r="I52" s="39"/>
      <c r="J52" s="39"/>
      <c r="K52" s="39"/>
      <c r="L52" s="39"/>
      <c r="M52" s="39"/>
      <c r="N52" s="39"/>
      <c r="O52" s="39"/>
      <c r="P52" s="39"/>
      <c r="Q52" s="39"/>
      <c r="R52" s="39"/>
      <c r="S52" s="239"/>
      <c r="AE52" s="174"/>
    </row>
    <row r="53" ht="15.75" customHeight="1">
      <c r="C53" s="98"/>
      <c r="D53" s="98"/>
      <c r="E53" s="39"/>
      <c r="F53" s="39"/>
      <c r="G53" s="39"/>
      <c r="H53" s="39"/>
      <c r="I53" s="39"/>
      <c r="J53" s="39"/>
      <c r="K53" s="39"/>
      <c r="L53" s="39"/>
      <c r="M53" s="39"/>
      <c r="N53" s="39"/>
      <c r="O53" s="39"/>
      <c r="P53" s="39"/>
      <c r="Q53" s="39"/>
      <c r="R53" s="39"/>
      <c r="S53" s="239"/>
      <c r="AE53" s="174"/>
    </row>
    <row r="54" ht="15.75" customHeight="1">
      <c r="C54" s="98"/>
      <c r="D54" s="98"/>
      <c r="E54" s="39"/>
      <c r="F54" s="39"/>
      <c r="G54" s="39"/>
      <c r="H54" s="39"/>
      <c r="I54" s="39"/>
      <c r="J54" s="39"/>
      <c r="K54" s="39"/>
      <c r="L54" s="39"/>
      <c r="M54" s="39"/>
      <c r="N54" s="39"/>
      <c r="O54" s="39"/>
      <c r="P54" s="39"/>
      <c r="Q54" s="39"/>
      <c r="R54" s="39"/>
      <c r="S54" s="239"/>
      <c r="AE54" s="174"/>
    </row>
    <row r="55" ht="15.75" customHeight="1">
      <c r="C55" s="98"/>
      <c r="D55" s="98"/>
      <c r="E55" s="39"/>
      <c r="F55" s="39"/>
      <c r="G55" s="39"/>
      <c r="H55" s="39"/>
      <c r="I55" s="39"/>
      <c r="J55" s="39"/>
      <c r="K55" s="39"/>
      <c r="L55" s="39"/>
      <c r="M55" s="39"/>
      <c r="N55" s="39"/>
      <c r="O55" s="39"/>
      <c r="P55" s="39"/>
      <c r="Q55" s="39"/>
      <c r="R55" s="39"/>
      <c r="S55" s="239"/>
      <c r="AE55" s="174"/>
    </row>
    <row r="56" ht="15.75" customHeight="1">
      <c r="C56" s="98"/>
      <c r="D56" s="98"/>
      <c r="E56" s="39"/>
      <c r="F56" s="39"/>
      <c r="G56" s="39"/>
      <c r="H56" s="39"/>
      <c r="I56" s="39"/>
      <c r="J56" s="39"/>
      <c r="K56" s="39"/>
      <c r="L56" s="39"/>
      <c r="M56" s="39"/>
      <c r="N56" s="39"/>
      <c r="O56" s="39"/>
      <c r="P56" s="39"/>
      <c r="Q56" s="39"/>
      <c r="R56" s="39"/>
      <c r="S56" s="239"/>
      <c r="AE56" s="174"/>
    </row>
    <row r="57" ht="15.75" customHeight="1">
      <c r="C57" s="98"/>
      <c r="D57" s="98"/>
      <c r="E57" s="39"/>
      <c r="F57" s="39"/>
      <c r="G57" s="39"/>
      <c r="H57" s="39"/>
      <c r="I57" s="39"/>
      <c r="J57" s="39"/>
      <c r="K57" s="39"/>
      <c r="L57" s="39"/>
      <c r="M57" s="39"/>
      <c r="N57" s="39"/>
      <c r="O57" s="39"/>
      <c r="P57" s="39"/>
      <c r="Q57" s="39"/>
      <c r="R57" s="39"/>
      <c r="S57" s="239"/>
      <c r="AE57" s="174"/>
    </row>
    <row r="58" ht="15.75" customHeight="1">
      <c r="C58" s="98"/>
      <c r="D58" s="98"/>
      <c r="E58" s="39"/>
      <c r="F58" s="39"/>
      <c r="G58" s="39"/>
      <c r="H58" s="39"/>
      <c r="I58" s="39"/>
      <c r="J58" s="39"/>
      <c r="K58" s="39"/>
      <c r="L58" s="39"/>
      <c r="M58" s="39"/>
      <c r="N58" s="39"/>
      <c r="O58" s="39"/>
      <c r="P58" s="39"/>
      <c r="Q58" s="39"/>
      <c r="R58" s="39"/>
      <c r="S58" s="239"/>
      <c r="AE58" s="174"/>
    </row>
    <row r="59" ht="15.75" customHeight="1">
      <c r="C59" s="98"/>
      <c r="D59" s="98"/>
      <c r="E59" s="39"/>
      <c r="F59" s="39"/>
      <c r="G59" s="39"/>
      <c r="H59" s="39"/>
      <c r="I59" s="39"/>
      <c r="J59" s="39"/>
      <c r="K59" s="39"/>
      <c r="L59" s="39"/>
      <c r="M59" s="39"/>
      <c r="N59" s="39"/>
      <c r="O59" s="39"/>
      <c r="P59" s="39"/>
      <c r="Q59" s="39"/>
      <c r="R59" s="39"/>
      <c r="S59" s="239"/>
      <c r="AE59" s="174"/>
    </row>
    <row r="60" ht="15.75" customHeight="1">
      <c r="C60" s="98"/>
      <c r="D60" s="98"/>
      <c r="E60" s="39"/>
      <c r="F60" s="39"/>
      <c r="G60" s="39"/>
      <c r="H60" s="39"/>
      <c r="I60" s="39"/>
      <c r="J60" s="39"/>
      <c r="K60" s="39"/>
      <c r="L60" s="39"/>
      <c r="M60" s="39"/>
      <c r="N60" s="39"/>
      <c r="O60" s="39"/>
      <c r="P60" s="39"/>
      <c r="Q60" s="39"/>
      <c r="R60" s="39"/>
      <c r="S60" s="239"/>
      <c r="AE60" s="174"/>
    </row>
    <row r="61" ht="15.75" customHeight="1">
      <c r="C61" s="98"/>
      <c r="D61" s="98"/>
      <c r="E61" s="39"/>
      <c r="F61" s="39"/>
      <c r="G61" s="39"/>
      <c r="H61" s="39"/>
      <c r="I61" s="39"/>
      <c r="J61" s="39"/>
      <c r="K61" s="39"/>
      <c r="L61" s="39"/>
      <c r="M61" s="39"/>
      <c r="N61" s="39"/>
      <c r="O61" s="39"/>
      <c r="P61" s="39"/>
      <c r="Q61" s="39"/>
      <c r="R61" s="39"/>
      <c r="S61" s="239"/>
      <c r="AE61" s="174"/>
    </row>
    <row r="62" ht="15.75" customHeight="1">
      <c r="C62" s="98"/>
      <c r="D62" s="98"/>
      <c r="E62" s="39"/>
      <c r="F62" s="39"/>
      <c r="G62" s="39"/>
      <c r="H62" s="39"/>
      <c r="I62" s="39"/>
      <c r="J62" s="39"/>
      <c r="K62" s="39"/>
      <c r="L62" s="39"/>
      <c r="M62" s="39"/>
      <c r="N62" s="39"/>
      <c r="O62" s="39"/>
      <c r="P62" s="39"/>
      <c r="Q62" s="39"/>
      <c r="R62" s="39"/>
      <c r="S62" s="239"/>
      <c r="AE62" s="174"/>
    </row>
    <row r="63" ht="15.75" customHeight="1">
      <c r="C63" s="98"/>
      <c r="D63" s="98"/>
      <c r="E63" s="39"/>
      <c r="F63" s="39"/>
      <c r="G63" s="39"/>
      <c r="H63" s="39"/>
      <c r="I63" s="39"/>
      <c r="J63" s="39"/>
      <c r="K63" s="39"/>
      <c r="L63" s="39"/>
      <c r="M63" s="39"/>
      <c r="N63" s="39"/>
      <c r="O63" s="39"/>
      <c r="P63" s="39"/>
      <c r="Q63" s="39"/>
      <c r="R63" s="39"/>
      <c r="S63" s="239"/>
      <c r="AE63" s="174"/>
    </row>
    <row r="64" ht="15.75" customHeight="1">
      <c r="C64" s="98"/>
      <c r="D64" s="98"/>
      <c r="E64" s="39"/>
      <c r="F64" s="39"/>
      <c r="G64" s="39"/>
      <c r="H64" s="39"/>
      <c r="I64" s="39"/>
      <c r="J64" s="39"/>
      <c r="K64" s="39"/>
      <c r="L64" s="39"/>
      <c r="M64" s="39"/>
      <c r="N64" s="39"/>
      <c r="O64" s="39"/>
      <c r="P64" s="39"/>
      <c r="Q64" s="39"/>
      <c r="R64" s="39"/>
      <c r="S64" s="239"/>
      <c r="AE64" s="174"/>
    </row>
    <row r="65" ht="15.75" customHeight="1">
      <c r="C65" s="98"/>
      <c r="D65" s="98"/>
      <c r="E65" s="39"/>
      <c r="F65" s="39"/>
      <c r="G65" s="39"/>
      <c r="H65" s="39"/>
      <c r="I65" s="39"/>
      <c r="J65" s="39"/>
      <c r="K65" s="39"/>
      <c r="L65" s="39"/>
      <c r="M65" s="39"/>
      <c r="N65" s="39"/>
      <c r="O65" s="39"/>
      <c r="P65" s="39"/>
      <c r="Q65" s="39"/>
      <c r="R65" s="39"/>
      <c r="S65" s="239"/>
      <c r="AE65" s="174"/>
    </row>
    <row r="66" ht="15.75" customHeight="1">
      <c r="C66" s="98"/>
      <c r="D66" s="98"/>
      <c r="E66" s="39"/>
      <c r="F66" s="39"/>
      <c r="G66" s="39"/>
      <c r="H66" s="39"/>
      <c r="I66" s="39"/>
      <c r="J66" s="39"/>
      <c r="K66" s="39"/>
      <c r="L66" s="39"/>
      <c r="M66" s="39"/>
      <c r="N66" s="39"/>
      <c r="O66" s="39"/>
      <c r="P66" s="39"/>
      <c r="Q66" s="39"/>
      <c r="R66" s="39"/>
      <c r="S66" s="239"/>
      <c r="AE66" s="174"/>
    </row>
    <row r="67" ht="15.75" customHeight="1">
      <c r="C67" s="98"/>
      <c r="D67" s="98"/>
      <c r="E67" s="39"/>
      <c r="F67" s="39"/>
      <c r="G67" s="39"/>
      <c r="H67" s="39"/>
      <c r="I67" s="39"/>
      <c r="J67" s="39"/>
      <c r="K67" s="39"/>
      <c r="L67" s="39"/>
      <c r="M67" s="39"/>
      <c r="N67" s="39"/>
      <c r="O67" s="39"/>
      <c r="P67" s="39"/>
      <c r="Q67" s="39"/>
      <c r="R67" s="39"/>
      <c r="S67" s="239"/>
      <c r="AE67" s="174"/>
    </row>
    <row r="68" ht="15.75" customHeight="1">
      <c r="C68" s="98"/>
      <c r="D68" s="98"/>
      <c r="E68" s="39"/>
      <c r="F68" s="39"/>
      <c r="G68" s="39"/>
      <c r="H68" s="39"/>
      <c r="I68" s="39"/>
      <c r="J68" s="39"/>
      <c r="K68" s="39"/>
      <c r="L68" s="39"/>
      <c r="M68" s="39"/>
      <c r="N68" s="39"/>
      <c r="O68" s="39"/>
      <c r="P68" s="39"/>
      <c r="Q68" s="39"/>
      <c r="R68" s="39"/>
      <c r="S68" s="239"/>
      <c r="AE68" s="174"/>
    </row>
    <row r="69" ht="15.75" customHeight="1">
      <c r="C69" s="98"/>
      <c r="D69" s="98"/>
      <c r="E69" s="39"/>
      <c r="F69" s="39"/>
      <c r="G69" s="39"/>
      <c r="H69" s="39"/>
      <c r="I69" s="39"/>
      <c r="J69" s="39"/>
      <c r="K69" s="39"/>
      <c r="L69" s="39"/>
      <c r="M69" s="39"/>
      <c r="N69" s="39"/>
      <c r="O69" s="39"/>
      <c r="P69" s="39"/>
      <c r="Q69" s="39"/>
      <c r="R69" s="39"/>
      <c r="S69" s="239"/>
      <c r="AE69" s="174"/>
    </row>
    <row r="70" ht="15.75" customHeight="1">
      <c r="C70" s="98"/>
      <c r="D70" s="98"/>
      <c r="E70" s="39"/>
      <c r="F70" s="39"/>
      <c r="G70" s="39"/>
      <c r="H70" s="39"/>
      <c r="I70" s="39"/>
      <c r="J70" s="39"/>
      <c r="K70" s="39"/>
      <c r="L70" s="39"/>
      <c r="M70" s="39"/>
      <c r="N70" s="39"/>
      <c r="O70" s="39"/>
      <c r="P70" s="39"/>
      <c r="Q70" s="39"/>
      <c r="R70" s="39"/>
      <c r="S70" s="239"/>
      <c r="AE70" s="174"/>
    </row>
    <row r="71" ht="15.75" customHeight="1">
      <c r="C71" s="98"/>
      <c r="D71" s="98"/>
      <c r="E71" s="39"/>
      <c r="F71" s="39"/>
      <c r="G71" s="39"/>
      <c r="H71" s="39"/>
      <c r="I71" s="39"/>
      <c r="J71" s="39"/>
      <c r="K71" s="39"/>
      <c r="L71" s="39"/>
      <c r="M71" s="39"/>
      <c r="N71" s="39"/>
      <c r="O71" s="39"/>
      <c r="P71" s="39"/>
      <c r="Q71" s="39"/>
      <c r="R71" s="39"/>
      <c r="S71" s="239"/>
      <c r="AE71" s="174"/>
    </row>
    <row r="72" ht="15.75" customHeight="1">
      <c r="C72" s="98"/>
      <c r="D72" s="98"/>
      <c r="E72" s="39"/>
      <c r="F72" s="39"/>
      <c r="G72" s="39"/>
      <c r="H72" s="39"/>
      <c r="I72" s="39"/>
      <c r="J72" s="39"/>
      <c r="K72" s="39"/>
      <c r="L72" s="39"/>
      <c r="M72" s="39"/>
      <c r="N72" s="39"/>
      <c r="O72" s="39"/>
      <c r="P72" s="39"/>
      <c r="Q72" s="39"/>
      <c r="R72" s="39"/>
      <c r="S72" s="239"/>
      <c r="AE72" s="174"/>
    </row>
    <row r="73" ht="15.75" customHeight="1">
      <c r="C73" s="98"/>
      <c r="D73" s="98"/>
      <c r="E73" s="39"/>
      <c r="F73" s="39"/>
      <c r="G73" s="39"/>
      <c r="H73" s="39"/>
      <c r="I73" s="39"/>
      <c r="J73" s="39"/>
      <c r="K73" s="39"/>
      <c r="L73" s="39"/>
      <c r="M73" s="39"/>
      <c r="N73" s="39"/>
      <c r="O73" s="39"/>
      <c r="P73" s="39"/>
      <c r="Q73" s="39"/>
      <c r="R73" s="39"/>
      <c r="S73" s="239"/>
      <c r="AE73" s="174"/>
    </row>
    <row r="74" ht="15.75" customHeight="1">
      <c r="C74" s="98"/>
      <c r="D74" s="98"/>
      <c r="E74" s="39"/>
      <c r="F74" s="39"/>
      <c r="G74" s="39"/>
      <c r="H74" s="39"/>
      <c r="I74" s="39"/>
      <c r="J74" s="39"/>
      <c r="K74" s="39"/>
      <c r="L74" s="39"/>
      <c r="M74" s="39"/>
      <c r="N74" s="39"/>
      <c r="O74" s="39"/>
      <c r="P74" s="39"/>
      <c r="Q74" s="39"/>
      <c r="R74" s="39"/>
      <c r="S74" s="239"/>
      <c r="AE74" s="174"/>
    </row>
    <row r="75" ht="15.75" customHeight="1">
      <c r="C75" s="98"/>
      <c r="D75" s="98"/>
      <c r="E75" s="39"/>
      <c r="F75" s="39"/>
      <c r="G75" s="39"/>
      <c r="H75" s="39"/>
      <c r="I75" s="39"/>
      <c r="J75" s="39"/>
      <c r="K75" s="39"/>
      <c r="L75" s="39"/>
      <c r="M75" s="39"/>
      <c r="N75" s="39"/>
      <c r="O75" s="39"/>
      <c r="P75" s="39"/>
      <c r="Q75" s="39"/>
      <c r="R75" s="39"/>
      <c r="S75" s="239"/>
      <c r="AE75" s="174"/>
    </row>
    <row r="76" ht="15.75" customHeight="1">
      <c r="C76" s="98"/>
      <c r="D76" s="98"/>
      <c r="E76" s="39"/>
      <c r="F76" s="39"/>
      <c r="G76" s="39"/>
      <c r="H76" s="39"/>
      <c r="I76" s="39"/>
      <c r="J76" s="39"/>
      <c r="K76" s="39"/>
      <c r="L76" s="39"/>
      <c r="M76" s="39"/>
      <c r="N76" s="39"/>
      <c r="O76" s="39"/>
      <c r="P76" s="39"/>
      <c r="Q76" s="39"/>
      <c r="R76" s="39"/>
      <c r="S76" s="239"/>
      <c r="AE76" s="174"/>
    </row>
    <row r="77" ht="15.75" customHeight="1">
      <c r="C77" s="98"/>
      <c r="D77" s="98"/>
      <c r="E77" s="39"/>
      <c r="F77" s="39"/>
      <c r="G77" s="39"/>
      <c r="H77" s="39"/>
      <c r="I77" s="39"/>
      <c r="J77" s="39"/>
      <c r="K77" s="39"/>
      <c r="L77" s="39"/>
      <c r="M77" s="39"/>
      <c r="N77" s="39"/>
      <c r="O77" s="39"/>
      <c r="P77" s="39"/>
      <c r="Q77" s="39"/>
      <c r="R77" s="39"/>
      <c r="S77" s="239"/>
      <c r="AE77" s="174"/>
    </row>
    <row r="78" ht="15.75" customHeight="1">
      <c r="C78" s="98"/>
      <c r="D78" s="98"/>
      <c r="E78" s="39"/>
      <c r="F78" s="39"/>
      <c r="G78" s="39"/>
      <c r="H78" s="39"/>
      <c r="I78" s="39"/>
      <c r="J78" s="39"/>
      <c r="K78" s="39"/>
      <c r="L78" s="39"/>
      <c r="M78" s="39"/>
      <c r="N78" s="39"/>
      <c r="O78" s="39"/>
      <c r="P78" s="39"/>
      <c r="Q78" s="39"/>
      <c r="R78" s="39"/>
      <c r="S78" s="239"/>
      <c r="AE78" s="174"/>
    </row>
    <row r="79" ht="15.75" customHeight="1">
      <c r="C79" s="98"/>
      <c r="D79" s="98"/>
      <c r="E79" s="39"/>
      <c r="F79" s="39"/>
      <c r="G79" s="39"/>
      <c r="H79" s="39"/>
      <c r="I79" s="39"/>
      <c r="J79" s="39"/>
      <c r="K79" s="39"/>
      <c r="L79" s="39"/>
      <c r="M79" s="39"/>
      <c r="N79" s="39"/>
      <c r="O79" s="39"/>
      <c r="P79" s="39"/>
      <c r="Q79" s="39"/>
      <c r="R79" s="39"/>
      <c r="S79" s="239"/>
      <c r="AE79" s="174"/>
    </row>
    <row r="80" ht="15.75" customHeight="1">
      <c r="C80" s="98"/>
      <c r="D80" s="98"/>
      <c r="E80" s="39"/>
      <c r="F80" s="39"/>
      <c r="G80" s="39"/>
      <c r="H80" s="39"/>
      <c r="I80" s="39"/>
      <c r="J80" s="39"/>
      <c r="K80" s="39"/>
      <c r="L80" s="39"/>
      <c r="M80" s="39"/>
      <c r="N80" s="39"/>
      <c r="O80" s="39"/>
      <c r="P80" s="39"/>
      <c r="Q80" s="39"/>
      <c r="R80" s="39"/>
      <c r="S80" s="239"/>
      <c r="AE80" s="174"/>
    </row>
    <row r="81" ht="15.75" customHeight="1">
      <c r="C81" s="98"/>
      <c r="D81" s="98"/>
      <c r="E81" s="39"/>
      <c r="F81" s="39"/>
      <c r="G81" s="39"/>
      <c r="H81" s="39"/>
      <c r="I81" s="39"/>
      <c r="J81" s="39"/>
      <c r="K81" s="39"/>
      <c r="L81" s="39"/>
      <c r="M81" s="39"/>
      <c r="N81" s="39"/>
      <c r="O81" s="39"/>
      <c r="P81" s="39"/>
      <c r="Q81" s="39"/>
      <c r="R81" s="39"/>
      <c r="S81" s="239"/>
      <c r="AE81" s="174"/>
    </row>
    <row r="82" ht="15.75" customHeight="1">
      <c r="C82" s="98"/>
      <c r="D82" s="98"/>
      <c r="E82" s="39"/>
      <c r="F82" s="39"/>
      <c r="G82" s="39"/>
      <c r="H82" s="39"/>
      <c r="I82" s="39"/>
      <c r="J82" s="39"/>
      <c r="K82" s="39"/>
      <c r="L82" s="39"/>
      <c r="M82" s="39"/>
      <c r="N82" s="39"/>
      <c r="O82" s="39"/>
      <c r="P82" s="39"/>
      <c r="Q82" s="39"/>
      <c r="R82" s="39"/>
      <c r="S82" s="239"/>
      <c r="AE82" s="174"/>
    </row>
    <row r="83" ht="15.75" customHeight="1">
      <c r="C83" s="98"/>
      <c r="D83" s="98"/>
      <c r="E83" s="39"/>
      <c r="F83" s="39"/>
      <c r="G83" s="39"/>
      <c r="H83" s="39"/>
      <c r="I83" s="39"/>
      <c r="J83" s="39"/>
      <c r="K83" s="39"/>
      <c r="L83" s="39"/>
      <c r="M83" s="39"/>
      <c r="N83" s="39"/>
      <c r="O83" s="39"/>
      <c r="P83" s="39"/>
      <c r="Q83" s="39"/>
      <c r="R83" s="39"/>
      <c r="S83" s="239"/>
      <c r="AE83" s="174"/>
    </row>
    <row r="84" ht="15.75" customHeight="1">
      <c r="C84" s="98"/>
      <c r="D84" s="98"/>
      <c r="E84" s="39"/>
      <c r="F84" s="39"/>
      <c r="G84" s="39"/>
      <c r="H84" s="39"/>
      <c r="I84" s="39"/>
      <c r="J84" s="39"/>
      <c r="K84" s="39"/>
      <c r="L84" s="39"/>
      <c r="M84" s="39"/>
      <c r="N84" s="39"/>
      <c r="O84" s="39"/>
      <c r="P84" s="39"/>
      <c r="Q84" s="39"/>
      <c r="R84" s="39"/>
      <c r="S84" s="239"/>
      <c r="AE84" s="174"/>
    </row>
    <row r="85" ht="15.75" customHeight="1">
      <c r="C85" s="98"/>
      <c r="D85" s="98"/>
      <c r="E85" s="39"/>
      <c r="F85" s="39"/>
      <c r="G85" s="39"/>
      <c r="H85" s="39"/>
      <c r="I85" s="39"/>
      <c r="J85" s="39"/>
      <c r="K85" s="39"/>
      <c r="L85" s="39"/>
      <c r="M85" s="39"/>
      <c r="N85" s="39"/>
      <c r="O85" s="39"/>
      <c r="P85" s="39"/>
      <c r="Q85" s="39"/>
      <c r="R85" s="39"/>
      <c r="S85" s="239"/>
      <c r="AE85" s="174"/>
    </row>
    <row r="86" ht="15.75" customHeight="1">
      <c r="C86" s="98"/>
      <c r="D86" s="98"/>
      <c r="E86" s="39"/>
      <c r="F86" s="39"/>
      <c r="G86" s="39"/>
      <c r="H86" s="39"/>
      <c r="I86" s="39"/>
      <c r="J86" s="39"/>
      <c r="K86" s="39"/>
      <c r="L86" s="39"/>
      <c r="M86" s="39"/>
      <c r="N86" s="39"/>
      <c r="O86" s="39"/>
      <c r="P86" s="39"/>
      <c r="Q86" s="39"/>
      <c r="R86" s="39"/>
      <c r="S86" s="239"/>
      <c r="AE86" s="174"/>
    </row>
    <row r="87" ht="15.75" customHeight="1">
      <c r="C87" s="98"/>
      <c r="D87" s="98"/>
      <c r="E87" s="39"/>
      <c r="F87" s="39"/>
      <c r="G87" s="39"/>
      <c r="H87" s="39"/>
      <c r="I87" s="39"/>
      <c r="J87" s="39"/>
      <c r="K87" s="39"/>
      <c r="L87" s="39"/>
      <c r="M87" s="39"/>
      <c r="N87" s="39"/>
      <c r="O87" s="39"/>
      <c r="P87" s="39"/>
      <c r="Q87" s="39"/>
      <c r="R87" s="39"/>
      <c r="S87" s="239"/>
      <c r="AE87" s="174"/>
    </row>
    <row r="88" ht="15.75" customHeight="1">
      <c r="C88" s="98"/>
      <c r="D88" s="98"/>
      <c r="E88" s="39"/>
      <c r="F88" s="39"/>
      <c r="G88" s="39"/>
      <c r="H88" s="39"/>
      <c r="I88" s="39"/>
      <c r="J88" s="39"/>
      <c r="K88" s="39"/>
      <c r="L88" s="39"/>
      <c r="M88" s="39"/>
      <c r="N88" s="39"/>
      <c r="O88" s="39"/>
      <c r="P88" s="39"/>
      <c r="Q88" s="39"/>
      <c r="R88" s="39"/>
      <c r="S88" s="239"/>
      <c r="AE88" s="174"/>
    </row>
    <row r="89" ht="15.75" customHeight="1">
      <c r="C89" s="98"/>
      <c r="D89" s="98"/>
      <c r="E89" s="39"/>
      <c r="F89" s="39"/>
      <c r="G89" s="39"/>
      <c r="H89" s="39"/>
      <c r="I89" s="39"/>
      <c r="J89" s="39"/>
      <c r="K89" s="39"/>
      <c r="L89" s="39"/>
      <c r="M89" s="39"/>
      <c r="N89" s="39"/>
      <c r="O89" s="39"/>
      <c r="P89" s="39"/>
      <c r="Q89" s="39"/>
      <c r="R89" s="39"/>
      <c r="S89" s="239"/>
      <c r="AE89" s="174"/>
    </row>
    <row r="90" ht="15.75" customHeight="1">
      <c r="C90" s="98"/>
      <c r="D90" s="98"/>
      <c r="E90" s="39"/>
      <c r="F90" s="39"/>
      <c r="G90" s="39"/>
      <c r="H90" s="39"/>
      <c r="I90" s="39"/>
      <c r="J90" s="39"/>
      <c r="K90" s="39"/>
      <c r="L90" s="39"/>
      <c r="M90" s="39"/>
      <c r="N90" s="39"/>
      <c r="O90" s="39"/>
      <c r="P90" s="39"/>
      <c r="Q90" s="39"/>
      <c r="R90" s="39"/>
      <c r="S90" s="239"/>
      <c r="AE90" s="174"/>
    </row>
    <row r="91" ht="15.75" customHeight="1">
      <c r="C91" s="98"/>
      <c r="D91" s="98"/>
      <c r="E91" s="39"/>
      <c r="F91" s="39"/>
      <c r="G91" s="39"/>
      <c r="H91" s="39"/>
      <c r="I91" s="39"/>
      <c r="J91" s="39"/>
      <c r="K91" s="39"/>
      <c r="L91" s="39"/>
      <c r="M91" s="39"/>
      <c r="N91" s="39"/>
      <c r="O91" s="39"/>
      <c r="P91" s="39"/>
      <c r="Q91" s="39"/>
      <c r="R91" s="39"/>
      <c r="S91" s="239"/>
      <c r="AE91" s="174"/>
    </row>
    <row r="92" ht="15.75" customHeight="1">
      <c r="C92" s="98"/>
      <c r="D92" s="98"/>
      <c r="E92" s="39"/>
      <c r="F92" s="39"/>
      <c r="G92" s="39"/>
      <c r="H92" s="39"/>
      <c r="I92" s="39"/>
      <c r="J92" s="39"/>
      <c r="K92" s="39"/>
      <c r="L92" s="39"/>
      <c r="M92" s="39"/>
      <c r="N92" s="39"/>
      <c r="O92" s="39"/>
      <c r="P92" s="39"/>
      <c r="Q92" s="39"/>
      <c r="R92" s="39"/>
      <c r="S92" s="239"/>
      <c r="AE92" s="174"/>
    </row>
    <row r="93" ht="15.75" customHeight="1">
      <c r="C93" s="98"/>
      <c r="D93" s="98"/>
      <c r="E93" s="39"/>
      <c r="F93" s="39"/>
      <c r="G93" s="39"/>
      <c r="H93" s="39"/>
      <c r="I93" s="39"/>
      <c r="J93" s="39"/>
      <c r="K93" s="39"/>
      <c r="L93" s="39"/>
      <c r="M93" s="39"/>
      <c r="N93" s="39"/>
      <c r="O93" s="39"/>
      <c r="P93" s="39"/>
      <c r="Q93" s="39"/>
      <c r="R93" s="39"/>
      <c r="S93" s="239"/>
      <c r="AE93" s="174"/>
    </row>
    <row r="94" ht="15.75" customHeight="1">
      <c r="C94" s="98"/>
      <c r="D94" s="98"/>
      <c r="E94" s="39"/>
      <c r="F94" s="39"/>
      <c r="G94" s="39"/>
      <c r="H94" s="39"/>
      <c r="I94" s="39"/>
      <c r="J94" s="39"/>
      <c r="K94" s="39"/>
      <c r="L94" s="39"/>
      <c r="M94" s="39"/>
      <c r="N94" s="39"/>
      <c r="O94" s="39"/>
      <c r="P94" s="39"/>
      <c r="Q94" s="39"/>
      <c r="R94" s="39"/>
      <c r="S94" s="239"/>
      <c r="AE94" s="174"/>
    </row>
    <row r="95" ht="15.75" customHeight="1">
      <c r="C95" s="98"/>
      <c r="D95" s="98"/>
      <c r="E95" s="39"/>
      <c r="F95" s="39"/>
      <c r="G95" s="39"/>
      <c r="H95" s="39"/>
      <c r="I95" s="39"/>
      <c r="J95" s="39"/>
      <c r="K95" s="39"/>
      <c r="L95" s="39"/>
      <c r="M95" s="39"/>
      <c r="N95" s="39"/>
      <c r="O95" s="39"/>
      <c r="P95" s="39"/>
      <c r="Q95" s="39"/>
      <c r="R95" s="39"/>
      <c r="S95" s="239"/>
      <c r="AE95" s="174"/>
    </row>
    <row r="96" ht="15.75" customHeight="1">
      <c r="C96" s="98"/>
      <c r="D96" s="98"/>
      <c r="E96" s="39"/>
      <c r="F96" s="39"/>
      <c r="G96" s="39"/>
      <c r="H96" s="39"/>
      <c r="I96" s="39"/>
      <c r="J96" s="39"/>
      <c r="K96" s="39"/>
      <c r="L96" s="39"/>
      <c r="M96" s="39"/>
      <c r="N96" s="39"/>
      <c r="O96" s="39"/>
      <c r="P96" s="39"/>
      <c r="Q96" s="39"/>
      <c r="R96" s="39"/>
      <c r="S96" s="239"/>
      <c r="AE96" s="174"/>
    </row>
    <row r="97" ht="15.75" customHeight="1">
      <c r="C97" s="98"/>
      <c r="D97" s="98"/>
      <c r="E97" s="39"/>
      <c r="F97" s="39"/>
      <c r="G97" s="39"/>
      <c r="H97" s="39"/>
      <c r="I97" s="39"/>
      <c r="J97" s="39"/>
      <c r="K97" s="39"/>
      <c r="L97" s="39"/>
      <c r="M97" s="39"/>
      <c r="N97" s="39"/>
      <c r="O97" s="39"/>
      <c r="P97" s="39"/>
      <c r="Q97" s="39"/>
      <c r="R97" s="39"/>
      <c r="S97" s="239"/>
      <c r="AE97" s="174"/>
    </row>
    <row r="98" ht="15.75" customHeight="1">
      <c r="C98" s="98"/>
      <c r="D98" s="98"/>
      <c r="E98" s="39"/>
      <c r="F98" s="39"/>
      <c r="G98" s="39"/>
      <c r="H98" s="39"/>
      <c r="I98" s="39"/>
      <c r="J98" s="39"/>
      <c r="K98" s="39"/>
      <c r="L98" s="39"/>
      <c r="M98" s="39"/>
      <c r="N98" s="39"/>
      <c r="O98" s="39"/>
      <c r="P98" s="39"/>
      <c r="Q98" s="39"/>
      <c r="R98" s="39"/>
      <c r="S98" s="239"/>
      <c r="AE98" s="174"/>
    </row>
    <row r="99" ht="15.75" customHeight="1">
      <c r="C99" s="98"/>
      <c r="D99" s="98"/>
      <c r="E99" s="39"/>
      <c r="F99" s="39"/>
      <c r="G99" s="39"/>
      <c r="H99" s="39"/>
      <c r="I99" s="39"/>
      <c r="J99" s="39"/>
      <c r="K99" s="39"/>
      <c r="L99" s="39"/>
      <c r="M99" s="39"/>
      <c r="N99" s="39"/>
      <c r="O99" s="39"/>
      <c r="P99" s="39"/>
      <c r="Q99" s="39"/>
      <c r="R99" s="39"/>
      <c r="S99" s="239"/>
      <c r="AE99" s="174"/>
    </row>
    <row r="100" ht="15.75" customHeight="1">
      <c r="C100" s="98"/>
      <c r="D100" s="98"/>
      <c r="E100" s="39"/>
      <c r="F100" s="39"/>
      <c r="G100" s="39"/>
      <c r="H100" s="39"/>
      <c r="I100" s="39"/>
      <c r="J100" s="39"/>
      <c r="K100" s="39"/>
      <c r="L100" s="39"/>
      <c r="M100" s="39"/>
      <c r="N100" s="39"/>
      <c r="O100" s="39"/>
      <c r="P100" s="39"/>
      <c r="Q100" s="39"/>
      <c r="R100" s="39"/>
      <c r="S100" s="239"/>
      <c r="AE100" s="174"/>
    </row>
    <row r="101" ht="15.75" customHeight="1">
      <c r="C101" s="98"/>
      <c r="D101" s="98"/>
      <c r="E101" s="39"/>
      <c r="F101" s="39"/>
      <c r="G101" s="39"/>
      <c r="H101" s="39"/>
      <c r="I101" s="39"/>
      <c r="J101" s="39"/>
      <c r="K101" s="39"/>
      <c r="L101" s="39"/>
      <c r="M101" s="39"/>
      <c r="N101" s="39"/>
      <c r="O101" s="39"/>
      <c r="P101" s="39"/>
      <c r="Q101" s="39"/>
      <c r="R101" s="39"/>
      <c r="S101" s="239"/>
      <c r="AE101" s="174"/>
    </row>
    <row r="102" ht="15.75" customHeight="1">
      <c r="C102" s="98"/>
      <c r="D102" s="98"/>
      <c r="E102" s="39"/>
      <c r="F102" s="39"/>
      <c r="G102" s="39"/>
      <c r="H102" s="39"/>
      <c r="I102" s="39"/>
      <c r="J102" s="39"/>
      <c r="K102" s="39"/>
      <c r="L102" s="39"/>
      <c r="M102" s="39"/>
      <c r="N102" s="39"/>
      <c r="O102" s="39"/>
      <c r="P102" s="39"/>
      <c r="Q102" s="39"/>
      <c r="R102" s="39"/>
      <c r="S102" s="239"/>
      <c r="AE102" s="174"/>
    </row>
    <row r="103" ht="15.75" customHeight="1">
      <c r="C103" s="98"/>
      <c r="D103" s="98"/>
      <c r="E103" s="39"/>
      <c r="F103" s="39"/>
      <c r="G103" s="39"/>
      <c r="H103" s="39"/>
      <c r="I103" s="39"/>
      <c r="J103" s="39"/>
      <c r="K103" s="39"/>
      <c r="L103" s="39"/>
      <c r="M103" s="39"/>
      <c r="N103" s="39"/>
      <c r="O103" s="39"/>
      <c r="P103" s="39"/>
      <c r="Q103" s="39"/>
      <c r="R103" s="39"/>
      <c r="S103" s="239"/>
      <c r="AE103" s="174"/>
    </row>
    <row r="104" ht="15.75" customHeight="1">
      <c r="C104" s="98"/>
      <c r="D104" s="98"/>
      <c r="E104" s="39"/>
      <c r="F104" s="39"/>
      <c r="G104" s="39"/>
      <c r="H104" s="39"/>
      <c r="I104" s="39"/>
      <c r="J104" s="39"/>
      <c r="K104" s="39"/>
      <c r="L104" s="39"/>
      <c r="M104" s="39"/>
      <c r="N104" s="39"/>
      <c r="O104" s="39"/>
      <c r="P104" s="39"/>
      <c r="Q104" s="39"/>
      <c r="R104" s="39"/>
      <c r="S104" s="239"/>
      <c r="AE104" s="174"/>
    </row>
    <row r="105" ht="15.75" customHeight="1">
      <c r="C105" s="98"/>
      <c r="D105" s="98"/>
      <c r="E105" s="39"/>
      <c r="F105" s="39"/>
      <c r="G105" s="39"/>
      <c r="H105" s="39"/>
      <c r="I105" s="39"/>
      <c r="J105" s="39"/>
      <c r="K105" s="39"/>
      <c r="L105" s="39"/>
      <c r="M105" s="39"/>
      <c r="N105" s="39"/>
      <c r="O105" s="39"/>
      <c r="P105" s="39"/>
      <c r="Q105" s="39"/>
      <c r="R105" s="39"/>
      <c r="S105" s="239"/>
      <c r="AE105" s="174"/>
    </row>
    <row r="106" ht="15.75" customHeight="1">
      <c r="C106" s="98"/>
      <c r="D106" s="98"/>
      <c r="E106" s="39"/>
      <c r="F106" s="39"/>
      <c r="G106" s="39"/>
      <c r="H106" s="39"/>
      <c r="I106" s="39"/>
      <c r="J106" s="39"/>
      <c r="K106" s="39"/>
      <c r="L106" s="39"/>
      <c r="M106" s="39"/>
      <c r="N106" s="39"/>
      <c r="O106" s="39"/>
      <c r="P106" s="39"/>
      <c r="Q106" s="39"/>
      <c r="R106" s="39"/>
      <c r="S106" s="239"/>
      <c r="AE106" s="174"/>
    </row>
    <row r="107" ht="15.75" customHeight="1">
      <c r="C107" s="98"/>
      <c r="D107" s="98"/>
      <c r="E107" s="39"/>
      <c r="F107" s="39"/>
      <c r="G107" s="39"/>
      <c r="H107" s="39"/>
      <c r="I107" s="39"/>
      <c r="J107" s="39"/>
      <c r="K107" s="39"/>
      <c r="L107" s="39"/>
      <c r="M107" s="39"/>
      <c r="N107" s="39"/>
      <c r="O107" s="39"/>
      <c r="P107" s="39"/>
      <c r="Q107" s="39"/>
      <c r="R107" s="39"/>
      <c r="S107" s="239"/>
      <c r="AE107" s="174"/>
    </row>
    <row r="108" ht="15.75" customHeight="1">
      <c r="C108" s="98"/>
      <c r="D108" s="98"/>
      <c r="E108" s="39"/>
      <c r="F108" s="39"/>
      <c r="G108" s="39"/>
      <c r="H108" s="39"/>
      <c r="I108" s="39"/>
      <c r="J108" s="39"/>
      <c r="K108" s="39"/>
      <c r="L108" s="39"/>
      <c r="M108" s="39"/>
      <c r="N108" s="39"/>
      <c r="O108" s="39"/>
      <c r="P108" s="39"/>
      <c r="Q108" s="39"/>
      <c r="R108" s="39"/>
      <c r="S108" s="239"/>
      <c r="AE108" s="174"/>
    </row>
    <row r="109" ht="15.75" customHeight="1">
      <c r="C109" s="98"/>
      <c r="D109" s="98"/>
      <c r="E109" s="39"/>
      <c r="F109" s="39"/>
      <c r="G109" s="39"/>
      <c r="H109" s="39"/>
      <c r="I109" s="39"/>
      <c r="J109" s="39"/>
      <c r="K109" s="39"/>
      <c r="L109" s="39"/>
      <c r="M109" s="39"/>
      <c r="N109" s="39"/>
      <c r="O109" s="39"/>
      <c r="P109" s="39"/>
      <c r="Q109" s="39"/>
      <c r="R109" s="39"/>
      <c r="S109" s="239"/>
      <c r="AE109" s="174"/>
    </row>
    <row r="110" ht="15.75" customHeight="1">
      <c r="C110" s="98"/>
      <c r="D110" s="98"/>
      <c r="E110" s="39"/>
      <c r="F110" s="39"/>
      <c r="G110" s="39"/>
      <c r="H110" s="39"/>
      <c r="I110" s="39"/>
      <c r="J110" s="39"/>
      <c r="K110" s="39"/>
      <c r="L110" s="39"/>
      <c r="M110" s="39"/>
      <c r="N110" s="39"/>
      <c r="O110" s="39"/>
      <c r="P110" s="39"/>
      <c r="Q110" s="39"/>
      <c r="R110" s="39"/>
      <c r="S110" s="239"/>
      <c r="AE110" s="174"/>
    </row>
    <row r="111" ht="15.75" customHeight="1">
      <c r="C111" s="98"/>
      <c r="D111" s="98"/>
      <c r="E111" s="39"/>
      <c r="F111" s="39"/>
      <c r="G111" s="39"/>
      <c r="H111" s="39"/>
      <c r="I111" s="39"/>
      <c r="J111" s="39"/>
      <c r="K111" s="39"/>
      <c r="L111" s="39"/>
      <c r="M111" s="39"/>
      <c r="N111" s="39"/>
      <c r="O111" s="39"/>
      <c r="P111" s="39"/>
      <c r="Q111" s="39"/>
      <c r="R111" s="39"/>
      <c r="S111" s="239"/>
      <c r="AE111" s="174"/>
    </row>
    <row r="112" ht="15.75" customHeight="1">
      <c r="C112" s="98"/>
      <c r="D112" s="98"/>
      <c r="E112" s="39"/>
      <c r="F112" s="39"/>
      <c r="G112" s="39"/>
      <c r="H112" s="39"/>
      <c r="I112" s="39"/>
      <c r="J112" s="39"/>
      <c r="K112" s="39"/>
      <c r="L112" s="39"/>
      <c r="M112" s="39"/>
      <c r="N112" s="39"/>
      <c r="O112" s="39"/>
      <c r="P112" s="39"/>
      <c r="Q112" s="39"/>
      <c r="R112" s="39"/>
      <c r="S112" s="239"/>
      <c r="AE112" s="174"/>
    </row>
    <row r="113" ht="15.75" customHeight="1">
      <c r="C113" s="98"/>
      <c r="D113" s="98"/>
      <c r="E113" s="39"/>
      <c r="F113" s="39"/>
      <c r="G113" s="39"/>
      <c r="H113" s="39"/>
      <c r="I113" s="39"/>
      <c r="J113" s="39"/>
      <c r="K113" s="39"/>
      <c r="L113" s="39"/>
      <c r="M113" s="39"/>
      <c r="N113" s="39"/>
      <c r="O113" s="39"/>
      <c r="P113" s="39"/>
      <c r="Q113" s="39"/>
      <c r="R113" s="39"/>
      <c r="S113" s="239"/>
      <c r="AE113" s="174"/>
    </row>
    <row r="114" ht="15.75" customHeight="1">
      <c r="C114" s="98"/>
      <c r="D114" s="98"/>
      <c r="E114" s="39"/>
      <c r="F114" s="39"/>
      <c r="G114" s="39"/>
      <c r="H114" s="39"/>
      <c r="I114" s="39"/>
      <c r="J114" s="39"/>
      <c r="K114" s="39"/>
      <c r="L114" s="39"/>
      <c r="M114" s="39"/>
      <c r="N114" s="39"/>
      <c r="O114" s="39"/>
      <c r="P114" s="39"/>
      <c r="Q114" s="39"/>
      <c r="R114" s="39"/>
      <c r="S114" s="239"/>
      <c r="AE114" s="174"/>
    </row>
    <row r="115" ht="15.75" customHeight="1">
      <c r="C115" s="98"/>
      <c r="D115" s="98"/>
      <c r="E115" s="39"/>
      <c r="F115" s="39"/>
      <c r="G115" s="39"/>
      <c r="H115" s="39"/>
      <c r="I115" s="39"/>
      <c r="J115" s="39"/>
      <c r="K115" s="39"/>
      <c r="L115" s="39"/>
      <c r="M115" s="39"/>
      <c r="N115" s="39"/>
      <c r="O115" s="39"/>
      <c r="P115" s="39"/>
      <c r="Q115" s="39"/>
      <c r="R115" s="39"/>
      <c r="S115" s="239"/>
      <c r="AE115" s="174"/>
    </row>
    <row r="116" ht="15.75" customHeight="1">
      <c r="C116" s="98"/>
      <c r="D116" s="98"/>
      <c r="E116" s="39"/>
      <c r="F116" s="39"/>
      <c r="G116" s="39"/>
      <c r="H116" s="39"/>
      <c r="I116" s="39"/>
      <c r="J116" s="39"/>
      <c r="K116" s="39"/>
      <c r="L116" s="39"/>
      <c r="M116" s="39"/>
      <c r="N116" s="39"/>
      <c r="O116" s="39"/>
      <c r="P116" s="39"/>
      <c r="Q116" s="39"/>
      <c r="R116" s="39"/>
      <c r="S116" s="239"/>
      <c r="AE116" s="174"/>
    </row>
    <row r="117" ht="15.75" customHeight="1">
      <c r="C117" s="98"/>
      <c r="D117" s="98"/>
      <c r="E117" s="39"/>
      <c r="F117" s="39"/>
      <c r="G117" s="39"/>
      <c r="H117" s="39"/>
      <c r="I117" s="39"/>
      <c r="J117" s="39"/>
      <c r="K117" s="39"/>
      <c r="L117" s="39"/>
      <c r="M117" s="39"/>
      <c r="N117" s="39"/>
      <c r="O117" s="39"/>
      <c r="P117" s="39"/>
      <c r="Q117" s="39"/>
      <c r="R117" s="39"/>
      <c r="S117" s="239"/>
      <c r="AE117" s="174"/>
    </row>
    <row r="118" ht="15.75" customHeight="1">
      <c r="C118" s="98"/>
      <c r="D118" s="98"/>
      <c r="E118" s="39"/>
      <c r="F118" s="39"/>
      <c r="G118" s="39"/>
      <c r="H118" s="39"/>
      <c r="I118" s="39"/>
      <c r="J118" s="39"/>
      <c r="K118" s="39"/>
      <c r="L118" s="39"/>
      <c r="M118" s="39"/>
      <c r="N118" s="39"/>
      <c r="O118" s="39"/>
      <c r="P118" s="39"/>
      <c r="Q118" s="39"/>
      <c r="R118" s="39"/>
      <c r="S118" s="239"/>
      <c r="AE118" s="174"/>
    </row>
    <row r="119" ht="15.75" customHeight="1">
      <c r="C119" s="98"/>
      <c r="D119" s="98"/>
      <c r="E119" s="39"/>
      <c r="F119" s="39"/>
      <c r="G119" s="39"/>
      <c r="H119" s="39"/>
      <c r="I119" s="39"/>
      <c r="J119" s="39"/>
      <c r="K119" s="39"/>
      <c r="L119" s="39"/>
      <c r="M119" s="39"/>
      <c r="N119" s="39"/>
      <c r="O119" s="39"/>
      <c r="P119" s="39"/>
      <c r="Q119" s="39"/>
      <c r="R119" s="39"/>
      <c r="S119" s="239"/>
      <c r="AE119" s="174"/>
    </row>
    <row r="120" ht="15.75" customHeight="1">
      <c r="C120" s="98"/>
      <c r="D120" s="98"/>
      <c r="E120" s="39"/>
      <c r="F120" s="39"/>
      <c r="G120" s="39"/>
      <c r="H120" s="39"/>
      <c r="I120" s="39"/>
      <c r="J120" s="39"/>
      <c r="K120" s="39"/>
      <c r="L120" s="39"/>
      <c r="M120" s="39"/>
      <c r="N120" s="39"/>
      <c r="O120" s="39"/>
      <c r="P120" s="39"/>
      <c r="Q120" s="39"/>
      <c r="R120" s="39"/>
      <c r="S120" s="239"/>
      <c r="AE120" s="174"/>
    </row>
    <row r="121" ht="15.75" customHeight="1">
      <c r="C121" s="98"/>
      <c r="D121" s="98"/>
      <c r="E121" s="39"/>
      <c r="F121" s="39"/>
      <c r="G121" s="39"/>
      <c r="H121" s="39"/>
      <c r="I121" s="39"/>
      <c r="J121" s="39"/>
      <c r="K121" s="39"/>
      <c r="L121" s="39"/>
      <c r="M121" s="39"/>
      <c r="N121" s="39"/>
      <c r="O121" s="39"/>
      <c r="P121" s="39"/>
      <c r="Q121" s="39"/>
      <c r="R121" s="39"/>
      <c r="S121" s="239"/>
      <c r="AE121" s="174"/>
    </row>
    <row r="122" ht="15.75" customHeight="1">
      <c r="C122" s="98"/>
      <c r="D122" s="98"/>
      <c r="E122" s="39"/>
      <c r="F122" s="39"/>
      <c r="G122" s="39"/>
      <c r="H122" s="39"/>
      <c r="I122" s="39"/>
      <c r="J122" s="39"/>
      <c r="K122" s="39"/>
      <c r="L122" s="39"/>
      <c r="M122" s="39"/>
      <c r="N122" s="39"/>
      <c r="O122" s="39"/>
      <c r="P122" s="39"/>
      <c r="Q122" s="39"/>
      <c r="R122" s="39"/>
      <c r="S122" s="239"/>
      <c r="AE122" s="174"/>
    </row>
    <row r="123" ht="15.75" customHeight="1">
      <c r="C123" s="98"/>
      <c r="D123" s="98"/>
      <c r="E123" s="39"/>
      <c r="F123" s="39"/>
      <c r="G123" s="39"/>
      <c r="H123" s="39"/>
      <c r="I123" s="39"/>
      <c r="J123" s="39"/>
      <c r="K123" s="39"/>
      <c r="L123" s="39"/>
      <c r="M123" s="39"/>
      <c r="N123" s="39"/>
      <c r="O123" s="39"/>
      <c r="P123" s="39"/>
      <c r="Q123" s="39"/>
      <c r="R123" s="39"/>
      <c r="S123" s="239"/>
      <c r="AE123" s="174"/>
    </row>
    <row r="124" ht="15.75" customHeight="1">
      <c r="C124" s="98"/>
      <c r="D124" s="98"/>
      <c r="E124" s="39"/>
      <c r="F124" s="39"/>
      <c r="G124" s="39"/>
      <c r="H124" s="39"/>
      <c r="I124" s="39"/>
      <c r="J124" s="39"/>
      <c r="K124" s="39"/>
      <c r="L124" s="39"/>
      <c r="M124" s="39"/>
      <c r="N124" s="39"/>
      <c r="O124" s="39"/>
      <c r="P124" s="39"/>
      <c r="Q124" s="39"/>
      <c r="R124" s="39"/>
      <c r="S124" s="239"/>
      <c r="AE124" s="174"/>
    </row>
    <row r="125" ht="15.75" customHeight="1">
      <c r="C125" s="98"/>
      <c r="D125" s="98"/>
      <c r="E125" s="39"/>
      <c r="F125" s="39"/>
      <c r="G125" s="39"/>
      <c r="H125" s="39"/>
      <c r="I125" s="39"/>
      <c r="J125" s="39"/>
      <c r="K125" s="39"/>
      <c r="L125" s="39"/>
      <c r="M125" s="39"/>
      <c r="N125" s="39"/>
      <c r="O125" s="39"/>
      <c r="P125" s="39"/>
      <c r="Q125" s="39"/>
      <c r="R125" s="39"/>
      <c r="S125" s="239"/>
      <c r="AE125" s="174"/>
    </row>
    <row r="126" ht="15.75" customHeight="1">
      <c r="C126" s="98"/>
      <c r="D126" s="98"/>
      <c r="E126" s="39"/>
      <c r="F126" s="39"/>
      <c r="G126" s="39"/>
      <c r="H126" s="39"/>
      <c r="I126" s="39"/>
      <c r="J126" s="39"/>
      <c r="K126" s="39"/>
      <c r="L126" s="39"/>
      <c r="M126" s="39"/>
      <c r="N126" s="39"/>
      <c r="O126" s="39"/>
      <c r="P126" s="39"/>
      <c r="Q126" s="39"/>
      <c r="R126" s="39"/>
      <c r="S126" s="239"/>
      <c r="AE126" s="174"/>
    </row>
    <row r="127" ht="15.75" customHeight="1">
      <c r="C127" s="98"/>
      <c r="D127" s="98"/>
      <c r="E127" s="39"/>
      <c r="F127" s="39"/>
      <c r="G127" s="39"/>
      <c r="H127" s="39"/>
      <c r="I127" s="39"/>
      <c r="J127" s="39"/>
      <c r="K127" s="39"/>
      <c r="L127" s="39"/>
      <c r="M127" s="39"/>
      <c r="N127" s="39"/>
      <c r="O127" s="39"/>
      <c r="P127" s="39"/>
      <c r="Q127" s="39"/>
      <c r="R127" s="39"/>
      <c r="S127" s="239"/>
      <c r="AE127" s="174"/>
    </row>
    <row r="128" ht="15.75" customHeight="1">
      <c r="C128" s="98"/>
      <c r="D128" s="98"/>
      <c r="E128" s="39"/>
      <c r="F128" s="39"/>
      <c r="G128" s="39"/>
      <c r="H128" s="39"/>
      <c r="I128" s="39"/>
      <c r="J128" s="39"/>
      <c r="K128" s="39"/>
      <c r="L128" s="39"/>
      <c r="M128" s="39"/>
      <c r="N128" s="39"/>
      <c r="O128" s="39"/>
      <c r="P128" s="39"/>
      <c r="Q128" s="39"/>
      <c r="R128" s="39"/>
      <c r="S128" s="239"/>
      <c r="AE128" s="174"/>
    </row>
    <row r="129" ht="15.75" customHeight="1">
      <c r="C129" s="98"/>
      <c r="D129" s="98"/>
      <c r="E129" s="39"/>
      <c r="F129" s="39"/>
      <c r="G129" s="39"/>
      <c r="H129" s="39"/>
      <c r="I129" s="39"/>
      <c r="J129" s="39"/>
      <c r="K129" s="39"/>
      <c r="L129" s="39"/>
      <c r="M129" s="39"/>
      <c r="N129" s="39"/>
      <c r="O129" s="39"/>
      <c r="P129" s="39"/>
      <c r="Q129" s="39"/>
      <c r="R129" s="39"/>
      <c r="S129" s="239"/>
      <c r="AE129" s="174"/>
    </row>
    <row r="130" ht="15.75" customHeight="1">
      <c r="C130" s="98"/>
      <c r="D130" s="98"/>
      <c r="E130" s="39"/>
      <c r="F130" s="39"/>
      <c r="G130" s="39"/>
      <c r="H130" s="39"/>
      <c r="I130" s="39"/>
      <c r="J130" s="39"/>
      <c r="K130" s="39"/>
      <c r="L130" s="39"/>
      <c r="M130" s="39"/>
      <c r="N130" s="39"/>
      <c r="O130" s="39"/>
      <c r="P130" s="39"/>
      <c r="Q130" s="39"/>
      <c r="R130" s="39"/>
      <c r="S130" s="239"/>
      <c r="AE130" s="174"/>
    </row>
    <row r="131" ht="15.75" customHeight="1">
      <c r="C131" s="98"/>
      <c r="D131" s="98"/>
      <c r="E131" s="39"/>
      <c r="F131" s="39"/>
      <c r="G131" s="39"/>
      <c r="H131" s="39"/>
      <c r="I131" s="39"/>
      <c r="J131" s="39"/>
      <c r="K131" s="39"/>
      <c r="L131" s="39"/>
      <c r="M131" s="39"/>
      <c r="N131" s="39"/>
      <c r="O131" s="39"/>
      <c r="P131" s="39"/>
      <c r="Q131" s="39"/>
      <c r="R131" s="39"/>
      <c r="S131" s="239"/>
      <c r="AE131" s="174"/>
    </row>
    <row r="132" ht="15.75" customHeight="1">
      <c r="C132" s="98"/>
      <c r="D132" s="98"/>
      <c r="E132" s="39"/>
      <c r="F132" s="39"/>
      <c r="G132" s="39"/>
      <c r="H132" s="39"/>
      <c r="I132" s="39"/>
      <c r="J132" s="39"/>
      <c r="K132" s="39"/>
      <c r="L132" s="39"/>
      <c r="M132" s="39"/>
      <c r="N132" s="39"/>
      <c r="O132" s="39"/>
      <c r="P132" s="39"/>
      <c r="Q132" s="39"/>
      <c r="R132" s="39"/>
      <c r="S132" s="239"/>
      <c r="AE132" s="174"/>
    </row>
    <row r="133" ht="15.75" customHeight="1">
      <c r="C133" s="98"/>
      <c r="D133" s="98"/>
      <c r="E133" s="39"/>
      <c r="F133" s="39"/>
      <c r="G133" s="39"/>
      <c r="H133" s="39"/>
      <c r="I133" s="39"/>
      <c r="J133" s="39"/>
      <c r="K133" s="39"/>
      <c r="L133" s="39"/>
      <c r="M133" s="39"/>
      <c r="N133" s="39"/>
      <c r="O133" s="39"/>
      <c r="P133" s="39"/>
      <c r="Q133" s="39"/>
      <c r="R133" s="39"/>
      <c r="S133" s="239"/>
      <c r="AE133" s="174"/>
    </row>
    <row r="134" ht="15.75" customHeight="1">
      <c r="C134" s="98"/>
      <c r="D134" s="98"/>
      <c r="E134" s="39"/>
      <c r="F134" s="39"/>
      <c r="G134" s="39"/>
      <c r="H134" s="39"/>
      <c r="I134" s="39"/>
      <c r="J134" s="39"/>
      <c r="K134" s="39"/>
      <c r="L134" s="39"/>
      <c r="M134" s="39"/>
      <c r="N134" s="39"/>
      <c r="O134" s="39"/>
      <c r="P134" s="39"/>
      <c r="Q134" s="39"/>
      <c r="R134" s="39"/>
      <c r="S134" s="239"/>
      <c r="AE134" s="174"/>
    </row>
    <row r="135" ht="15.75" customHeight="1">
      <c r="C135" s="98"/>
      <c r="D135" s="98"/>
      <c r="E135" s="39"/>
      <c r="F135" s="39"/>
      <c r="G135" s="39"/>
      <c r="H135" s="39"/>
      <c r="I135" s="39"/>
      <c r="J135" s="39"/>
      <c r="K135" s="39"/>
      <c r="L135" s="39"/>
      <c r="M135" s="39"/>
      <c r="N135" s="39"/>
      <c r="O135" s="39"/>
      <c r="P135" s="39"/>
      <c r="Q135" s="39"/>
      <c r="R135" s="39"/>
      <c r="S135" s="239"/>
      <c r="AE135" s="174"/>
    </row>
    <row r="136" ht="15.75" customHeight="1">
      <c r="C136" s="98"/>
      <c r="D136" s="98"/>
      <c r="E136" s="39"/>
      <c r="F136" s="39"/>
      <c r="G136" s="39"/>
      <c r="H136" s="39"/>
      <c r="I136" s="39"/>
      <c r="J136" s="39"/>
      <c r="K136" s="39"/>
      <c r="L136" s="39"/>
      <c r="M136" s="39"/>
      <c r="N136" s="39"/>
      <c r="O136" s="39"/>
      <c r="P136" s="39"/>
      <c r="Q136" s="39"/>
      <c r="R136" s="39"/>
      <c r="S136" s="239"/>
      <c r="AE136" s="174"/>
    </row>
    <row r="137" ht="15.75" customHeight="1">
      <c r="C137" s="98"/>
      <c r="D137" s="98"/>
      <c r="E137" s="39"/>
      <c r="F137" s="39"/>
      <c r="G137" s="39"/>
      <c r="H137" s="39"/>
      <c r="I137" s="39"/>
      <c r="J137" s="39"/>
      <c r="K137" s="39"/>
      <c r="L137" s="39"/>
      <c r="M137" s="39"/>
      <c r="N137" s="39"/>
      <c r="O137" s="39"/>
      <c r="P137" s="39"/>
      <c r="Q137" s="39"/>
      <c r="R137" s="39"/>
      <c r="S137" s="239"/>
      <c r="AE137" s="174"/>
    </row>
    <row r="138" ht="15.75" customHeight="1">
      <c r="C138" s="98"/>
      <c r="D138" s="98"/>
      <c r="E138" s="39"/>
      <c r="F138" s="39"/>
      <c r="G138" s="39"/>
      <c r="H138" s="39"/>
      <c r="I138" s="39"/>
      <c r="J138" s="39"/>
      <c r="K138" s="39"/>
      <c r="L138" s="39"/>
      <c r="M138" s="39"/>
      <c r="N138" s="39"/>
      <c r="O138" s="39"/>
      <c r="P138" s="39"/>
      <c r="Q138" s="39"/>
      <c r="R138" s="39"/>
      <c r="S138" s="239"/>
      <c r="AE138" s="174"/>
    </row>
    <row r="139" ht="15.75" customHeight="1">
      <c r="C139" s="98"/>
      <c r="D139" s="98"/>
      <c r="E139" s="39"/>
      <c r="F139" s="39"/>
      <c r="G139" s="39"/>
      <c r="H139" s="39"/>
      <c r="I139" s="39"/>
      <c r="J139" s="39"/>
      <c r="K139" s="39"/>
      <c r="L139" s="39"/>
      <c r="M139" s="39"/>
      <c r="N139" s="39"/>
      <c r="O139" s="39"/>
      <c r="P139" s="39"/>
      <c r="Q139" s="39"/>
      <c r="R139" s="39"/>
      <c r="S139" s="239"/>
      <c r="AE139" s="174"/>
    </row>
    <row r="140" ht="15.75" customHeight="1">
      <c r="C140" s="98"/>
      <c r="D140" s="98"/>
      <c r="E140" s="39"/>
      <c r="F140" s="39"/>
      <c r="G140" s="39"/>
      <c r="H140" s="39"/>
      <c r="I140" s="39"/>
      <c r="J140" s="39"/>
      <c r="K140" s="39"/>
      <c r="L140" s="39"/>
      <c r="M140" s="39"/>
      <c r="N140" s="39"/>
      <c r="O140" s="39"/>
      <c r="P140" s="39"/>
      <c r="Q140" s="39"/>
      <c r="R140" s="39"/>
      <c r="S140" s="239"/>
      <c r="AE140" s="174"/>
    </row>
    <row r="141" ht="15.75" customHeight="1">
      <c r="C141" s="98"/>
      <c r="D141" s="98"/>
      <c r="E141" s="39"/>
      <c r="F141" s="39"/>
      <c r="G141" s="39"/>
      <c r="H141" s="39"/>
      <c r="I141" s="39"/>
      <c r="J141" s="39"/>
      <c r="K141" s="39"/>
      <c r="L141" s="39"/>
      <c r="M141" s="39"/>
      <c r="N141" s="39"/>
      <c r="O141" s="39"/>
      <c r="P141" s="39"/>
      <c r="Q141" s="39"/>
      <c r="R141" s="39"/>
      <c r="S141" s="239"/>
      <c r="AE141" s="174"/>
    </row>
    <row r="142" ht="15.75" customHeight="1">
      <c r="C142" s="98"/>
      <c r="D142" s="98"/>
      <c r="E142" s="39"/>
      <c r="F142" s="39"/>
      <c r="G142" s="39"/>
      <c r="H142" s="39"/>
      <c r="I142" s="39"/>
      <c r="J142" s="39"/>
      <c r="K142" s="39"/>
      <c r="L142" s="39"/>
      <c r="M142" s="39"/>
      <c r="N142" s="39"/>
      <c r="O142" s="39"/>
      <c r="P142" s="39"/>
      <c r="Q142" s="39"/>
      <c r="R142" s="39"/>
      <c r="S142" s="239"/>
      <c r="AE142" s="174"/>
    </row>
    <row r="143" ht="15.75" customHeight="1">
      <c r="C143" s="98"/>
      <c r="D143" s="98"/>
      <c r="E143" s="39"/>
      <c r="F143" s="39"/>
      <c r="G143" s="39"/>
      <c r="H143" s="39"/>
      <c r="I143" s="39"/>
      <c r="J143" s="39"/>
      <c r="K143" s="39"/>
      <c r="L143" s="39"/>
      <c r="M143" s="39"/>
      <c r="N143" s="39"/>
      <c r="O143" s="39"/>
      <c r="P143" s="39"/>
      <c r="Q143" s="39"/>
      <c r="R143" s="39"/>
      <c r="S143" s="239"/>
      <c r="AE143" s="174"/>
    </row>
    <row r="144" ht="15.75" customHeight="1">
      <c r="C144" s="98"/>
      <c r="D144" s="98"/>
      <c r="E144" s="39"/>
      <c r="F144" s="39"/>
      <c r="G144" s="39"/>
      <c r="H144" s="39"/>
      <c r="I144" s="39"/>
      <c r="J144" s="39"/>
      <c r="K144" s="39"/>
      <c r="L144" s="39"/>
      <c r="M144" s="39"/>
      <c r="N144" s="39"/>
      <c r="O144" s="39"/>
      <c r="P144" s="39"/>
      <c r="Q144" s="39"/>
      <c r="R144" s="39"/>
      <c r="S144" s="239"/>
      <c r="AE144" s="174"/>
    </row>
    <row r="145" ht="15.75" customHeight="1">
      <c r="C145" s="98"/>
      <c r="D145" s="98"/>
      <c r="E145" s="39"/>
      <c r="F145" s="39"/>
      <c r="G145" s="39"/>
      <c r="H145" s="39"/>
      <c r="I145" s="39"/>
      <c r="J145" s="39"/>
      <c r="K145" s="39"/>
      <c r="L145" s="39"/>
      <c r="M145" s="39"/>
      <c r="N145" s="39"/>
      <c r="O145" s="39"/>
      <c r="P145" s="39"/>
      <c r="Q145" s="39"/>
      <c r="R145" s="39"/>
      <c r="S145" s="239"/>
      <c r="AE145" s="174"/>
    </row>
    <row r="146" ht="15.75" customHeight="1">
      <c r="C146" s="98"/>
      <c r="D146" s="98"/>
      <c r="E146" s="39"/>
      <c r="F146" s="39"/>
      <c r="G146" s="39"/>
      <c r="H146" s="39"/>
      <c r="I146" s="39"/>
      <c r="J146" s="39"/>
      <c r="K146" s="39"/>
      <c r="L146" s="39"/>
      <c r="M146" s="39"/>
      <c r="N146" s="39"/>
      <c r="O146" s="39"/>
      <c r="P146" s="39"/>
      <c r="Q146" s="39"/>
      <c r="R146" s="39"/>
      <c r="S146" s="239"/>
      <c r="AE146" s="174"/>
    </row>
    <row r="147" ht="15.75" customHeight="1">
      <c r="C147" s="98"/>
      <c r="D147" s="98"/>
      <c r="E147" s="39"/>
      <c r="F147" s="39"/>
      <c r="G147" s="39"/>
      <c r="H147" s="39"/>
      <c r="I147" s="39"/>
      <c r="J147" s="39"/>
      <c r="K147" s="39"/>
      <c r="L147" s="39"/>
      <c r="M147" s="39"/>
      <c r="N147" s="39"/>
      <c r="O147" s="39"/>
      <c r="P147" s="39"/>
      <c r="Q147" s="39"/>
      <c r="R147" s="39"/>
      <c r="S147" s="239"/>
      <c r="AE147" s="174"/>
    </row>
    <row r="148" ht="15.75" customHeight="1">
      <c r="C148" s="98"/>
      <c r="D148" s="98"/>
      <c r="E148" s="39"/>
      <c r="F148" s="39"/>
      <c r="G148" s="39"/>
      <c r="H148" s="39"/>
      <c r="I148" s="39"/>
      <c r="J148" s="39"/>
      <c r="K148" s="39"/>
      <c r="L148" s="39"/>
      <c r="M148" s="39"/>
      <c r="N148" s="39"/>
      <c r="O148" s="39"/>
      <c r="P148" s="39"/>
      <c r="Q148" s="39"/>
      <c r="R148" s="39"/>
      <c r="S148" s="239"/>
      <c r="AE148" s="174"/>
    </row>
    <row r="149" ht="15.75" customHeight="1">
      <c r="C149" s="98"/>
      <c r="D149" s="98"/>
      <c r="E149" s="39"/>
      <c r="F149" s="39"/>
      <c r="G149" s="39"/>
      <c r="H149" s="39"/>
      <c r="I149" s="39"/>
      <c r="J149" s="39"/>
      <c r="K149" s="39"/>
      <c r="L149" s="39"/>
      <c r="M149" s="39"/>
      <c r="N149" s="39"/>
      <c r="O149" s="39"/>
      <c r="P149" s="39"/>
      <c r="Q149" s="39"/>
      <c r="R149" s="39"/>
      <c r="S149" s="239"/>
      <c r="AE149" s="174"/>
    </row>
    <row r="150" ht="15.75" customHeight="1">
      <c r="C150" s="98"/>
      <c r="D150" s="98"/>
      <c r="E150" s="39"/>
      <c r="F150" s="39"/>
      <c r="G150" s="39"/>
      <c r="H150" s="39"/>
      <c r="I150" s="39"/>
      <c r="J150" s="39"/>
      <c r="K150" s="39"/>
      <c r="L150" s="39"/>
      <c r="M150" s="39"/>
      <c r="N150" s="39"/>
      <c r="O150" s="39"/>
      <c r="P150" s="39"/>
      <c r="Q150" s="39"/>
      <c r="R150" s="39"/>
      <c r="S150" s="239"/>
      <c r="AE150" s="174"/>
    </row>
    <row r="151" ht="15.75" customHeight="1">
      <c r="C151" s="98"/>
      <c r="D151" s="98"/>
      <c r="E151" s="39"/>
      <c r="F151" s="39"/>
      <c r="G151" s="39"/>
      <c r="H151" s="39"/>
      <c r="I151" s="39"/>
      <c r="J151" s="39"/>
      <c r="K151" s="39"/>
      <c r="L151" s="39"/>
      <c r="M151" s="39"/>
      <c r="N151" s="39"/>
      <c r="O151" s="39"/>
      <c r="P151" s="39"/>
      <c r="Q151" s="39"/>
      <c r="R151" s="39"/>
      <c r="S151" s="239"/>
      <c r="AE151" s="174"/>
    </row>
    <row r="152" ht="15.75" customHeight="1">
      <c r="C152" s="98"/>
      <c r="D152" s="98"/>
      <c r="E152" s="39"/>
      <c r="F152" s="39"/>
      <c r="G152" s="39"/>
      <c r="H152" s="39"/>
      <c r="I152" s="39"/>
      <c r="J152" s="39"/>
      <c r="K152" s="39"/>
      <c r="L152" s="39"/>
      <c r="M152" s="39"/>
      <c r="N152" s="39"/>
      <c r="O152" s="39"/>
      <c r="P152" s="39"/>
      <c r="Q152" s="39"/>
      <c r="R152" s="39"/>
      <c r="S152" s="239"/>
      <c r="AE152" s="174"/>
    </row>
    <row r="153" ht="15.75" customHeight="1">
      <c r="C153" s="98"/>
      <c r="D153" s="98"/>
      <c r="E153" s="39"/>
      <c r="F153" s="39"/>
      <c r="G153" s="39"/>
      <c r="H153" s="39"/>
      <c r="I153" s="39"/>
      <c r="J153" s="39"/>
      <c r="K153" s="39"/>
      <c r="L153" s="39"/>
      <c r="M153" s="39"/>
      <c r="N153" s="39"/>
      <c r="O153" s="39"/>
      <c r="P153" s="39"/>
      <c r="Q153" s="39"/>
      <c r="R153" s="39"/>
      <c r="S153" s="239"/>
      <c r="AE153" s="174"/>
    </row>
    <row r="154" ht="15.75" customHeight="1">
      <c r="C154" s="98"/>
      <c r="D154" s="98"/>
      <c r="E154" s="39"/>
      <c r="F154" s="39"/>
      <c r="G154" s="39"/>
      <c r="H154" s="39"/>
      <c r="I154" s="39"/>
      <c r="J154" s="39"/>
      <c r="K154" s="39"/>
      <c r="L154" s="39"/>
      <c r="M154" s="39"/>
      <c r="N154" s="39"/>
      <c r="O154" s="39"/>
      <c r="P154" s="39"/>
      <c r="Q154" s="39"/>
      <c r="R154" s="39"/>
      <c r="S154" s="239"/>
      <c r="AE154" s="174"/>
    </row>
    <row r="155" ht="15.75" customHeight="1">
      <c r="C155" s="98"/>
      <c r="D155" s="98"/>
      <c r="E155" s="39"/>
      <c r="F155" s="39"/>
      <c r="G155" s="39"/>
      <c r="H155" s="39"/>
      <c r="I155" s="39"/>
      <c r="J155" s="39"/>
      <c r="K155" s="39"/>
      <c r="L155" s="39"/>
      <c r="M155" s="39"/>
      <c r="N155" s="39"/>
      <c r="O155" s="39"/>
      <c r="P155" s="39"/>
      <c r="Q155" s="39"/>
      <c r="R155" s="39"/>
      <c r="S155" s="239"/>
      <c r="AE155" s="174"/>
    </row>
    <row r="156" ht="15.75" customHeight="1">
      <c r="C156" s="98"/>
      <c r="D156" s="98"/>
      <c r="E156" s="39"/>
      <c r="F156" s="39"/>
      <c r="G156" s="39"/>
      <c r="H156" s="39"/>
      <c r="I156" s="39"/>
      <c r="J156" s="39"/>
      <c r="K156" s="39"/>
      <c r="L156" s="39"/>
      <c r="M156" s="39"/>
      <c r="N156" s="39"/>
      <c r="O156" s="39"/>
      <c r="P156" s="39"/>
      <c r="Q156" s="39"/>
      <c r="R156" s="39"/>
      <c r="S156" s="239"/>
      <c r="AE156" s="174"/>
    </row>
    <row r="157" ht="15.75" customHeight="1">
      <c r="C157" s="98"/>
      <c r="D157" s="98"/>
      <c r="E157" s="39"/>
      <c r="F157" s="39"/>
      <c r="G157" s="39"/>
      <c r="H157" s="39"/>
      <c r="I157" s="39"/>
      <c r="J157" s="39"/>
      <c r="K157" s="39"/>
      <c r="L157" s="39"/>
      <c r="M157" s="39"/>
      <c r="N157" s="39"/>
      <c r="O157" s="39"/>
      <c r="P157" s="39"/>
      <c r="Q157" s="39"/>
      <c r="R157" s="39"/>
      <c r="S157" s="239"/>
      <c r="AE157" s="174"/>
    </row>
    <row r="158" ht="15.75" customHeight="1">
      <c r="C158" s="98"/>
      <c r="D158" s="98"/>
      <c r="E158" s="39"/>
      <c r="F158" s="39"/>
      <c r="G158" s="39"/>
      <c r="H158" s="39"/>
      <c r="I158" s="39"/>
      <c r="J158" s="39"/>
      <c r="K158" s="39"/>
      <c r="L158" s="39"/>
      <c r="M158" s="39"/>
      <c r="N158" s="39"/>
      <c r="O158" s="39"/>
      <c r="P158" s="39"/>
      <c r="Q158" s="39"/>
      <c r="R158" s="39"/>
      <c r="S158" s="239"/>
      <c r="AE158" s="174"/>
    </row>
    <row r="159" ht="15.75" customHeight="1">
      <c r="C159" s="98"/>
      <c r="D159" s="98"/>
      <c r="E159" s="39"/>
      <c r="F159" s="39"/>
      <c r="G159" s="39"/>
      <c r="H159" s="39"/>
      <c r="I159" s="39"/>
      <c r="J159" s="39"/>
      <c r="K159" s="39"/>
      <c r="L159" s="39"/>
      <c r="M159" s="39"/>
      <c r="N159" s="39"/>
      <c r="O159" s="39"/>
      <c r="P159" s="39"/>
      <c r="Q159" s="39"/>
      <c r="R159" s="39"/>
      <c r="S159" s="239"/>
      <c r="AE159" s="174"/>
    </row>
    <row r="160" ht="15.75" customHeight="1">
      <c r="C160" s="98"/>
      <c r="D160" s="98"/>
      <c r="E160" s="39"/>
      <c r="F160" s="39"/>
      <c r="G160" s="39"/>
      <c r="H160" s="39"/>
      <c r="I160" s="39"/>
      <c r="J160" s="39"/>
      <c r="K160" s="39"/>
      <c r="L160" s="39"/>
      <c r="M160" s="39"/>
      <c r="N160" s="39"/>
      <c r="O160" s="39"/>
      <c r="P160" s="39"/>
      <c r="Q160" s="39"/>
      <c r="R160" s="39"/>
      <c r="S160" s="239"/>
      <c r="AE160" s="174"/>
    </row>
    <row r="161" ht="15.75" customHeight="1">
      <c r="C161" s="98"/>
      <c r="D161" s="98"/>
      <c r="E161" s="39"/>
      <c r="F161" s="39"/>
      <c r="G161" s="39"/>
      <c r="H161" s="39"/>
      <c r="I161" s="39"/>
      <c r="J161" s="39"/>
      <c r="K161" s="39"/>
      <c r="L161" s="39"/>
      <c r="M161" s="39"/>
      <c r="N161" s="39"/>
      <c r="O161" s="39"/>
      <c r="P161" s="39"/>
      <c r="Q161" s="39"/>
      <c r="R161" s="39"/>
      <c r="S161" s="239"/>
      <c r="AE161" s="174"/>
    </row>
    <row r="162" ht="15.75" customHeight="1">
      <c r="C162" s="98"/>
      <c r="D162" s="98"/>
      <c r="E162" s="39"/>
      <c r="F162" s="39"/>
      <c r="G162" s="39"/>
      <c r="H162" s="39"/>
      <c r="I162" s="39"/>
      <c r="J162" s="39"/>
      <c r="K162" s="39"/>
      <c r="L162" s="39"/>
      <c r="M162" s="39"/>
      <c r="N162" s="39"/>
      <c r="O162" s="39"/>
      <c r="P162" s="39"/>
      <c r="Q162" s="39"/>
      <c r="R162" s="39"/>
      <c r="S162" s="239"/>
      <c r="AE162" s="174"/>
    </row>
    <row r="163" ht="15.75" customHeight="1">
      <c r="C163" s="98"/>
      <c r="D163" s="98"/>
      <c r="E163" s="39"/>
      <c r="F163" s="39"/>
      <c r="G163" s="39"/>
      <c r="H163" s="39"/>
      <c r="I163" s="39"/>
      <c r="J163" s="39"/>
      <c r="K163" s="39"/>
      <c r="L163" s="39"/>
      <c r="M163" s="39"/>
      <c r="N163" s="39"/>
      <c r="O163" s="39"/>
      <c r="P163" s="39"/>
      <c r="Q163" s="39"/>
      <c r="R163" s="39"/>
      <c r="S163" s="239"/>
      <c r="AE163" s="174"/>
    </row>
    <row r="164" ht="15.75" customHeight="1">
      <c r="C164" s="98"/>
      <c r="D164" s="98"/>
      <c r="E164" s="39"/>
      <c r="F164" s="39"/>
      <c r="G164" s="39"/>
      <c r="H164" s="39"/>
      <c r="I164" s="39"/>
      <c r="J164" s="39"/>
      <c r="K164" s="39"/>
      <c r="L164" s="39"/>
      <c r="M164" s="39"/>
      <c r="N164" s="39"/>
      <c r="O164" s="39"/>
      <c r="P164" s="39"/>
      <c r="Q164" s="39"/>
      <c r="R164" s="39"/>
      <c r="S164" s="239"/>
      <c r="AE164" s="174"/>
    </row>
    <row r="165" ht="15.75" customHeight="1">
      <c r="C165" s="98"/>
      <c r="D165" s="98"/>
      <c r="E165" s="39"/>
      <c r="F165" s="39"/>
      <c r="G165" s="39"/>
      <c r="H165" s="39"/>
      <c r="I165" s="39"/>
      <c r="J165" s="39"/>
      <c r="K165" s="39"/>
      <c r="L165" s="39"/>
      <c r="M165" s="39"/>
      <c r="N165" s="39"/>
      <c r="O165" s="39"/>
      <c r="P165" s="39"/>
      <c r="Q165" s="39"/>
      <c r="R165" s="39"/>
      <c r="S165" s="239"/>
      <c r="AE165" s="174"/>
    </row>
    <row r="166" ht="15.75" customHeight="1">
      <c r="C166" s="98"/>
      <c r="D166" s="98"/>
      <c r="E166" s="39"/>
      <c r="F166" s="39"/>
      <c r="G166" s="39"/>
      <c r="H166" s="39"/>
      <c r="I166" s="39"/>
      <c r="J166" s="39"/>
      <c r="K166" s="39"/>
      <c r="L166" s="39"/>
      <c r="M166" s="39"/>
      <c r="N166" s="39"/>
      <c r="O166" s="39"/>
      <c r="P166" s="39"/>
      <c r="Q166" s="39"/>
      <c r="R166" s="39"/>
      <c r="S166" s="239"/>
      <c r="AE166" s="174"/>
    </row>
    <row r="167" ht="15.75" customHeight="1">
      <c r="C167" s="98"/>
      <c r="D167" s="98"/>
      <c r="E167" s="39"/>
      <c r="F167" s="39"/>
      <c r="G167" s="39"/>
      <c r="H167" s="39"/>
      <c r="I167" s="39"/>
      <c r="J167" s="39"/>
      <c r="K167" s="39"/>
      <c r="L167" s="39"/>
      <c r="M167" s="39"/>
      <c r="N167" s="39"/>
      <c r="O167" s="39"/>
      <c r="P167" s="39"/>
      <c r="Q167" s="39"/>
      <c r="R167" s="39"/>
      <c r="S167" s="239"/>
      <c r="AE167" s="174"/>
    </row>
    <row r="168" ht="15.75" customHeight="1">
      <c r="C168" s="98"/>
      <c r="D168" s="98"/>
      <c r="E168" s="39"/>
      <c r="F168" s="39"/>
      <c r="G168" s="39"/>
      <c r="H168" s="39"/>
      <c r="I168" s="39"/>
      <c r="J168" s="39"/>
      <c r="K168" s="39"/>
      <c r="L168" s="39"/>
      <c r="M168" s="39"/>
      <c r="N168" s="39"/>
      <c r="O168" s="39"/>
      <c r="P168" s="39"/>
      <c r="Q168" s="39"/>
      <c r="R168" s="39"/>
      <c r="S168" s="239"/>
      <c r="AE168" s="174"/>
    </row>
    <row r="169" ht="15.75" customHeight="1">
      <c r="C169" s="98"/>
      <c r="D169" s="98"/>
      <c r="E169" s="39"/>
      <c r="F169" s="39"/>
      <c r="G169" s="39"/>
      <c r="H169" s="39"/>
      <c r="I169" s="39"/>
      <c r="J169" s="39"/>
      <c r="K169" s="39"/>
      <c r="L169" s="39"/>
      <c r="M169" s="39"/>
      <c r="N169" s="39"/>
      <c r="O169" s="39"/>
      <c r="P169" s="39"/>
      <c r="Q169" s="39"/>
      <c r="R169" s="39"/>
      <c r="S169" s="239"/>
      <c r="AE169" s="174"/>
    </row>
    <row r="170" ht="15.75" customHeight="1">
      <c r="C170" s="98"/>
      <c r="D170" s="98"/>
      <c r="E170" s="39"/>
      <c r="F170" s="39"/>
      <c r="G170" s="39"/>
      <c r="H170" s="39"/>
      <c r="I170" s="39"/>
      <c r="J170" s="39"/>
      <c r="K170" s="39"/>
      <c r="L170" s="39"/>
      <c r="M170" s="39"/>
      <c r="N170" s="39"/>
      <c r="O170" s="39"/>
      <c r="P170" s="39"/>
      <c r="Q170" s="39"/>
      <c r="R170" s="39"/>
      <c r="S170" s="239"/>
      <c r="AE170" s="174"/>
    </row>
    <row r="171" ht="15.75" customHeight="1">
      <c r="C171" s="98"/>
      <c r="D171" s="98"/>
      <c r="E171" s="39"/>
      <c r="F171" s="39"/>
      <c r="G171" s="39"/>
      <c r="H171" s="39"/>
      <c r="I171" s="39"/>
      <c r="J171" s="39"/>
      <c r="K171" s="39"/>
      <c r="L171" s="39"/>
      <c r="M171" s="39"/>
      <c r="N171" s="39"/>
      <c r="O171" s="39"/>
      <c r="P171" s="39"/>
      <c r="Q171" s="39"/>
      <c r="R171" s="39"/>
      <c r="S171" s="239"/>
      <c r="AE171" s="174"/>
    </row>
    <row r="172" ht="15.75" customHeight="1">
      <c r="C172" s="98"/>
      <c r="D172" s="98"/>
      <c r="E172" s="39"/>
      <c r="F172" s="39"/>
      <c r="G172" s="39"/>
      <c r="H172" s="39"/>
      <c r="I172" s="39"/>
      <c r="J172" s="39"/>
      <c r="K172" s="39"/>
      <c r="L172" s="39"/>
      <c r="M172" s="39"/>
      <c r="N172" s="39"/>
      <c r="O172" s="39"/>
      <c r="P172" s="39"/>
      <c r="Q172" s="39"/>
      <c r="R172" s="39"/>
      <c r="S172" s="239"/>
      <c r="AE172" s="174"/>
    </row>
    <row r="173" ht="15.75" customHeight="1">
      <c r="C173" s="98"/>
      <c r="D173" s="98"/>
      <c r="E173" s="39"/>
      <c r="F173" s="39"/>
      <c r="G173" s="39"/>
      <c r="H173" s="39"/>
      <c r="I173" s="39"/>
      <c r="J173" s="39"/>
      <c r="K173" s="39"/>
      <c r="L173" s="39"/>
      <c r="M173" s="39"/>
      <c r="N173" s="39"/>
      <c r="O173" s="39"/>
      <c r="P173" s="39"/>
      <c r="Q173" s="39"/>
      <c r="R173" s="39"/>
      <c r="S173" s="239"/>
      <c r="AE173" s="174"/>
    </row>
    <row r="174" ht="15.75" customHeight="1">
      <c r="C174" s="98"/>
      <c r="D174" s="98"/>
      <c r="E174" s="39"/>
      <c r="F174" s="39"/>
      <c r="G174" s="39"/>
      <c r="H174" s="39"/>
      <c r="I174" s="39"/>
      <c r="J174" s="39"/>
      <c r="K174" s="39"/>
      <c r="L174" s="39"/>
      <c r="M174" s="39"/>
      <c r="N174" s="39"/>
      <c r="O174" s="39"/>
      <c r="P174" s="39"/>
      <c r="Q174" s="39"/>
      <c r="R174" s="39"/>
      <c r="S174" s="239"/>
      <c r="AE174" s="174"/>
    </row>
    <row r="175" ht="15.75" customHeight="1">
      <c r="C175" s="98"/>
      <c r="D175" s="98"/>
      <c r="E175" s="39"/>
      <c r="F175" s="39"/>
      <c r="G175" s="39"/>
      <c r="H175" s="39"/>
      <c r="I175" s="39"/>
      <c r="J175" s="39"/>
      <c r="K175" s="39"/>
      <c r="L175" s="39"/>
      <c r="M175" s="39"/>
      <c r="N175" s="39"/>
      <c r="O175" s="39"/>
      <c r="P175" s="39"/>
      <c r="Q175" s="39"/>
      <c r="R175" s="39"/>
      <c r="S175" s="239"/>
      <c r="AE175" s="174"/>
    </row>
    <row r="176" ht="15.75" customHeight="1">
      <c r="C176" s="98"/>
      <c r="D176" s="98"/>
      <c r="E176" s="39"/>
      <c r="F176" s="39"/>
      <c r="G176" s="39"/>
      <c r="H176" s="39"/>
      <c r="I176" s="39"/>
      <c r="J176" s="39"/>
      <c r="K176" s="39"/>
      <c r="L176" s="39"/>
      <c r="M176" s="39"/>
      <c r="N176" s="39"/>
      <c r="O176" s="39"/>
      <c r="P176" s="39"/>
      <c r="Q176" s="39"/>
      <c r="R176" s="39"/>
      <c r="S176" s="239"/>
      <c r="AE176" s="174"/>
    </row>
    <row r="177" ht="15.75" customHeight="1">
      <c r="C177" s="98"/>
      <c r="D177" s="98"/>
      <c r="E177" s="39"/>
      <c r="F177" s="39"/>
      <c r="G177" s="39"/>
      <c r="H177" s="39"/>
      <c r="I177" s="39"/>
      <c r="J177" s="39"/>
      <c r="K177" s="39"/>
      <c r="L177" s="39"/>
      <c r="M177" s="39"/>
      <c r="N177" s="39"/>
      <c r="O177" s="39"/>
      <c r="P177" s="39"/>
      <c r="Q177" s="39"/>
      <c r="R177" s="39"/>
      <c r="S177" s="239"/>
      <c r="AE177" s="174"/>
    </row>
    <row r="178" ht="15.75" customHeight="1">
      <c r="C178" s="98"/>
      <c r="D178" s="98"/>
      <c r="E178" s="39"/>
      <c r="F178" s="39"/>
      <c r="G178" s="39"/>
      <c r="H178" s="39"/>
      <c r="I178" s="39"/>
      <c r="J178" s="39"/>
      <c r="K178" s="39"/>
      <c r="L178" s="39"/>
      <c r="M178" s="39"/>
      <c r="N178" s="39"/>
      <c r="O178" s="39"/>
      <c r="P178" s="39"/>
      <c r="Q178" s="39"/>
      <c r="R178" s="39"/>
      <c r="S178" s="239"/>
      <c r="AE178" s="174"/>
    </row>
    <row r="179" ht="15.75" customHeight="1">
      <c r="C179" s="98"/>
      <c r="D179" s="98"/>
      <c r="E179" s="39"/>
      <c r="F179" s="39"/>
      <c r="G179" s="39"/>
      <c r="H179" s="39"/>
      <c r="I179" s="39"/>
      <c r="J179" s="39"/>
      <c r="K179" s="39"/>
      <c r="L179" s="39"/>
      <c r="M179" s="39"/>
      <c r="N179" s="39"/>
      <c r="O179" s="39"/>
      <c r="P179" s="39"/>
      <c r="Q179" s="39"/>
      <c r="R179" s="39"/>
      <c r="S179" s="239"/>
      <c r="AE179" s="174"/>
    </row>
    <row r="180" ht="15.75" customHeight="1">
      <c r="C180" s="98"/>
      <c r="D180" s="98"/>
      <c r="E180" s="39"/>
      <c r="F180" s="39"/>
      <c r="G180" s="39"/>
      <c r="H180" s="39"/>
      <c r="I180" s="39"/>
      <c r="J180" s="39"/>
      <c r="K180" s="39"/>
      <c r="L180" s="39"/>
      <c r="M180" s="39"/>
      <c r="N180" s="39"/>
      <c r="O180" s="39"/>
      <c r="P180" s="39"/>
      <c r="Q180" s="39"/>
      <c r="R180" s="39"/>
      <c r="S180" s="239"/>
      <c r="AE180" s="174"/>
    </row>
    <row r="181" ht="15.75" customHeight="1">
      <c r="C181" s="98"/>
      <c r="D181" s="98"/>
      <c r="E181" s="39"/>
      <c r="F181" s="39"/>
      <c r="G181" s="39"/>
      <c r="H181" s="39"/>
      <c r="I181" s="39"/>
      <c r="J181" s="39"/>
      <c r="K181" s="39"/>
      <c r="L181" s="39"/>
      <c r="M181" s="39"/>
      <c r="N181" s="39"/>
      <c r="O181" s="39"/>
      <c r="P181" s="39"/>
      <c r="Q181" s="39"/>
      <c r="R181" s="39"/>
      <c r="S181" s="239"/>
      <c r="AE181" s="174"/>
    </row>
    <row r="182" ht="15.75" customHeight="1">
      <c r="C182" s="98"/>
      <c r="D182" s="98"/>
      <c r="E182" s="39"/>
      <c r="F182" s="39"/>
      <c r="G182" s="39"/>
      <c r="H182" s="39"/>
      <c r="I182" s="39"/>
      <c r="J182" s="39"/>
      <c r="K182" s="39"/>
      <c r="L182" s="39"/>
      <c r="M182" s="39"/>
      <c r="N182" s="39"/>
      <c r="O182" s="39"/>
      <c r="P182" s="39"/>
      <c r="Q182" s="39"/>
      <c r="R182" s="39"/>
      <c r="S182" s="239"/>
      <c r="AE182" s="174"/>
    </row>
    <row r="183" ht="15.75" customHeight="1">
      <c r="C183" s="98"/>
      <c r="D183" s="98"/>
      <c r="E183" s="39"/>
      <c r="F183" s="39"/>
      <c r="G183" s="39"/>
      <c r="H183" s="39"/>
      <c r="I183" s="39"/>
      <c r="J183" s="39"/>
      <c r="K183" s="39"/>
      <c r="L183" s="39"/>
      <c r="M183" s="39"/>
      <c r="N183" s="39"/>
      <c r="O183" s="39"/>
      <c r="P183" s="39"/>
      <c r="Q183" s="39"/>
      <c r="R183" s="39"/>
      <c r="S183" s="239"/>
      <c r="AE183" s="174"/>
    </row>
    <row r="184" ht="15.75" customHeight="1">
      <c r="C184" s="98"/>
      <c r="D184" s="98"/>
      <c r="E184" s="39"/>
      <c r="F184" s="39"/>
      <c r="G184" s="39"/>
      <c r="H184" s="39"/>
      <c r="I184" s="39"/>
      <c r="J184" s="39"/>
      <c r="K184" s="39"/>
      <c r="L184" s="39"/>
      <c r="M184" s="39"/>
      <c r="N184" s="39"/>
      <c r="O184" s="39"/>
      <c r="P184" s="39"/>
      <c r="Q184" s="39"/>
      <c r="R184" s="39"/>
      <c r="S184" s="239"/>
      <c r="AE184" s="174"/>
    </row>
    <row r="185" ht="15.75" customHeight="1">
      <c r="C185" s="98"/>
      <c r="D185" s="98"/>
      <c r="E185" s="39"/>
      <c r="F185" s="39"/>
      <c r="G185" s="39"/>
      <c r="H185" s="39"/>
      <c r="I185" s="39"/>
      <c r="J185" s="39"/>
      <c r="K185" s="39"/>
      <c r="L185" s="39"/>
      <c r="M185" s="39"/>
      <c r="N185" s="39"/>
      <c r="O185" s="39"/>
      <c r="P185" s="39"/>
      <c r="Q185" s="39"/>
      <c r="R185" s="39"/>
      <c r="S185" s="239"/>
      <c r="AE185" s="174"/>
    </row>
    <row r="186" ht="15.75" customHeight="1">
      <c r="C186" s="98"/>
      <c r="D186" s="98"/>
      <c r="E186" s="39"/>
      <c r="F186" s="39"/>
      <c r="G186" s="39"/>
      <c r="H186" s="39"/>
      <c r="I186" s="39"/>
      <c r="J186" s="39"/>
      <c r="K186" s="39"/>
      <c r="L186" s="39"/>
      <c r="M186" s="39"/>
      <c r="N186" s="39"/>
      <c r="O186" s="39"/>
      <c r="P186" s="39"/>
      <c r="Q186" s="39"/>
      <c r="R186" s="39"/>
      <c r="S186" s="239"/>
      <c r="AE186" s="174"/>
    </row>
    <row r="187" ht="15.75" customHeight="1">
      <c r="C187" s="98"/>
      <c r="D187" s="98"/>
      <c r="E187" s="39"/>
      <c r="F187" s="39"/>
      <c r="G187" s="39"/>
      <c r="H187" s="39"/>
      <c r="I187" s="39"/>
      <c r="J187" s="39"/>
      <c r="K187" s="39"/>
      <c r="L187" s="39"/>
      <c r="M187" s="39"/>
      <c r="N187" s="39"/>
      <c r="O187" s="39"/>
      <c r="P187" s="39"/>
      <c r="Q187" s="39"/>
      <c r="R187" s="39"/>
      <c r="S187" s="239"/>
      <c r="AE187" s="174"/>
    </row>
    <row r="188" ht="15.75" customHeight="1">
      <c r="C188" s="98"/>
      <c r="D188" s="98"/>
      <c r="E188" s="39"/>
      <c r="F188" s="39"/>
      <c r="G188" s="39"/>
      <c r="H188" s="39"/>
      <c r="I188" s="39"/>
      <c r="J188" s="39"/>
      <c r="K188" s="39"/>
      <c r="L188" s="39"/>
      <c r="M188" s="39"/>
      <c r="N188" s="39"/>
      <c r="O188" s="39"/>
      <c r="P188" s="39"/>
      <c r="Q188" s="39"/>
      <c r="R188" s="39"/>
      <c r="S188" s="239"/>
      <c r="AE188" s="174"/>
    </row>
    <row r="189" ht="15.75" customHeight="1">
      <c r="C189" s="98"/>
      <c r="D189" s="98"/>
      <c r="E189" s="39"/>
      <c r="F189" s="39"/>
      <c r="G189" s="39"/>
      <c r="H189" s="39"/>
      <c r="I189" s="39"/>
      <c r="J189" s="39"/>
      <c r="K189" s="39"/>
      <c r="L189" s="39"/>
      <c r="M189" s="39"/>
      <c r="N189" s="39"/>
      <c r="O189" s="39"/>
      <c r="P189" s="39"/>
      <c r="Q189" s="39"/>
      <c r="R189" s="39"/>
      <c r="S189" s="239"/>
      <c r="AE189" s="174"/>
    </row>
    <row r="190" ht="15.75" customHeight="1">
      <c r="C190" s="98"/>
      <c r="D190" s="98"/>
      <c r="E190" s="39"/>
      <c r="F190" s="39"/>
      <c r="G190" s="39"/>
      <c r="H190" s="39"/>
      <c r="I190" s="39"/>
      <c r="J190" s="39"/>
      <c r="K190" s="39"/>
      <c r="L190" s="39"/>
      <c r="M190" s="39"/>
      <c r="N190" s="39"/>
      <c r="O190" s="39"/>
      <c r="P190" s="39"/>
      <c r="Q190" s="39"/>
      <c r="R190" s="39"/>
      <c r="S190" s="239"/>
      <c r="AE190" s="174"/>
    </row>
    <row r="191" ht="15.75" customHeight="1">
      <c r="C191" s="98"/>
      <c r="D191" s="98"/>
      <c r="E191" s="39"/>
      <c r="F191" s="39"/>
      <c r="G191" s="39"/>
      <c r="H191" s="39"/>
      <c r="I191" s="39"/>
      <c r="J191" s="39"/>
      <c r="K191" s="39"/>
      <c r="L191" s="39"/>
      <c r="M191" s="39"/>
      <c r="N191" s="39"/>
      <c r="O191" s="39"/>
      <c r="P191" s="39"/>
      <c r="Q191" s="39"/>
      <c r="R191" s="39"/>
      <c r="S191" s="239"/>
      <c r="AE191" s="174"/>
    </row>
    <row r="192" ht="15.75" customHeight="1">
      <c r="C192" s="98"/>
      <c r="D192" s="98"/>
      <c r="E192" s="39"/>
      <c r="F192" s="39"/>
      <c r="G192" s="39"/>
      <c r="H192" s="39"/>
      <c r="I192" s="39"/>
      <c r="J192" s="39"/>
      <c r="K192" s="39"/>
      <c r="L192" s="39"/>
      <c r="M192" s="39"/>
      <c r="N192" s="39"/>
      <c r="O192" s="39"/>
      <c r="P192" s="39"/>
      <c r="Q192" s="39"/>
      <c r="R192" s="39"/>
      <c r="S192" s="239"/>
      <c r="AE192" s="174"/>
    </row>
    <row r="193" ht="15.75" customHeight="1">
      <c r="C193" s="98"/>
      <c r="D193" s="98"/>
      <c r="E193" s="39"/>
      <c r="F193" s="39"/>
      <c r="G193" s="39"/>
      <c r="H193" s="39"/>
      <c r="I193" s="39"/>
      <c r="J193" s="39"/>
      <c r="K193" s="39"/>
      <c r="L193" s="39"/>
      <c r="M193" s="39"/>
      <c r="N193" s="39"/>
      <c r="O193" s="39"/>
      <c r="P193" s="39"/>
      <c r="Q193" s="39"/>
      <c r="R193" s="39"/>
      <c r="S193" s="239"/>
      <c r="AE193" s="174"/>
    </row>
    <row r="194" ht="15.75" customHeight="1">
      <c r="C194" s="98"/>
      <c r="D194" s="98"/>
      <c r="E194" s="39"/>
      <c r="F194" s="39"/>
      <c r="G194" s="39"/>
      <c r="H194" s="39"/>
      <c r="I194" s="39"/>
      <c r="J194" s="39"/>
      <c r="K194" s="39"/>
      <c r="L194" s="39"/>
      <c r="M194" s="39"/>
      <c r="N194" s="39"/>
      <c r="O194" s="39"/>
      <c r="P194" s="39"/>
      <c r="Q194" s="39"/>
      <c r="R194" s="39"/>
      <c r="S194" s="239"/>
      <c r="AE194" s="174"/>
    </row>
    <row r="195" ht="15.75" customHeight="1">
      <c r="C195" s="98"/>
      <c r="D195" s="98"/>
      <c r="E195" s="39"/>
      <c r="F195" s="39"/>
      <c r="G195" s="39"/>
      <c r="H195" s="39"/>
      <c r="I195" s="39"/>
      <c r="J195" s="39"/>
      <c r="K195" s="39"/>
      <c r="L195" s="39"/>
      <c r="M195" s="39"/>
      <c r="N195" s="39"/>
      <c r="O195" s="39"/>
      <c r="P195" s="39"/>
      <c r="Q195" s="39"/>
      <c r="R195" s="39"/>
      <c r="S195" s="239"/>
      <c r="AE195" s="174"/>
    </row>
    <row r="196" ht="15.75" customHeight="1">
      <c r="C196" s="98"/>
      <c r="D196" s="98"/>
      <c r="E196" s="39"/>
      <c r="F196" s="39"/>
      <c r="G196" s="39"/>
      <c r="H196" s="39"/>
      <c r="I196" s="39"/>
      <c r="J196" s="39"/>
      <c r="K196" s="39"/>
      <c r="L196" s="39"/>
      <c r="M196" s="39"/>
      <c r="N196" s="39"/>
      <c r="O196" s="39"/>
      <c r="P196" s="39"/>
      <c r="Q196" s="39"/>
      <c r="R196" s="39"/>
      <c r="S196" s="239"/>
      <c r="AE196" s="174"/>
    </row>
    <row r="197" ht="15.75" customHeight="1">
      <c r="C197" s="98"/>
      <c r="D197" s="98"/>
      <c r="E197" s="39"/>
      <c r="F197" s="39"/>
      <c r="G197" s="39"/>
      <c r="H197" s="39"/>
      <c r="I197" s="39"/>
      <c r="J197" s="39"/>
      <c r="K197" s="39"/>
      <c r="L197" s="39"/>
      <c r="M197" s="39"/>
      <c r="N197" s="39"/>
      <c r="O197" s="39"/>
      <c r="P197" s="39"/>
      <c r="Q197" s="39"/>
      <c r="R197" s="39"/>
      <c r="S197" s="239"/>
      <c r="AE197" s="174"/>
    </row>
    <row r="198" ht="15.75" customHeight="1">
      <c r="C198" s="98"/>
      <c r="D198" s="98"/>
      <c r="E198" s="39"/>
      <c r="F198" s="39"/>
      <c r="G198" s="39"/>
      <c r="H198" s="39"/>
      <c r="I198" s="39"/>
      <c r="J198" s="39"/>
      <c r="K198" s="39"/>
      <c r="L198" s="39"/>
      <c r="M198" s="39"/>
      <c r="N198" s="39"/>
      <c r="O198" s="39"/>
      <c r="P198" s="39"/>
      <c r="Q198" s="39"/>
      <c r="R198" s="39"/>
      <c r="S198" s="239"/>
      <c r="AE198" s="174"/>
    </row>
    <row r="199" ht="15.75" customHeight="1">
      <c r="C199" s="98"/>
      <c r="D199" s="98"/>
      <c r="E199" s="39"/>
      <c r="F199" s="39"/>
      <c r="G199" s="39"/>
      <c r="H199" s="39"/>
      <c r="I199" s="39"/>
      <c r="J199" s="39"/>
      <c r="K199" s="39"/>
      <c r="L199" s="39"/>
      <c r="M199" s="39"/>
      <c r="N199" s="39"/>
      <c r="O199" s="39"/>
      <c r="P199" s="39"/>
      <c r="Q199" s="39"/>
      <c r="R199" s="39"/>
      <c r="S199" s="239"/>
      <c r="AE199" s="174"/>
    </row>
    <row r="200" ht="15.75" customHeight="1">
      <c r="C200" s="98"/>
      <c r="D200" s="98"/>
      <c r="E200" s="39"/>
      <c r="F200" s="39"/>
      <c r="G200" s="39"/>
      <c r="H200" s="39"/>
      <c r="I200" s="39"/>
      <c r="J200" s="39"/>
      <c r="K200" s="39"/>
      <c r="L200" s="39"/>
      <c r="M200" s="39"/>
      <c r="N200" s="39"/>
      <c r="O200" s="39"/>
      <c r="P200" s="39"/>
      <c r="Q200" s="39"/>
      <c r="R200" s="39"/>
      <c r="S200" s="239"/>
      <c r="AE200" s="174"/>
    </row>
    <row r="201" ht="15.75" customHeight="1">
      <c r="C201" s="98"/>
      <c r="D201" s="98"/>
      <c r="E201" s="39"/>
      <c r="F201" s="39"/>
      <c r="G201" s="39"/>
      <c r="H201" s="39"/>
      <c r="I201" s="39"/>
      <c r="J201" s="39"/>
      <c r="K201" s="39"/>
      <c r="L201" s="39"/>
      <c r="M201" s="39"/>
      <c r="N201" s="39"/>
      <c r="O201" s="39"/>
      <c r="P201" s="39"/>
      <c r="Q201" s="39"/>
      <c r="R201" s="39"/>
      <c r="S201" s="239"/>
      <c r="AE201" s="174"/>
    </row>
    <row r="202" ht="15.75" customHeight="1">
      <c r="C202" s="98"/>
      <c r="D202" s="98"/>
      <c r="E202" s="39"/>
      <c r="F202" s="39"/>
      <c r="G202" s="39"/>
      <c r="H202" s="39"/>
      <c r="I202" s="39"/>
      <c r="J202" s="39"/>
      <c r="K202" s="39"/>
      <c r="L202" s="39"/>
      <c r="M202" s="39"/>
      <c r="N202" s="39"/>
      <c r="O202" s="39"/>
      <c r="P202" s="39"/>
      <c r="Q202" s="39"/>
      <c r="R202" s="39"/>
      <c r="S202" s="239"/>
      <c r="AE202" s="174"/>
    </row>
    <row r="203" ht="15.75" customHeight="1">
      <c r="C203" s="98"/>
      <c r="D203" s="98"/>
      <c r="E203" s="39"/>
      <c r="F203" s="39"/>
      <c r="G203" s="39"/>
      <c r="H203" s="39"/>
      <c r="I203" s="39"/>
      <c r="J203" s="39"/>
      <c r="K203" s="39"/>
      <c r="L203" s="39"/>
      <c r="M203" s="39"/>
      <c r="N203" s="39"/>
      <c r="O203" s="39"/>
      <c r="P203" s="39"/>
      <c r="Q203" s="39"/>
      <c r="R203" s="39"/>
      <c r="S203" s="239"/>
      <c r="AE203" s="174"/>
    </row>
    <row r="204" ht="15.75" customHeight="1">
      <c r="C204" s="98"/>
      <c r="D204" s="98"/>
      <c r="E204" s="39"/>
      <c r="F204" s="39"/>
      <c r="G204" s="39"/>
      <c r="H204" s="39"/>
      <c r="I204" s="39"/>
      <c r="J204" s="39"/>
      <c r="K204" s="39"/>
      <c r="L204" s="39"/>
      <c r="M204" s="39"/>
      <c r="N204" s="39"/>
      <c r="O204" s="39"/>
      <c r="P204" s="39"/>
      <c r="Q204" s="39"/>
      <c r="R204" s="39"/>
      <c r="S204" s="239"/>
      <c r="AE204" s="174"/>
    </row>
    <row r="205" ht="15.75" customHeight="1">
      <c r="C205" s="98"/>
      <c r="D205" s="98"/>
      <c r="E205" s="39"/>
      <c r="F205" s="39"/>
      <c r="G205" s="39"/>
      <c r="H205" s="39"/>
      <c r="I205" s="39"/>
      <c r="J205" s="39"/>
      <c r="K205" s="39"/>
      <c r="L205" s="39"/>
      <c r="M205" s="39"/>
      <c r="N205" s="39"/>
      <c r="O205" s="39"/>
      <c r="P205" s="39"/>
      <c r="Q205" s="39"/>
      <c r="R205" s="39"/>
      <c r="S205" s="239"/>
      <c r="AE205" s="174"/>
    </row>
    <row r="206" ht="15.75" customHeight="1">
      <c r="C206" s="98"/>
      <c r="D206" s="98"/>
      <c r="E206" s="39"/>
      <c r="F206" s="39"/>
      <c r="G206" s="39"/>
      <c r="H206" s="39"/>
      <c r="I206" s="39"/>
      <c r="J206" s="39"/>
      <c r="K206" s="39"/>
      <c r="L206" s="39"/>
      <c r="M206" s="39"/>
      <c r="N206" s="39"/>
      <c r="O206" s="39"/>
      <c r="P206" s="39"/>
      <c r="Q206" s="39"/>
      <c r="R206" s="39"/>
      <c r="S206" s="239"/>
      <c r="AE206" s="174"/>
    </row>
    <row r="207" ht="15.75" customHeight="1">
      <c r="C207" s="98"/>
      <c r="D207" s="98"/>
      <c r="E207" s="39"/>
      <c r="F207" s="39"/>
      <c r="G207" s="39"/>
      <c r="H207" s="39"/>
      <c r="I207" s="39"/>
      <c r="J207" s="39"/>
      <c r="K207" s="39"/>
      <c r="L207" s="39"/>
      <c r="M207" s="39"/>
      <c r="N207" s="39"/>
      <c r="O207" s="39"/>
      <c r="P207" s="39"/>
      <c r="Q207" s="39"/>
      <c r="R207" s="39"/>
      <c r="S207" s="239"/>
      <c r="AE207" s="174"/>
    </row>
    <row r="208" ht="15.75" customHeight="1">
      <c r="C208" s="98"/>
      <c r="D208" s="98"/>
      <c r="E208" s="39"/>
      <c r="F208" s="39"/>
      <c r="G208" s="39"/>
      <c r="H208" s="39"/>
      <c r="I208" s="39"/>
      <c r="J208" s="39"/>
      <c r="K208" s="39"/>
      <c r="L208" s="39"/>
      <c r="M208" s="39"/>
      <c r="N208" s="39"/>
      <c r="O208" s="39"/>
      <c r="P208" s="39"/>
      <c r="Q208" s="39"/>
      <c r="R208" s="39"/>
      <c r="S208" s="239"/>
      <c r="AE208" s="174"/>
    </row>
    <row r="209" ht="15.75" customHeight="1">
      <c r="C209" s="98"/>
      <c r="D209" s="98"/>
      <c r="E209" s="39"/>
      <c r="F209" s="39"/>
      <c r="G209" s="39"/>
      <c r="H209" s="39"/>
      <c r="I209" s="39"/>
      <c r="J209" s="39"/>
      <c r="K209" s="39"/>
      <c r="L209" s="39"/>
      <c r="M209" s="39"/>
      <c r="N209" s="39"/>
      <c r="O209" s="39"/>
      <c r="P209" s="39"/>
      <c r="Q209" s="39"/>
      <c r="R209" s="39"/>
      <c r="S209" s="239"/>
      <c r="AE209" s="174"/>
    </row>
    <row r="210" ht="15.75" customHeight="1">
      <c r="C210" s="98"/>
      <c r="D210" s="98"/>
      <c r="E210" s="39"/>
      <c r="F210" s="39"/>
      <c r="G210" s="39"/>
      <c r="H210" s="39"/>
      <c r="I210" s="39"/>
      <c r="J210" s="39"/>
      <c r="K210" s="39"/>
      <c r="L210" s="39"/>
      <c r="M210" s="39"/>
      <c r="N210" s="39"/>
      <c r="O210" s="39"/>
      <c r="P210" s="39"/>
      <c r="Q210" s="39"/>
      <c r="R210" s="39"/>
      <c r="S210" s="239"/>
      <c r="AE210" s="174"/>
    </row>
    <row r="211" ht="15.75" customHeight="1">
      <c r="C211" s="98"/>
      <c r="D211" s="98"/>
      <c r="E211" s="39"/>
      <c r="F211" s="39"/>
      <c r="G211" s="39"/>
      <c r="H211" s="39"/>
      <c r="I211" s="39"/>
      <c r="J211" s="39"/>
      <c r="K211" s="39"/>
      <c r="L211" s="39"/>
      <c r="M211" s="39"/>
      <c r="N211" s="39"/>
      <c r="O211" s="39"/>
      <c r="P211" s="39"/>
      <c r="Q211" s="39"/>
      <c r="R211" s="39"/>
      <c r="S211" s="239"/>
      <c r="AE211" s="174"/>
    </row>
    <row r="212" ht="15.75" customHeight="1">
      <c r="C212" s="98"/>
      <c r="D212" s="98"/>
      <c r="E212" s="39"/>
      <c r="F212" s="39"/>
      <c r="G212" s="39"/>
      <c r="H212" s="39"/>
      <c r="I212" s="39"/>
      <c r="J212" s="39"/>
      <c r="K212" s="39"/>
      <c r="L212" s="39"/>
      <c r="M212" s="39"/>
      <c r="N212" s="39"/>
      <c r="O212" s="39"/>
      <c r="P212" s="39"/>
      <c r="Q212" s="39"/>
      <c r="R212" s="39"/>
      <c r="S212" s="239"/>
      <c r="AE212" s="174"/>
    </row>
    <row r="213" ht="15.75" customHeight="1">
      <c r="C213" s="98"/>
      <c r="D213" s="98"/>
      <c r="E213" s="39"/>
      <c r="F213" s="39"/>
      <c r="G213" s="39"/>
      <c r="H213" s="39"/>
      <c r="I213" s="39"/>
      <c r="J213" s="39"/>
      <c r="K213" s="39"/>
      <c r="L213" s="39"/>
      <c r="M213" s="39"/>
      <c r="N213" s="39"/>
      <c r="O213" s="39"/>
      <c r="P213" s="39"/>
      <c r="Q213" s="39"/>
      <c r="R213" s="39"/>
      <c r="S213" s="239"/>
      <c r="AE213" s="174"/>
    </row>
    <row r="214" ht="15.75" customHeight="1">
      <c r="C214" s="98"/>
      <c r="D214" s="98"/>
      <c r="E214" s="39"/>
      <c r="F214" s="39"/>
      <c r="G214" s="39"/>
      <c r="H214" s="39"/>
      <c r="I214" s="39"/>
      <c r="J214" s="39"/>
      <c r="K214" s="39"/>
      <c r="L214" s="39"/>
      <c r="M214" s="39"/>
      <c r="N214" s="39"/>
      <c r="O214" s="39"/>
      <c r="P214" s="39"/>
      <c r="Q214" s="39"/>
      <c r="R214" s="39"/>
      <c r="S214" s="239"/>
      <c r="AE214" s="174"/>
    </row>
    <row r="215" ht="15.75" customHeight="1">
      <c r="C215" s="98"/>
      <c r="D215" s="98"/>
      <c r="E215" s="39"/>
      <c r="F215" s="39"/>
      <c r="G215" s="39"/>
      <c r="H215" s="39"/>
      <c r="I215" s="39"/>
      <c r="J215" s="39"/>
      <c r="K215" s="39"/>
      <c r="L215" s="39"/>
      <c r="M215" s="39"/>
      <c r="N215" s="39"/>
      <c r="O215" s="39"/>
      <c r="P215" s="39"/>
      <c r="Q215" s="39"/>
      <c r="R215" s="39"/>
      <c r="S215" s="239"/>
      <c r="AE215" s="174"/>
    </row>
    <row r="216" ht="15.75" customHeight="1">
      <c r="C216" s="98"/>
      <c r="D216" s="98"/>
      <c r="E216" s="39"/>
      <c r="F216" s="39"/>
      <c r="G216" s="39"/>
      <c r="H216" s="39"/>
      <c r="I216" s="39"/>
      <c r="J216" s="39"/>
      <c r="K216" s="39"/>
      <c r="L216" s="39"/>
      <c r="M216" s="39"/>
      <c r="N216" s="39"/>
      <c r="O216" s="39"/>
      <c r="P216" s="39"/>
      <c r="Q216" s="39"/>
      <c r="R216" s="39"/>
      <c r="S216" s="239"/>
      <c r="AE216" s="174"/>
    </row>
    <row r="217" ht="15.75" customHeight="1">
      <c r="C217" s="98"/>
      <c r="D217" s="98"/>
      <c r="E217" s="39"/>
      <c r="F217" s="39"/>
      <c r="G217" s="39"/>
      <c r="H217" s="39"/>
      <c r="I217" s="39"/>
      <c r="J217" s="39"/>
      <c r="K217" s="39"/>
      <c r="L217" s="39"/>
      <c r="M217" s="39"/>
      <c r="N217" s="39"/>
      <c r="O217" s="39"/>
      <c r="P217" s="39"/>
      <c r="Q217" s="39"/>
      <c r="R217" s="39"/>
      <c r="S217" s="239"/>
      <c r="AE217" s="174"/>
    </row>
    <row r="218" ht="15.75" customHeight="1">
      <c r="C218" s="98"/>
      <c r="D218" s="98"/>
      <c r="E218" s="39"/>
      <c r="F218" s="39"/>
      <c r="G218" s="39"/>
      <c r="H218" s="39"/>
      <c r="I218" s="39"/>
      <c r="J218" s="39"/>
      <c r="K218" s="39"/>
      <c r="L218" s="39"/>
      <c r="M218" s="39"/>
      <c r="N218" s="39"/>
      <c r="O218" s="39"/>
      <c r="P218" s="39"/>
      <c r="Q218" s="39"/>
      <c r="R218" s="39"/>
      <c r="S218" s="239"/>
      <c r="AE218" s="174"/>
    </row>
    <row r="219" ht="15.75" customHeight="1">
      <c r="S219" s="239"/>
      <c r="AE219" s="174"/>
    </row>
    <row r="220" ht="15.75" customHeight="1">
      <c r="S220" s="239"/>
      <c r="AE220" s="174"/>
    </row>
    <row r="221" ht="15.75" customHeight="1">
      <c r="S221" s="239"/>
      <c r="AE221" s="174"/>
    </row>
    <row r="222" ht="15.75" customHeight="1">
      <c r="S222" s="239"/>
      <c r="AE222" s="174"/>
    </row>
    <row r="223" ht="15.75" customHeight="1">
      <c r="S223" s="239"/>
      <c r="AE223" s="174"/>
    </row>
    <row r="224" ht="15.75" customHeight="1">
      <c r="S224" s="239"/>
      <c r="AE224" s="174"/>
    </row>
    <row r="225" ht="15.75" customHeight="1">
      <c r="S225" s="239"/>
      <c r="AE225" s="174"/>
    </row>
    <row r="226" ht="15.75" customHeight="1">
      <c r="S226" s="239"/>
      <c r="AE226" s="174"/>
    </row>
    <row r="227" ht="15.75" customHeight="1">
      <c r="S227" s="239"/>
      <c r="AE227" s="174"/>
    </row>
    <row r="228" ht="15.75" customHeight="1">
      <c r="S228" s="239"/>
      <c r="AE228" s="174"/>
    </row>
    <row r="229" ht="15.75" customHeight="1">
      <c r="S229" s="239"/>
      <c r="AE229" s="174"/>
    </row>
    <row r="230" ht="15.75" customHeight="1">
      <c r="S230" s="239"/>
      <c r="AE230" s="174"/>
    </row>
    <row r="231" ht="15.75" customHeight="1">
      <c r="S231" s="239"/>
      <c r="AE231" s="174"/>
    </row>
    <row r="232" ht="15.75" customHeight="1">
      <c r="S232" s="239"/>
      <c r="AE232" s="174"/>
    </row>
    <row r="233" ht="15.75" customHeight="1">
      <c r="S233" s="239"/>
      <c r="AE233" s="174"/>
    </row>
    <row r="234" ht="15.75" customHeight="1">
      <c r="S234" s="239"/>
      <c r="AE234" s="174"/>
    </row>
    <row r="235" ht="15.75" customHeight="1">
      <c r="S235" s="239"/>
      <c r="AE235" s="174"/>
    </row>
    <row r="236" ht="15.75" customHeight="1">
      <c r="S236" s="239"/>
      <c r="AE236" s="174"/>
    </row>
    <row r="237" ht="15.75" customHeight="1">
      <c r="S237" s="239"/>
      <c r="AE237" s="174"/>
    </row>
    <row r="238" ht="15.75" customHeight="1">
      <c r="S238" s="239"/>
      <c r="AE238" s="174"/>
    </row>
    <row r="239" ht="15.75" customHeight="1">
      <c r="S239" s="239"/>
      <c r="AE239" s="174"/>
    </row>
    <row r="240" ht="15.75" customHeight="1">
      <c r="S240" s="239"/>
      <c r="AE240" s="174"/>
    </row>
    <row r="241" ht="15.75" customHeight="1">
      <c r="S241" s="239"/>
      <c r="AE241" s="174"/>
    </row>
    <row r="242" ht="15.75" customHeight="1">
      <c r="S242" s="239"/>
      <c r="AE242" s="174"/>
    </row>
    <row r="243" ht="15.75" customHeight="1">
      <c r="S243" s="239"/>
      <c r="AE243" s="174"/>
    </row>
    <row r="244" ht="15.75" customHeight="1">
      <c r="S244" s="239"/>
      <c r="AE244" s="174"/>
    </row>
    <row r="245" ht="15.75" customHeight="1">
      <c r="S245" s="239"/>
      <c r="AE245" s="174"/>
    </row>
    <row r="246" ht="15.75" customHeight="1">
      <c r="S246" s="239"/>
      <c r="AE246" s="174"/>
    </row>
    <row r="247" ht="15.75" customHeight="1">
      <c r="S247" s="239"/>
      <c r="AE247" s="174"/>
    </row>
    <row r="248" ht="15.75" customHeight="1">
      <c r="S248" s="239"/>
      <c r="AE248" s="174"/>
    </row>
    <row r="249" ht="15.75" customHeight="1">
      <c r="S249" s="239"/>
      <c r="AE249" s="174"/>
    </row>
    <row r="250" ht="15.75" customHeight="1">
      <c r="S250" s="239"/>
      <c r="AE250" s="174"/>
    </row>
    <row r="251" ht="15.75" customHeight="1">
      <c r="S251" s="239"/>
      <c r="AE251" s="174"/>
    </row>
    <row r="252" ht="15.75" customHeight="1">
      <c r="S252" s="239"/>
      <c r="AE252" s="174"/>
    </row>
    <row r="253" ht="15.75" customHeight="1">
      <c r="S253" s="239"/>
      <c r="AE253" s="174"/>
    </row>
    <row r="254" ht="15.75" customHeight="1">
      <c r="S254" s="239"/>
      <c r="AE254" s="174"/>
    </row>
    <row r="255" ht="15.75" customHeight="1">
      <c r="S255" s="239"/>
      <c r="AE255" s="174"/>
    </row>
    <row r="256" ht="15.75" customHeight="1">
      <c r="S256" s="239"/>
      <c r="AE256" s="174"/>
    </row>
    <row r="257" ht="15.75" customHeight="1">
      <c r="S257" s="239"/>
      <c r="AE257" s="174"/>
    </row>
    <row r="258" ht="15.75" customHeight="1">
      <c r="S258" s="239"/>
      <c r="AE258" s="174"/>
    </row>
    <row r="259" ht="15.75" customHeight="1">
      <c r="S259" s="239"/>
      <c r="AE259" s="174"/>
    </row>
    <row r="260" ht="15.75" customHeight="1">
      <c r="S260" s="239"/>
      <c r="AE260" s="174"/>
    </row>
    <row r="261" ht="15.75" customHeight="1">
      <c r="S261" s="239"/>
      <c r="AE261" s="174"/>
    </row>
    <row r="262" ht="15.75" customHeight="1">
      <c r="S262" s="239"/>
      <c r="AE262" s="174"/>
    </row>
    <row r="263" ht="15.75" customHeight="1">
      <c r="S263" s="239"/>
      <c r="AE263" s="174"/>
    </row>
    <row r="264" ht="15.75" customHeight="1">
      <c r="S264" s="239"/>
      <c r="AE264" s="174"/>
    </row>
    <row r="265" ht="15.75" customHeight="1">
      <c r="S265" s="239"/>
      <c r="AE265" s="174"/>
    </row>
    <row r="266" ht="15.75" customHeight="1">
      <c r="S266" s="239"/>
      <c r="AE266" s="174"/>
    </row>
    <row r="267" ht="15.75" customHeight="1">
      <c r="S267" s="239"/>
      <c r="AE267" s="174"/>
    </row>
    <row r="268" ht="15.75" customHeight="1">
      <c r="S268" s="239"/>
      <c r="AE268" s="174"/>
    </row>
    <row r="269" ht="15.75" customHeight="1">
      <c r="S269" s="239"/>
      <c r="AE269" s="174"/>
    </row>
    <row r="270" ht="15.75" customHeight="1">
      <c r="S270" s="239"/>
      <c r="AE270" s="174"/>
    </row>
    <row r="271" ht="15.75" customHeight="1">
      <c r="S271" s="239"/>
      <c r="AE271" s="174"/>
    </row>
    <row r="272" ht="15.75" customHeight="1">
      <c r="S272" s="239"/>
      <c r="AE272" s="174"/>
    </row>
    <row r="273" ht="15.75" customHeight="1">
      <c r="S273" s="239"/>
      <c r="AE273" s="174"/>
    </row>
    <row r="274" ht="15.75" customHeight="1">
      <c r="S274" s="239"/>
      <c r="AE274" s="174"/>
    </row>
    <row r="275" ht="15.75" customHeight="1">
      <c r="S275" s="239"/>
      <c r="AE275" s="174"/>
    </row>
    <row r="276" ht="15.75" customHeight="1">
      <c r="S276" s="239"/>
      <c r="AE276" s="174"/>
    </row>
    <row r="277" ht="15.75" customHeight="1">
      <c r="S277" s="239"/>
      <c r="AE277" s="174"/>
    </row>
    <row r="278" ht="15.75" customHeight="1">
      <c r="S278" s="239"/>
      <c r="AE278" s="174"/>
    </row>
    <row r="279" ht="15.75" customHeight="1">
      <c r="S279" s="239"/>
      <c r="AE279" s="174"/>
    </row>
    <row r="280" ht="15.75" customHeight="1">
      <c r="S280" s="239"/>
      <c r="AE280" s="174"/>
    </row>
    <row r="281" ht="15.75" customHeight="1">
      <c r="S281" s="239"/>
      <c r="AE281" s="174"/>
    </row>
    <row r="282" ht="15.75" customHeight="1">
      <c r="S282" s="239"/>
      <c r="AE282" s="174"/>
    </row>
    <row r="283" ht="15.75" customHeight="1">
      <c r="S283" s="239"/>
      <c r="AE283" s="174"/>
    </row>
    <row r="284" ht="15.75" customHeight="1">
      <c r="S284" s="239"/>
      <c r="AE284" s="174"/>
    </row>
    <row r="285" ht="15.75" customHeight="1">
      <c r="S285" s="239"/>
      <c r="AE285" s="174"/>
    </row>
    <row r="286" ht="15.75" customHeight="1">
      <c r="S286" s="239"/>
      <c r="AE286" s="174"/>
    </row>
    <row r="287" ht="15.75" customHeight="1">
      <c r="S287" s="239"/>
      <c r="AE287" s="174"/>
    </row>
    <row r="288" ht="15.75" customHeight="1">
      <c r="S288" s="239"/>
      <c r="AE288" s="174"/>
    </row>
    <row r="289" ht="15.75" customHeight="1">
      <c r="S289" s="239"/>
      <c r="AE289" s="174"/>
    </row>
    <row r="290" ht="15.75" customHeight="1">
      <c r="S290" s="239"/>
      <c r="AE290" s="174"/>
    </row>
    <row r="291" ht="15.75" customHeight="1">
      <c r="S291" s="239"/>
      <c r="AE291" s="174"/>
    </row>
    <row r="292" ht="15.75" customHeight="1">
      <c r="S292" s="239"/>
      <c r="AE292" s="174"/>
    </row>
    <row r="293" ht="15.75" customHeight="1">
      <c r="S293" s="239"/>
      <c r="AE293" s="174"/>
    </row>
    <row r="294" ht="15.75" customHeight="1">
      <c r="S294" s="239"/>
      <c r="AE294" s="174"/>
    </row>
    <row r="295" ht="15.75" customHeight="1">
      <c r="S295" s="239"/>
      <c r="AE295" s="174"/>
    </row>
    <row r="296" ht="15.75" customHeight="1">
      <c r="S296" s="239"/>
      <c r="AE296" s="174"/>
    </row>
    <row r="297" ht="15.75" customHeight="1">
      <c r="S297" s="239"/>
      <c r="AE297" s="174"/>
    </row>
    <row r="298" ht="15.75" customHeight="1">
      <c r="S298" s="239"/>
      <c r="AE298" s="174"/>
    </row>
    <row r="299" ht="15.75" customHeight="1">
      <c r="S299" s="239"/>
      <c r="AE299" s="174"/>
    </row>
    <row r="300" ht="15.75" customHeight="1">
      <c r="S300" s="239"/>
      <c r="AE300" s="174"/>
    </row>
    <row r="301" ht="15.75" customHeight="1">
      <c r="S301" s="239"/>
      <c r="AE301" s="174"/>
    </row>
    <row r="302" ht="15.75" customHeight="1">
      <c r="S302" s="239"/>
      <c r="AE302" s="174"/>
    </row>
    <row r="303" ht="15.75" customHeight="1">
      <c r="S303" s="239"/>
      <c r="AE303" s="174"/>
    </row>
    <row r="304" ht="15.75" customHeight="1">
      <c r="S304" s="239"/>
      <c r="AE304" s="174"/>
    </row>
    <row r="305" ht="15.75" customHeight="1">
      <c r="S305" s="239"/>
      <c r="AE305" s="174"/>
    </row>
    <row r="306" ht="15.75" customHeight="1">
      <c r="S306" s="239"/>
      <c r="AE306" s="174"/>
    </row>
    <row r="307" ht="15.75" customHeight="1">
      <c r="S307" s="239"/>
      <c r="AE307" s="174"/>
    </row>
    <row r="308" ht="15.75" customHeight="1">
      <c r="S308" s="239"/>
      <c r="AE308" s="174"/>
    </row>
    <row r="309" ht="15.75" customHeight="1">
      <c r="S309" s="239"/>
      <c r="AE309" s="174"/>
    </row>
    <row r="310" ht="15.75" customHeight="1">
      <c r="S310" s="239"/>
      <c r="AE310" s="174"/>
    </row>
    <row r="311" ht="15.75" customHeight="1">
      <c r="S311" s="239"/>
      <c r="AE311" s="174"/>
    </row>
    <row r="312" ht="15.75" customHeight="1">
      <c r="S312" s="239"/>
      <c r="AE312" s="174"/>
    </row>
    <row r="313" ht="15.75" customHeight="1">
      <c r="S313" s="239"/>
      <c r="AE313" s="174"/>
    </row>
    <row r="314" ht="15.75" customHeight="1">
      <c r="S314" s="239"/>
      <c r="AE314" s="174"/>
    </row>
    <row r="315" ht="15.75" customHeight="1">
      <c r="S315" s="239"/>
      <c r="AE315" s="174"/>
    </row>
    <row r="316" ht="15.75" customHeight="1">
      <c r="S316" s="239"/>
      <c r="AE316" s="174"/>
    </row>
    <row r="317" ht="15.75" customHeight="1">
      <c r="S317" s="239"/>
      <c r="AE317" s="174"/>
    </row>
    <row r="318" ht="15.75" customHeight="1">
      <c r="S318" s="239"/>
      <c r="AE318" s="174"/>
    </row>
    <row r="319" ht="15.75" customHeight="1">
      <c r="S319" s="239"/>
      <c r="AE319" s="174"/>
    </row>
    <row r="320" ht="15.75" customHeight="1">
      <c r="S320" s="239"/>
      <c r="AE320" s="174"/>
    </row>
    <row r="321" ht="15.75" customHeight="1">
      <c r="S321" s="239"/>
      <c r="AE321" s="174"/>
    </row>
    <row r="322" ht="15.75" customHeight="1">
      <c r="S322" s="239"/>
      <c r="AE322" s="174"/>
    </row>
    <row r="323" ht="15.75" customHeight="1">
      <c r="S323" s="239"/>
      <c r="AE323" s="174"/>
    </row>
    <row r="324" ht="15.75" customHeight="1">
      <c r="S324" s="239"/>
      <c r="AE324" s="174"/>
    </row>
    <row r="325" ht="15.75" customHeight="1">
      <c r="S325" s="239"/>
      <c r="AE325" s="174"/>
    </row>
    <row r="326" ht="15.75" customHeight="1">
      <c r="S326" s="239"/>
      <c r="AE326" s="174"/>
    </row>
    <row r="327" ht="15.75" customHeight="1">
      <c r="S327" s="239"/>
      <c r="AE327" s="174"/>
    </row>
    <row r="328" ht="15.75" customHeight="1">
      <c r="S328" s="239"/>
      <c r="AE328" s="174"/>
    </row>
    <row r="329" ht="15.75" customHeight="1">
      <c r="S329" s="239"/>
      <c r="AE329" s="174"/>
    </row>
    <row r="330" ht="15.75" customHeight="1">
      <c r="S330" s="239"/>
      <c r="AE330" s="174"/>
    </row>
    <row r="331" ht="15.75" customHeight="1">
      <c r="S331" s="239"/>
      <c r="AE331" s="174"/>
    </row>
    <row r="332" ht="15.75" customHeight="1">
      <c r="S332" s="239"/>
      <c r="AE332" s="174"/>
    </row>
    <row r="333" ht="15.75" customHeight="1">
      <c r="S333" s="239"/>
      <c r="AE333" s="174"/>
    </row>
    <row r="334" ht="15.75" customHeight="1">
      <c r="S334" s="239"/>
      <c r="AE334" s="174"/>
    </row>
    <row r="335" ht="15.75" customHeight="1">
      <c r="S335" s="239"/>
      <c r="AE335" s="174"/>
    </row>
    <row r="336" ht="15.75" customHeight="1">
      <c r="S336" s="239"/>
      <c r="AE336" s="174"/>
    </row>
    <row r="337" ht="15.75" customHeight="1">
      <c r="S337" s="239"/>
      <c r="AE337" s="174"/>
    </row>
    <row r="338" ht="15.75" customHeight="1">
      <c r="S338" s="239"/>
      <c r="AE338" s="174"/>
    </row>
    <row r="339" ht="15.75" customHeight="1">
      <c r="S339" s="239"/>
      <c r="AE339" s="174"/>
    </row>
    <row r="340" ht="15.75" customHeight="1">
      <c r="S340" s="239"/>
      <c r="AE340" s="174"/>
    </row>
    <row r="341" ht="15.75" customHeight="1">
      <c r="S341" s="239"/>
      <c r="AE341" s="174"/>
    </row>
    <row r="342" ht="15.75" customHeight="1">
      <c r="S342" s="239"/>
      <c r="AE342" s="174"/>
    </row>
    <row r="343" ht="15.75" customHeight="1">
      <c r="S343" s="239"/>
      <c r="AE343" s="174"/>
    </row>
    <row r="344" ht="15.75" customHeight="1">
      <c r="S344" s="239"/>
      <c r="AE344" s="174"/>
    </row>
    <row r="345" ht="15.75" customHeight="1">
      <c r="S345" s="239"/>
      <c r="AE345" s="174"/>
    </row>
    <row r="346" ht="15.75" customHeight="1">
      <c r="S346" s="239"/>
      <c r="AE346" s="174"/>
    </row>
    <row r="347" ht="15.75" customHeight="1">
      <c r="S347" s="239"/>
      <c r="AE347" s="174"/>
    </row>
    <row r="348" ht="15.75" customHeight="1">
      <c r="S348" s="239"/>
      <c r="AE348" s="174"/>
    </row>
    <row r="349" ht="15.75" customHeight="1">
      <c r="S349" s="239"/>
      <c r="AE349" s="174"/>
    </row>
    <row r="350" ht="15.75" customHeight="1">
      <c r="S350" s="239"/>
      <c r="AE350" s="174"/>
    </row>
    <row r="351" ht="15.75" customHeight="1">
      <c r="S351" s="239"/>
      <c r="AE351" s="174"/>
    </row>
    <row r="352" ht="15.75" customHeight="1">
      <c r="S352" s="239"/>
      <c r="AE352" s="174"/>
    </row>
    <row r="353" ht="15.75" customHeight="1">
      <c r="S353" s="239"/>
      <c r="AE353" s="174"/>
    </row>
    <row r="354" ht="15.75" customHeight="1">
      <c r="S354" s="239"/>
      <c r="AE354" s="174"/>
    </row>
    <row r="355" ht="15.75" customHeight="1">
      <c r="S355" s="239"/>
      <c r="AE355" s="174"/>
    </row>
    <row r="356" ht="15.75" customHeight="1">
      <c r="S356" s="239"/>
      <c r="AE356" s="174"/>
    </row>
    <row r="357" ht="15.75" customHeight="1">
      <c r="S357" s="239"/>
      <c r="AE357" s="174"/>
    </row>
    <row r="358" ht="15.75" customHeight="1">
      <c r="S358" s="239"/>
      <c r="AE358" s="174"/>
    </row>
    <row r="359" ht="15.75" customHeight="1">
      <c r="S359" s="239"/>
      <c r="AE359" s="174"/>
    </row>
    <row r="360" ht="15.75" customHeight="1">
      <c r="S360" s="239"/>
      <c r="AE360" s="174"/>
    </row>
    <row r="361" ht="15.75" customHeight="1">
      <c r="S361" s="239"/>
      <c r="AE361" s="174"/>
    </row>
    <row r="362" ht="15.75" customHeight="1">
      <c r="S362" s="239"/>
      <c r="AE362" s="174"/>
    </row>
    <row r="363" ht="15.75" customHeight="1">
      <c r="S363" s="239"/>
      <c r="AE363" s="174"/>
    </row>
    <row r="364" ht="15.75" customHeight="1">
      <c r="S364" s="239"/>
      <c r="AE364" s="174"/>
    </row>
    <row r="365" ht="15.75" customHeight="1">
      <c r="S365" s="239"/>
      <c r="AE365" s="174"/>
    </row>
    <row r="366" ht="15.75" customHeight="1">
      <c r="S366" s="239"/>
      <c r="AE366" s="174"/>
    </row>
    <row r="367" ht="15.75" customHeight="1">
      <c r="S367" s="239"/>
      <c r="AE367" s="174"/>
    </row>
    <row r="368" ht="15.75" customHeight="1">
      <c r="S368" s="239"/>
      <c r="AE368" s="174"/>
    </row>
    <row r="369" ht="15.75" customHeight="1">
      <c r="S369" s="239"/>
      <c r="AE369" s="174"/>
    </row>
    <row r="370" ht="15.75" customHeight="1">
      <c r="S370" s="239"/>
      <c r="AE370" s="174"/>
    </row>
    <row r="371" ht="15.75" customHeight="1">
      <c r="S371" s="239"/>
      <c r="AE371" s="174"/>
    </row>
    <row r="372" ht="15.75" customHeight="1">
      <c r="S372" s="239"/>
      <c r="AE372" s="174"/>
    </row>
    <row r="373" ht="15.75" customHeight="1">
      <c r="S373" s="239"/>
      <c r="AE373" s="174"/>
    </row>
    <row r="374" ht="15.75" customHeight="1">
      <c r="S374" s="239"/>
      <c r="AE374" s="174"/>
    </row>
    <row r="375" ht="15.75" customHeight="1">
      <c r="S375" s="239"/>
      <c r="AE375" s="174"/>
    </row>
    <row r="376" ht="15.75" customHeight="1">
      <c r="S376" s="239"/>
      <c r="AE376" s="174"/>
    </row>
    <row r="377" ht="15.75" customHeight="1">
      <c r="S377" s="239"/>
      <c r="AE377" s="174"/>
    </row>
    <row r="378" ht="15.75" customHeight="1">
      <c r="S378" s="239"/>
      <c r="AE378" s="174"/>
    </row>
    <row r="379" ht="15.75" customHeight="1">
      <c r="S379" s="239"/>
      <c r="AE379" s="174"/>
    </row>
    <row r="380" ht="15.75" customHeight="1">
      <c r="S380" s="239"/>
      <c r="AE380" s="174"/>
    </row>
    <row r="381" ht="15.75" customHeight="1">
      <c r="S381" s="239"/>
      <c r="AE381" s="174"/>
    </row>
    <row r="382" ht="15.75" customHeight="1">
      <c r="S382" s="239"/>
      <c r="AE382" s="174"/>
    </row>
    <row r="383" ht="15.75" customHeight="1">
      <c r="S383" s="239"/>
      <c r="AE383" s="174"/>
    </row>
    <row r="384" ht="15.75" customHeight="1">
      <c r="S384" s="239"/>
      <c r="AE384" s="174"/>
    </row>
    <row r="385" ht="15.75" customHeight="1">
      <c r="S385" s="239"/>
      <c r="AE385" s="174"/>
    </row>
    <row r="386" ht="15.75" customHeight="1">
      <c r="S386" s="239"/>
      <c r="AE386" s="174"/>
    </row>
    <row r="387" ht="15.75" customHeight="1">
      <c r="S387" s="239"/>
      <c r="AE387" s="174"/>
    </row>
    <row r="388" ht="15.75" customHeight="1">
      <c r="S388" s="239"/>
      <c r="AE388" s="174"/>
    </row>
    <row r="389" ht="15.75" customHeight="1">
      <c r="S389" s="239"/>
      <c r="AE389" s="174"/>
    </row>
    <row r="390" ht="15.75" customHeight="1">
      <c r="S390" s="239"/>
      <c r="AE390" s="174"/>
    </row>
    <row r="391" ht="15.75" customHeight="1">
      <c r="S391" s="239"/>
      <c r="AE391" s="174"/>
    </row>
    <row r="392" ht="15.75" customHeight="1">
      <c r="S392" s="239"/>
      <c r="AE392" s="174"/>
    </row>
    <row r="393" ht="15.75" customHeight="1">
      <c r="S393" s="239"/>
      <c r="AE393" s="174"/>
    </row>
    <row r="394" ht="15.75" customHeight="1">
      <c r="S394" s="239"/>
      <c r="AE394" s="174"/>
    </row>
    <row r="395" ht="15.75" customHeight="1">
      <c r="S395" s="239"/>
      <c r="AE395" s="174"/>
    </row>
    <row r="396" ht="15.75" customHeight="1">
      <c r="S396" s="239"/>
      <c r="AE396" s="174"/>
    </row>
    <row r="397" ht="15.75" customHeight="1">
      <c r="S397" s="239"/>
      <c r="AE397" s="174"/>
    </row>
    <row r="398" ht="15.75" customHeight="1">
      <c r="S398" s="239"/>
      <c r="AE398" s="174"/>
    </row>
    <row r="399" ht="15.75" customHeight="1">
      <c r="S399" s="239"/>
      <c r="AE399" s="174"/>
    </row>
    <row r="400" ht="15.75" customHeight="1">
      <c r="S400" s="239"/>
      <c r="AE400" s="174"/>
    </row>
    <row r="401" ht="15.75" customHeight="1">
      <c r="S401" s="239"/>
      <c r="AE401" s="174"/>
    </row>
    <row r="402" ht="15.75" customHeight="1">
      <c r="S402" s="239"/>
      <c r="AE402" s="174"/>
    </row>
    <row r="403" ht="15.75" customHeight="1">
      <c r="S403" s="239"/>
      <c r="AE403" s="174"/>
    </row>
    <row r="404" ht="15.75" customHeight="1">
      <c r="S404" s="239"/>
      <c r="AE404" s="174"/>
    </row>
    <row r="405" ht="15.75" customHeight="1">
      <c r="S405" s="239"/>
      <c r="AE405" s="174"/>
    </row>
    <row r="406" ht="15.75" customHeight="1">
      <c r="S406" s="239"/>
      <c r="AE406" s="174"/>
    </row>
    <row r="407" ht="15.75" customHeight="1">
      <c r="S407" s="239"/>
      <c r="AE407" s="174"/>
    </row>
    <row r="408" ht="15.75" customHeight="1">
      <c r="S408" s="239"/>
      <c r="AE408" s="174"/>
    </row>
    <row r="409" ht="15.75" customHeight="1">
      <c r="S409" s="239"/>
      <c r="AE409" s="174"/>
    </row>
    <row r="410" ht="15.75" customHeight="1">
      <c r="S410" s="239"/>
      <c r="AE410" s="174"/>
    </row>
    <row r="411" ht="15.75" customHeight="1">
      <c r="S411" s="239"/>
      <c r="AE411" s="174"/>
    </row>
    <row r="412" ht="15.75" customHeight="1">
      <c r="S412" s="239"/>
      <c r="AE412" s="174"/>
    </row>
    <row r="413" ht="15.75" customHeight="1">
      <c r="S413" s="239"/>
      <c r="AE413" s="174"/>
    </row>
    <row r="414" ht="15.75" customHeight="1">
      <c r="S414" s="239"/>
      <c r="AE414" s="174"/>
    </row>
    <row r="415" ht="15.75" customHeight="1">
      <c r="S415" s="239"/>
      <c r="AE415" s="174"/>
    </row>
    <row r="416" ht="15.75" customHeight="1">
      <c r="S416" s="239"/>
      <c r="AE416" s="174"/>
    </row>
    <row r="417" ht="15.75" customHeight="1">
      <c r="S417" s="239"/>
      <c r="AE417" s="174"/>
    </row>
    <row r="418" ht="15.75" customHeight="1">
      <c r="S418" s="239"/>
      <c r="AE418" s="174"/>
    </row>
    <row r="419" ht="15.75" customHeight="1">
      <c r="S419" s="239"/>
      <c r="AE419" s="174"/>
    </row>
    <row r="420" ht="15.75" customHeight="1">
      <c r="S420" s="239"/>
      <c r="AE420" s="174"/>
    </row>
    <row r="421" ht="15.75" customHeight="1">
      <c r="S421" s="239"/>
      <c r="AE421" s="174"/>
    </row>
    <row r="422" ht="15.75" customHeight="1">
      <c r="S422" s="239"/>
      <c r="AE422" s="174"/>
    </row>
    <row r="423" ht="15.75" customHeight="1">
      <c r="S423" s="239"/>
      <c r="AE423" s="174"/>
    </row>
    <row r="424" ht="15.75" customHeight="1">
      <c r="S424" s="239"/>
      <c r="AE424" s="174"/>
    </row>
    <row r="425" ht="15.75" customHeight="1">
      <c r="S425" s="239"/>
      <c r="AE425" s="174"/>
    </row>
    <row r="426" ht="15.75" customHeight="1">
      <c r="S426" s="239"/>
      <c r="AE426" s="174"/>
    </row>
    <row r="427" ht="15.75" customHeight="1">
      <c r="S427" s="239"/>
      <c r="AE427" s="174"/>
    </row>
    <row r="428" ht="15.75" customHeight="1">
      <c r="S428" s="239"/>
      <c r="AE428" s="174"/>
    </row>
    <row r="429" ht="15.75" customHeight="1">
      <c r="S429" s="239"/>
      <c r="AE429" s="174"/>
    </row>
    <row r="430" ht="15.75" customHeight="1">
      <c r="S430" s="239"/>
      <c r="AE430" s="174"/>
    </row>
    <row r="431" ht="15.75" customHeight="1">
      <c r="S431" s="239"/>
      <c r="AE431" s="174"/>
    </row>
    <row r="432" ht="15.75" customHeight="1">
      <c r="S432" s="239"/>
      <c r="AE432" s="174"/>
    </row>
    <row r="433" ht="15.75" customHeight="1">
      <c r="S433" s="239"/>
      <c r="AE433" s="174"/>
    </row>
    <row r="434" ht="15.75" customHeight="1">
      <c r="S434" s="239"/>
      <c r="AE434" s="174"/>
    </row>
    <row r="435" ht="15.75" customHeight="1">
      <c r="S435" s="239"/>
      <c r="AE435" s="174"/>
    </row>
    <row r="436" ht="15.75" customHeight="1">
      <c r="S436" s="239"/>
      <c r="AE436" s="174"/>
    </row>
    <row r="437" ht="15.75" customHeight="1">
      <c r="S437" s="239"/>
      <c r="AE437" s="174"/>
    </row>
    <row r="438" ht="15.75" customHeight="1">
      <c r="S438" s="239"/>
      <c r="AE438" s="174"/>
    </row>
    <row r="439" ht="15.75" customHeight="1">
      <c r="S439" s="239"/>
      <c r="AE439" s="174"/>
    </row>
    <row r="440" ht="15.75" customHeight="1">
      <c r="S440" s="239"/>
      <c r="AE440" s="174"/>
    </row>
    <row r="441" ht="15.75" customHeight="1">
      <c r="S441" s="239"/>
      <c r="AE441" s="174"/>
    </row>
    <row r="442" ht="15.75" customHeight="1">
      <c r="S442" s="239"/>
      <c r="AE442" s="174"/>
    </row>
    <row r="443" ht="15.75" customHeight="1">
      <c r="S443" s="239"/>
      <c r="AE443" s="174"/>
    </row>
    <row r="444" ht="15.75" customHeight="1">
      <c r="S444" s="239"/>
      <c r="AE444" s="174"/>
    </row>
    <row r="445" ht="15.75" customHeight="1">
      <c r="S445" s="239"/>
      <c r="AE445" s="174"/>
    </row>
    <row r="446" ht="15.75" customHeight="1">
      <c r="S446" s="239"/>
      <c r="AE446" s="174"/>
    </row>
    <row r="447" ht="15.75" customHeight="1">
      <c r="S447" s="239"/>
      <c r="AE447" s="174"/>
    </row>
    <row r="448" ht="15.75" customHeight="1">
      <c r="S448" s="239"/>
      <c r="AE448" s="174"/>
    </row>
    <row r="449" ht="15.75" customHeight="1">
      <c r="S449" s="239"/>
      <c r="AE449" s="174"/>
    </row>
    <row r="450" ht="15.75" customHeight="1">
      <c r="S450" s="239"/>
      <c r="AE450" s="174"/>
    </row>
    <row r="451" ht="15.75" customHeight="1">
      <c r="S451" s="239"/>
      <c r="AE451" s="174"/>
    </row>
    <row r="452" ht="15.75" customHeight="1">
      <c r="S452" s="239"/>
      <c r="AE452" s="174"/>
    </row>
    <row r="453" ht="15.75" customHeight="1">
      <c r="S453" s="239"/>
      <c r="AE453" s="174"/>
    </row>
    <row r="454" ht="15.75" customHeight="1">
      <c r="S454" s="239"/>
      <c r="AE454" s="174"/>
    </row>
    <row r="455" ht="15.75" customHeight="1">
      <c r="S455" s="239"/>
      <c r="AE455" s="174"/>
    </row>
    <row r="456" ht="15.75" customHeight="1">
      <c r="S456" s="239"/>
      <c r="AE456" s="174"/>
    </row>
    <row r="457" ht="15.75" customHeight="1">
      <c r="S457" s="239"/>
      <c r="AE457" s="174"/>
    </row>
    <row r="458" ht="15.75" customHeight="1">
      <c r="S458" s="239"/>
      <c r="AE458" s="174"/>
    </row>
    <row r="459" ht="15.75" customHeight="1">
      <c r="S459" s="239"/>
      <c r="AE459" s="174"/>
    </row>
    <row r="460" ht="15.75" customHeight="1">
      <c r="S460" s="239"/>
      <c r="AE460" s="174"/>
    </row>
    <row r="461" ht="15.75" customHeight="1">
      <c r="S461" s="239"/>
      <c r="AE461" s="174"/>
    </row>
    <row r="462" ht="15.75" customHeight="1">
      <c r="S462" s="239"/>
      <c r="AE462" s="174"/>
    </row>
    <row r="463" ht="15.75" customHeight="1">
      <c r="S463" s="239"/>
      <c r="AE463" s="174"/>
    </row>
    <row r="464" ht="15.75" customHeight="1">
      <c r="S464" s="239"/>
      <c r="AE464" s="174"/>
    </row>
    <row r="465" ht="15.75" customHeight="1">
      <c r="S465" s="239"/>
      <c r="AE465" s="174"/>
    </row>
    <row r="466" ht="15.75" customHeight="1">
      <c r="S466" s="239"/>
      <c r="AE466" s="174"/>
    </row>
    <row r="467" ht="15.75" customHeight="1">
      <c r="S467" s="239"/>
      <c r="AE467" s="174"/>
    </row>
    <row r="468" ht="15.75" customHeight="1">
      <c r="S468" s="239"/>
      <c r="AE468" s="174"/>
    </row>
    <row r="469" ht="15.75" customHeight="1">
      <c r="S469" s="239"/>
      <c r="AE469" s="174"/>
    </row>
    <row r="470" ht="15.75" customHeight="1">
      <c r="S470" s="239"/>
      <c r="AE470" s="174"/>
    </row>
    <row r="471" ht="15.75" customHeight="1">
      <c r="S471" s="239"/>
      <c r="AE471" s="174"/>
    </row>
    <row r="472" ht="15.75" customHeight="1">
      <c r="S472" s="239"/>
      <c r="AE472" s="174"/>
    </row>
    <row r="473" ht="15.75" customHeight="1">
      <c r="S473" s="239"/>
      <c r="AE473" s="174"/>
    </row>
    <row r="474" ht="15.75" customHeight="1">
      <c r="S474" s="239"/>
      <c r="AE474" s="174"/>
    </row>
    <row r="475" ht="15.75" customHeight="1">
      <c r="S475" s="239"/>
      <c r="AE475" s="174"/>
    </row>
    <row r="476" ht="15.75" customHeight="1">
      <c r="S476" s="239"/>
      <c r="AE476" s="174"/>
    </row>
    <row r="477" ht="15.75" customHeight="1">
      <c r="S477" s="239"/>
      <c r="AE477" s="174"/>
    </row>
    <row r="478" ht="15.75" customHeight="1">
      <c r="S478" s="239"/>
      <c r="AE478" s="174"/>
    </row>
    <row r="479" ht="15.75" customHeight="1">
      <c r="S479" s="239"/>
      <c r="AE479" s="174"/>
    </row>
    <row r="480" ht="15.75" customHeight="1">
      <c r="S480" s="239"/>
      <c r="AE480" s="174"/>
    </row>
    <row r="481" ht="15.75" customHeight="1">
      <c r="S481" s="239"/>
      <c r="AE481" s="174"/>
    </row>
    <row r="482" ht="15.75" customHeight="1">
      <c r="S482" s="239"/>
      <c r="AE482" s="174"/>
    </row>
    <row r="483" ht="15.75" customHeight="1">
      <c r="S483" s="239"/>
      <c r="AE483" s="174"/>
    </row>
    <row r="484" ht="15.75" customHeight="1">
      <c r="S484" s="239"/>
      <c r="AE484" s="174"/>
    </row>
    <row r="485" ht="15.75" customHeight="1">
      <c r="S485" s="239"/>
      <c r="AE485" s="174"/>
    </row>
    <row r="486" ht="15.75" customHeight="1">
      <c r="S486" s="239"/>
      <c r="AE486" s="174"/>
    </row>
    <row r="487" ht="15.75" customHeight="1">
      <c r="S487" s="239"/>
      <c r="AE487" s="174"/>
    </row>
    <row r="488" ht="15.75" customHeight="1">
      <c r="S488" s="239"/>
      <c r="AE488" s="174"/>
    </row>
    <row r="489" ht="15.75" customHeight="1">
      <c r="S489" s="239"/>
      <c r="AE489" s="174"/>
    </row>
    <row r="490" ht="15.75" customHeight="1">
      <c r="S490" s="239"/>
      <c r="AE490" s="174"/>
    </row>
    <row r="491" ht="15.75" customHeight="1">
      <c r="S491" s="239"/>
      <c r="AE491" s="174"/>
    </row>
    <row r="492" ht="15.75" customHeight="1">
      <c r="S492" s="239"/>
      <c r="AE492" s="174"/>
    </row>
    <row r="493" ht="15.75" customHeight="1">
      <c r="S493" s="239"/>
      <c r="AE493" s="174"/>
    </row>
    <row r="494" ht="15.75" customHeight="1">
      <c r="S494" s="239"/>
      <c r="AE494" s="174"/>
    </row>
    <row r="495" ht="15.75" customHeight="1">
      <c r="S495" s="239"/>
      <c r="AE495" s="174"/>
    </row>
    <row r="496" ht="15.75" customHeight="1">
      <c r="S496" s="239"/>
      <c r="AE496" s="174"/>
    </row>
    <row r="497" ht="15.75" customHeight="1">
      <c r="S497" s="239"/>
      <c r="AE497" s="174"/>
    </row>
    <row r="498" ht="15.75" customHeight="1">
      <c r="S498" s="239"/>
      <c r="AE498" s="174"/>
    </row>
    <row r="499" ht="15.75" customHeight="1">
      <c r="S499" s="239"/>
      <c r="AE499" s="174"/>
    </row>
    <row r="500" ht="15.75" customHeight="1">
      <c r="S500" s="239"/>
      <c r="AE500" s="174"/>
    </row>
    <row r="501" ht="15.75" customHeight="1">
      <c r="S501" s="239"/>
      <c r="AE501" s="174"/>
    </row>
    <row r="502" ht="15.75" customHeight="1">
      <c r="S502" s="239"/>
      <c r="AE502" s="174"/>
    </row>
    <row r="503" ht="15.75" customHeight="1">
      <c r="S503" s="239"/>
      <c r="AE503" s="174"/>
    </row>
    <row r="504" ht="15.75" customHeight="1">
      <c r="S504" s="239"/>
      <c r="AE504" s="174"/>
    </row>
    <row r="505" ht="15.75" customHeight="1">
      <c r="S505" s="239"/>
      <c r="AE505" s="174"/>
    </row>
    <row r="506" ht="15.75" customHeight="1">
      <c r="S506" s="239"/>
      <c r="AE506" s="174"/>
    </row>
    <row r="507" ht="15.75" customHeight="1">
      <c r="S507" s="239"/>
      <c r="AE507" s="174"/>
    </row>
    <row r="508" ht="15.75" customHeight="1">
      <c r="S508" s="239"/>
      <c r="AE508" s="174"/>
    </row>
    <row r="509" ht="15.75" customHeight="1">
      <c r="S509" s="239"/>
      <c r="AE509" s="174"/>
    </row>
    <row r="510" ht="15.75" customHeight="1">
      <c r="S510" s="239"/>
      <c r="AE510" s="174"/>
    </row>
    <row r="511" ht="15.75" customHeight="1">
      <c r="S511" s="239"/>
      <c r="AE511" s="174"/>
    </row>
    <row r="512" ht="15.75" customHeight="1">
      <c r="S512" s="239"/>
      <c r="AE512" s="174"/>
    </row>
    <row r="513" ht="15.75" customHeight="1">
      <c r="S513" s="239"/>
      <c r="AE513" s="174"/>
    </row>
    <row r="514" ht="15.75" customHeight="1">
      <c r="S514" s="239"/>
      <c r="AE514" s="174"/>
    </row>
    <row r="515" ht="15.75" customHeight="1">
      <c r="S515" s="239"/>
      <c r="AE515" s="174"/>
    </row>
    <row r="516" ht="15.75" customHeight="1">
      <c r="S516" s="239"/>
      <c r="AE516" s="174"/>
    </row>
    <row r="517" ht="15.75" customHeight="1">
      <c r="S517" s="239"/>
      <c r="AE517" s="174"/>
    </row>
    <row r="518" ht="15.75" customHeight="1">
      <c r="S518" s="239"/>
      <c r="AE518" s="174"/>
    </row>
    <row r="519" ht="15.75" customHeight="1">
      <c r="S519" s="239"/>
      <c r="AE519" s="174"/>
    </row>
    <row r="520" ht="15.75" customHeight="1">
      <c r="S520" s="239"/>
      <c r="AE520" s="174"/>
    </row>
    <row r="521" ht="15.75" customHeight="1">
      <c r="S521" s="239"/>
      <c r="AE521" s="174"/>
    </row>
    <row r="522" ht="15.75" customHeight="1">
      <c r="S522" s="239"/>
      <c r="AE522" s="174"/>
    </row>
    <row r="523" ht="15.75" customHeight="1">
      <c r="S523" s="239"/>
      <c r="AE523" s="174"/>
    </row>
    <row r="524" ht="15.75" customHeight="1">
      <c r="S524" s="239"/>
      <c r="AE524" s="174"/>
    </row>
    <row r="525" ht="15.75" customHeight="1">
      <c r="S525" s="239"/>
      <c r="AE525" s="174"/>
    </row>
    <row r="526" ht="15.75" customHeight="1">
      <c r="S526" s="239"/>
      <c r="AE526" s="174"/>
    </row>
    <row r="527" ht="15.75" customHeight="1">
      <c r="S527" s="239"/>
      <c r="AE527" s="174"/>
    </row>
    <row r="528" ht="15.75" customHeight="1">
      <c r="S528" s="239"/>
      <c r="AE528" s="174"/>
    </row>
    <row r="529" ht="15.75" customHeight="1">
      <c r="S529" s="239"/>
      <c r="AE529" s="174"/>
    </row>
    <row r="530" ht="15.75" customHeight="1">
      <c r="S530" s="239"/>
      <c r="AE530" s="174"/>
    </row>
    <row r="531" ht="15.75" customHeight="1">
      <c r="S531" s="239"/>
      <c r="AE531" s="174"/>
    </row>
    <row r="532" ht="15.75" customHeight="1">
      <c r="S532" s="239"/>
      <c r="AE532" s="174"/>
    </row>
    <row r="533" ht="15.75" customHeight="1">
      <c r="S533" s="239"/>
      <c r="AE533" s="174"/>
    </row>
    <row r="534" ht="15.75" customHeight="1">
      <c r="S534" s="239"/>
      <c r="AE534" s="174"/>
    </row>
    <row r="535" ht="15.75" customHeight="1">
      <c r="S535" s="239"/>
      <c r="AE535" s="174"/>
    </row>
    <row r="536" ht="15.75" customHeight="1">
      <c r="S536" s="239"/>
      <c r="AE536" s="174"/>
    </row>
    <row r="537" ht="15.75" customHeight="1">
      <c r="S537" s="239"/>
      <c r="AE537" s="174"/>
    </row>
    <row r="538" ht="15.75" customHeight="1">
      <c r="S538" s="239"/>
      <c r="AE538" s="174"/>
    </row>
    <row r="539" ht="15.75" customHeight="1">
      <c r="S539" s="239"/>
      <c r="AE539" s="174"/>
    </row>
    <row r="540" ht="15.75" customHeight="1">
      <c r="S540" s="239"/>
      <c r="AE540" s="174"/>
    </row>
    <row r="541" ht="15.75" customHeight="1">
      <c r="S541" s="239"/>
      <c r="AE541" s="174"/>
    </row>
    <row r="542" ht="15.75" customHeight="1">
      <c r="S542" s="239"/>
      <c r="AE542" s="174"/>
    </row>
    <row r="543" ht="15.75" customHeight="1">
      <c r="S543" s="239"/>
      <c r="AE543" s="174"/>
    </row>
    <row r="544" ht="15.75" customHeight="1">
      <c r="S544" s="239"/>
      <c r="AE544" s="174"/>
    </row>
    <row r="545" ht="15.75" customHeight="1">
      <c r="S545" s="239"/>
      <c r="AE545" s="174"/>
    </row>
    <row r="546" ht="15.75" customHeight="1">
      <c r="S546" s="239"/>
      <c r="AE546" s="174"/>
    </row>
    <row r="547" ht="15.75" customHeight="1">
      <c r="S547" s="239"/>
      <c r="AE547" s="174"/>
    </row>
    <row r="548" ht="15.75" customHeight="1">
      <c r="S548" s="239"/>
      <c r="AE548" s="174"/>
    </row>
    <row r="549" ht="15.75" customHeight="1">
      <c r="S549" s="239"/>
      <c r="AE549" s="174"/>
    </row>
    <row r="550" ht="15.75" customHeight="1">
      <c r="S550" s="239"/>
      <c r="AE550" s="174"/>
    </row>
    <row r="551" ht="15.75" customHeight="1">
      <c r="S551" s="239"/>
      <c r="AE551" s="174"/>
    </row>
    <row r="552" ht="15.75" customHeight="1">
      <c r="S552" s="239"/>
      <c r="AE552" s="174"/>
    </row>
    <row r="553" ht="15.75" customHeight="1">
      <c r="S553" s="239"/>
      <c r="AE553" s="174"/>
    </row>
    <row r="554" ht="15.75" customHeight="1">
      <c r="S554" s="239"/>
      <c r="AE554" s="174"/>
    </row>
    <row r="555" ht="15.75" customHeight="1">
      <c r="S555" s="239"/>
      <c r="AE555" s="174"/>
    </row>
    <row r="556" ht="15.75" customHeight="1">
      <c r="S556" s="239"/>
      <c r="AE556" s="174"/>
    </row>
    <row r="557" ht="15.75" customHeight="1">
      <c r="S557" s="239"/>
      <c r="AE557" s="174"/>
    </row>
    <row r="558" ht="15.75" customHeight="1">
      <c r="S558" s="239"/>
      <c r="AE558" s="174"/>
    </row>
    <row r="559" ht="15.75" customHeight="1">
      <c r="S559" s="239"/>
      <c r="AE559" s="174"/>
    </row>
    <row r="560" ht="15.75" customHeight="1">
      <c r="S560" s="239"/>
      <c r="AE560" s="174"/>
    </row>
    <row r="561" ht="15.75" customHeight="1">
      <c r="S561" s="239"/>
      <c r="AE561" s="174"/>
    </row>
    <row r="562" ht="15.75" customHeight="1">
      <c r="S562" s="239"/>
      <c r="AE562" s="174"/>
    </row>
    <row r="563" ht="15.75" customHeight="1">
      <c r="S563" s="239"/>
      <c r="AE563" s="174"/>
    </row>
    <row r="564" ht="15.75" customHeight="1">
      <c r="S564" s="239"/>
      <c r="AE564" s="174"/>
    </row>
    <row r="565" ht="15.75" customHeight="1">
      <c r="S565" s="239"/>
      <c r="AE565" s="174"/>
    </row>
    <row r="566" ht="15.75" customHeight="1">
      <c r="S566" s="239"/>
      <c r="AE566" s="174"/>
    </row>
    <row r="567" ht="15.75" customHeight="1">
      <c r="S567" s="239"/>
      <c r="AE567" s="174"/>
    </row>
    <row r="568" ht="15.75" customHeight="1">
      <c r="S568" s="239"/>
      <c r="AE568" s="174"/>
    </row>
    <row r="569" ht="15.75" customHeight="1">
      <c r="S569" s="239"/>
      <c r="AE569" s="174"/>
    </row>
    <row r="570" ht="15.75" customHeight="1">
      <c r="S570" s="239"/>
      <c r="AE570" s="174"/>
    </row>
    <row r="571" ht="15.75" customHeight="1">
      <c r="S571" s="239"/>
      <c r="AE571" s="174"/>
    </row>
    <row r="572" ht="15.75" customHeight="1">
      <c r="S572" s="239"/>
      <c r="AE572" s="174"/>
    </row>
    <row r="573" ht="15.75" customHeight="1">
      <c r="S573" s="239"/>
      <c r="AE573" s="174"/>
    </row>
    <row r="574" ht="15.75" customHeight="1">
      <c r="S574" s="239"/>
      <c r="AE574" s="174"/>
    </row>
    <row r="575" ht="15.75" customHeight="1">
      <c r="S575" s="239"/>
      <c r="AE575" s="174"/>
    </row>
    <row r="576" ht="15.75" customHeight="1">
      <c r="S576" s="239"/>
      <c r="AE576" s="174"/>
    </row>
    <row r="577" ht="15.75" customHeight="1">
      <c r="S577" s="239"/>
      <c r="AE577" s="174"/>
    </row>
    <row r="578" ht="15.75" customHeight="1">
      <c r="S578" s="239"/>
      <c r="AE578" s="174"/>
    </row>
    <row r="579" ht="15.75" customHeight="1">
      <c r="S579" s="239"/>
      <c r="AE579" s="174"/>
    </row>
    <row r="580" ht="15.75" customHeight="1">
      <c r="S580" s="239"/>
      <c r="AE580" s="174"/>
    </row>
    <row r="581" ht="15.75" customHeight="1">
      <c r="S581" s="239"/>
      <c r="AE581" s="174"/>
    </row>
    <row r="582" ht="15.75" customHeight="1">
      <c r="S582" s="239"/>
      <c r="AE582" s="174"/>
    </row>
    <row r="583" ht="15.75" customHeight="1">
      <c r="S583" s="239"/>
      <c r="AE583" s="174"/>
    </row>
    <row r="584" ht="15.75" customHeight="1">
      <c r="S584" s="239"/>
      <c r="AE584" s="174"/>
    </row>
    <row r="585" ht="15.75" customHeight="1">
      <c r="S585" s="239"/>
      <c r="AE585" s="174"/>
    </row>
    <row r="586" ht="15.75" customHeight="1">
      <c r="S586" s="239"/>
      <c r="AE586" s="174"/>
    </row>
    <row r="587" ht="15.75" customHeight="1">
      <c r="S587" s="239"/>
      <c r="AE587" s="174"/>
    </row>
    <row r="588" ht="15.75" customHeight="1">
      <c r="S588" s="239"/>
      <c r="AE588" s="174"/>
    </row>
    <row r="589" ht="15.75" customHeight="1">
      <c r="S589" s="239"/>
      <c r="AE589" s="174"/>
    </row>
    <row r="590" ht="15.75" customHeight="1">
      <c r="S590" s="239"/>
      <c r="AE590" s="174"/>
    </row>
    <row r="591" ht="15.75" customHeight="1">
      <c r="S591" s="239"/>
      <c r="AE591" s="174"/>
    </row>
    <row r="592" ht="15.75" customHeight="1">
      <c r="S592" s="239"/>
      <c r="AE592" s="174"/>
    </row>
    <row r="593" ht="15.75" customHeight="1">
      <c r="S593" s="239"/>
      <c r="AE593" s="174"/>
    </row>
    <row r="594" ht="15.75" customHeight="1">
      <c r="S594" s="239"/>
      <c r="AE594" s="174"/>
    </row>
    <row r="595" ht="15.75" customHeight="1">
      <c r="S595" s="239"/>
      <c r="AE595" s="174"/>
    </row>
    <row r="596" ht="15.75" customHeight="1">
      <c r="S596" s="239"/>
      <c r="AE596" s="174"/>
    </row>
    <row r="597" ht="15.75" customHeight="1">
      <c r="S597" s="239"/>
      <c r="AE597" s="174"/>
    </row>
    <row r="598" ht="15.75" customHeight="1">
      <c r="S598" s="239"/>
      <c r="AE598" s="174"/>
    </row>
    <row r="599" ht="15.75" customHeight="1">
      <c r="S599" s="239"/>
      <c r="AE599" s="174"/>
    </row>
    <row r="600" ht="15.75" customHeight="1">
      <c r="S600" s="239"/>
      <c r="AE600" s="174"/>
    </row>
    <row r="601" ht="15.75" customHeight="1">
      <c r="S601" s="239"/>
      <c r="AE601" s="174"/>
    </row>
    <row r="602" ht="15.75" customHeight="1">
      <c r="S602" s="239"/>
      <c r="AE602" s="174"/>
    </row>
    <row r="603" ht="15.75" customHeight="1">
      <c r="S603" s="239"/>
      <c r="AE603" s="174"/>
    </row>
    <row r="604" ht="15.75" customHeight="1">
      <c r="S604" s="239"/>
      <c r="AE604" s="174"/>
    </row>
    <row r="605" ht="15.75" customHeight="1">
      <c r="S605" s="239"/>
      <c r="AE605" s="174"/>
    </row>
    <row r="606" ht="15.75" customHeight="1">
      <c r="S606" s="239"/>
      <c r="AE606" s="174"/>
    </row>
    <row r="607" ht="15.75" customHeight="1">
      <c r="S607" s="239"/>
      <c r="AE607" s="174"/>
    </row>
    <row r="608" ht="15.75" customHeight="1">
      <c r="S608" s="239"/>
      <c r="AE608" s="174"/>
    </row>
    <row r="609" ht="15.75" customHeight="1">
      <c r="S609" s="239"/>
      <c r="AE609" s="174"/>
    </row>
    <row r="610" ht="15.75" customHeight="1">
      <c r="S610" s="239"/>
      <c r="AE610" s="174"/>
    </row>
    <row r="611" ht="15.75" customHeight="1">
      <c r="S611" s="239"/>
      <c r="AE611" s="174"/>
    </row>
    <row r="612" ht="15.75" customHeight="1">
      <c r="S612" s="239"/>
      <c r="AE612" s="174"/>
    </row>
    <row r="613" ht="15.75" customHeight="1">
      <c r="S613" s="239"/>
      <c r="AE613" s="174"/>
    </row>
    <row r="614" ht="15.75" customHeight="1">
      <c r="S614" s="239"/>
      <c r="AE614" s="174"/>
    </row>
    <row r="615" ht="15.75" customHeight="1">
      <c r="S615" s="239"/>
      <c r="AE615" s="174"/>
    </row>
    <row r="616" ht="15.75" customHeight="1">
      <c r="S616" s="239"/>
      <c r="AE616" s="174"/>
    </row>
    <row r="617" ht="15.75" customHeight="1">
      <c r="S617" s="239"/>
      <c r="AE617" s="174"/>
    </row>
    <row r="618" ht="15.75" customHeight="1">
      <c r="S618" s="239"/>
      <c r="AE618" s="174"/>
    </row>
    <row r="619" ht="15.75" customHeight="1">
      <c r="S619" s="239"/>
      <c r="AE619" s="174"/>
    </row>
    <row r="620" ht="15.75" customHeight="1">
      <c r="S620" s="239"/>
      <c r="AE620" s="174"/>
    </row>
    <row r="621" ht="15.75" customHeight="1">
      <c r="S621" s="239"/>
      <c r="AE621" s="174"/>
    </row>
    <row r="622" ht="15.75" customHeight="1">
      <c r="S622" s="239"/>
      <c r="AE622" s="174"/>
    </row>
    <row r="623" ht="15.75" customHeight="1">
      <c r="S623" s="239"/>
      <c r="AE623" s="174"/>
    </row>
    <row r="624" ht="15.75" customHeight="1">
      <c r="S624" s="239"/>
      <c r="AE624" s="174"/>
    </row>
    <row r="625" ht="15.75" customHeight="1">
      <c r="S625" s="239"/>
      <c r="AE625" s="174"/>
    </row>
    <row r="626" ht="15.75" customHeight="1">
      <c r="S626" s="239"/>
      <c r="AE626" s="174"/>
    </row>
    <row r="627" ht="15.75" customHeight="1">
      <c r="S627" s="239"/>
      <c r="AE627" s="174"/>
    </row>
    <row r="628" ht="15.75" customHeight="1">
      <c r="S628" s="239"/>
      <c r="AE628" s="174"/>
    </row>
    <row r="629" ht="15.75" customHeight="1">
      <c r="S629" s="239"/>
      <c r="AE629" s="174"/>
    </row>
    <row r="630" ht="15.75" customHeight="1">
      <c r="S630" s="239"/>
      <c r="AE630" s="174"/>
    </row>
    <row r="631" ht="15.75" customHeight="1">
      <c r="S631" s="239"/>
      <c r="AE631" s="174"/>
    </row>
    <row r="632" ht="15.75" customHeight="1">
      <c r="S632" s="239"/>
      <c r="AE632" s="174"/>
    </row>
    <row r="633" ht="15.75" customHeight="1">
      <c r="S633" s="239"/>
      <c r="AE633" s="174"/>
    </row>
    <row r="634" ht="15.75" customHeight="1">
      <c r="S634" s="239"/>
      <c r="AE634" s="174"/>
    </row>
    <row r="635" ht="15.75" customHeight="1">
      <c r="S635" s="239"/>
      <c r="AE635" s="174"/>
    </row>
    <row r="636" ht="15.75" customHeight="1">
      <c r="S636" s="239"/>
      <c r="AE636" s="174"/>
    </row>
    <row r="637" ht="15.75" customHeight="1">
      <c r="S637" s="239"/>
      <c r="AE637" s="174"/>
    </row>
    <row r="638" ht="15.75" customHeight="1">
      <c r="S638" s="239"/>
      <c r="AE638" s="174"/>
    </row>
    <row r="639" ht="15.75" customHeight="1">
      <c r="S639" s="239"/>
      <c r="AE639" s="174"/>
    </row>
    <row r="640" ht="15.75" customHeight="1">
      <c r="S640" s="239"/>
      <c r="AE640" s="174"/>
    </row>
    <row r="641" ht="15.75" customHeight="1">
      <c r="S641" s="239"/>
      <c r="AE641" s="174"/>
    </row>
    <row r="642" ht="15.75" customHeight="1">
      <c r="S642" s="239"/>
      <c r="AE642" s="174"/>
    </row>
    <row r="643" ht="15.75" customHeight="1">
      <c r="S643" s="239"/>
      <c r="AE643" s="174"/>
    </row>
    <row r="644" ht="15.75" customHeight="1">
      <c r="S644" s="239"/>
      <c r="AE644" s="174"/>
    </row>
    <row r="645" ht="15.75" customHeight="1">
      <c r="S645" s="239"/>
      <c r="AE645" s="174"/>
    </row>
    <row r="646" ht="15.75" customHeight="1">
      <c r="S646" s="239"/>
      <c r="AE646" s="174"/>
    </row>
    <row r="647" ht="15.75" customHeight="1">
      <c r="S647" s="239"/>
      <c r="AE647" s="174"/>
    </row>
    <row r="648" ht="15.75" customHeight="1">
      <c r="S648" s="239"/>
      <c r="AE648" s="174"/>
    </row>
    <row r="649" ht="15.75" customHeight="1">
      <c r="S649" s="239"/>
      <c r="AE649" s="174"/>
    </row>
    <row r="650" ht="15.75" customHeight="1">
      <c r="S650" s="239"/>
      <c r="AE650" s="174"/>
    </row>
    <row r="651" ht="15.75" customHeight="1">
      <c r="S651" s="239"/>
      <c r="AE651" s="174"/>
    </row>
    <row r="652" ht="15.75" customHeight="1">
      <c r="S652" s="239"/>
      <c r="AE652" s="174"/>
    </row>
    <row r="653" ht="15.75" customHeight="1">
      <c r="S653" s="239"/>
      <c r="AE653" s="174"/>
    </row>
    <row r="654" ht="15.75" customHeight="1">
      <c r="S654" s="239"/>
      <c r="AE654" s="174"/>
    </row>
    <row r="655" ht="15.75" customHeight="1">
      <c r="S655" s="239"/>
      <c r="AE655" s="174"/>
    </row>
    <row r="656" ht="15.75" customHeight="1">
      <c r="S656" s="239"/>
      <c r="AE656" s="174"/>
    </row>
    <row r="657" ht="15.75" customHeight="1">
      <c r="S657" s="239"/>
      <c r="AE657" s="174"/>
    </row>
    <row r="658" ht="15.75" customHeight="1">
      <c r="S658" s="239"/>
      <c r="AE658" s="174"/>
    </row>
    <row r="659" ht="15.75" customHeight="1">
      <c r="S659" s="239"/>
      <c r="AE659" s="174"/>
    </row>
    <row r="660" ht="15.75" customHeight="1">
      <c r="S660" s="239"/>
      <c r="AE660" s="174"/>
    </row>
    <row r="661" ht="15.75" customHeight="1">
      <c r="S661" s="239"/>
      <c r="AE661" s="174"/>
    </row>
    <row r="662" ht="15.75" customHeight="1">
      <c r="S662" s="239"/>
      <c r="AE662" s="174"/>
    </row>
    <row r="663" ht="15.75" customHeight="1">
      <c r="S663" s="239"/>
      <c r="AE663" s="174"/>
    </row>
    <row r="664" ht="15.75" customHeight="1">
      <c r="S664" s="239"/>
      <c r="AE664" s="174"/>
    </row>
    <row r="665" ht="15.75" customHeight="1">
      <c r="S665" s="239"/>
      <c r="AE665" s="174"/>
    </row>
    <row r="666" ht="15.75" customHeight="1">
      <c r="S666" s="239"/>
      <c r="AE666" s="174"/>
    </row>
    <row r="667" ht="15.75" customHeight="1">
      <c r="S667" s="239"/>
      <c r="AE667" s="174"/>
    </row>
    <row r="668" ht="15.75" customHeight="1">
      <c r="S668" s="239"/>
      <c r="AE668" s="174"/>
    </row>
    <row r="669" ht="15.75" customHeight="1">
      <c r="S669" s="239"/>
      <c r="AE669" s="174"/>
    </row>
    <row r="670" ht="15.75" customHeight="1">
      <c r="S670" s="239"/>
      <c r="AE670" s="174"/>
    </row>
    <row r="671" ht="15.75" customHeight="1">
      <c r="S671" s="239"/>
      <c r="AE671" s="174"/>
    </row>
    <row r="672" ht="15.75" customHeight="1">
      <c r="S672" s="239"/>
      <c r="AE672" s="174"/>
    </row>
    <row r="673" ht="15.75" customHeight="1">
      <c r="S673" s="239"/>
      <c r="AE673" s="174"/>
    </row>
    <row r="674" ht="15.75" customHeight="1">
      <c r="S674" s="239"/>
      <c r="AE674" s="174"/>
    </row>
    <row r="675" ht="15.75" customHeight="1">
      <c r="S675" s="239"/>
      <c r="AE675" s="174"/>
    </row>
    <row r="676" ht="15.75" customHeight="1">
      <c r="S676" s="239"/>
      <c r="AE676" s="174"/>
    </row>
    <row r="677" ht="15.75" customHeight="1">
      <c r="S677" s="239"/>
      <c r="AE677" s="174"/>
    </row>
    <row r="678" ht="15.75" customHeight="1">
      <c r="S678" s="239"/>
      <c r="AE678" s="174"/>
    </row>
    <row r="679" ht="15.75" customHeight="1">
      <c r="S679" s="239"/>
      <c r="AE679" s="174"/>
    </row>
    <row r="680" ht="15.75" customHeight="1">
      <c r="S680" s="239"/>
      <c r="AE680" s="174"/>
    </row>
    <row r="681" ht="15.75" customHeight="1">
      <c r="S681" s="239"/>
      <c r="AE681" s="174"/>
    </row>
    <row r="682" ht="15.75" customHeight="1">
      <c r="S682" s="239"/>
      <c r="AE682" s="174"/>
    </row>
    <row r="683" ht="15.75" customHeight="1">
      <c r="S683" s="239"/>
      <c r="AE683" s="174"/>
    </row>
    <row r="684" ht="15.75" customHeight="1">
      <c r="S684" s="239"/>
      <c r="AE684" s="174"/>
    </row>
    <row r="685" ht="15.75" customHeight="1">
      <c r="S685" s="239"/>
      <c r="AE685" s="174"/>
    </row>
    <row r="686" ht="15.75" customHeight="1">
      <c r="S686" s="239"/>
      <c r="AE686" s="174"/>
    </row>
    <row r="687" ht="15.75" customHeight="1">
      <c r="S687" s="239"/>
      <c r="AE687" s="174"/>
    </row>
    <row r="688" ht="15.75" customHeight="1">
      <c r="S688" s="239"/>
      <c r="AE688" s="174"/>
    </row>
    <row r="689" ht="15.75" customHeight="1">
      <c r="S689" s="239"/>
      <c r="AE689" s="174"/>
    </row>
    <row r="690" ht="15.75" customHeight="1">
      <c r="S690" s="239"/>
      <c r="AE690" s="174"/>
    </row>
    <row r="691" ht="15.75" customHeight="1">
      <c r="S691" s="239"/>
      <c r="AE691" s="174"/>
    </row>
    <row r="692" ht="15.75" customHeight="1">
      <c r="S692" s="239"/>
      <c r="AE692" s="174"/>
    </row>
    <row r="693" ht="15.75" customHeight="1">
      <c r="S693" s="239"/>
      <c r="AE693" s="174"/>
    </row>
    <row r="694" ht="15.75" customHeight="1">
      <c r="S694" s="239"/>
      <c r="AE694" s="174"/>
    </row>
    <row r="695" ht="15.75" customHeight="1">
      <c r="S695" s="239"/>
      <c r="AE695" s="174"/>
    </row>
    <row r="696" ht="15.75" customHeight="1">
      <c r="S696" s="239"/>
      <c r="AE696" s="174"/>
    </row>
    <row r="697" ht="15.75" customHeight="1">
      <c r="S697" s="239"/>
      <c r="AE697" s="174"/>
    </row>
    <row r="698" ht="15.75" customHeight="1">
      <c r="S698" s="239"/>
      <c r="AE698" s="174"/>
    </row>
    <row r="699" ht="15.75" customHeight="1">
      <c r="S699" s="239"/>
      <c r="AE699" s="174"/>
    </row>
    <row r="700" ht="15.75" customHeight="1">
      <c r="S700" s="239"/>
      <c r="AE700" s="174"/>
    </row>
    <row r="701" ht="15.75" customHeight="1">
      <c r="S701" s="239"/>
      <c r="AE701" s="174"/>
    </row>
    <row r="702" ht="15.75" customHeight="1">
      <c r="S702" s="239"/>
      <c r="AE702" s="174"/>
    </row>
    <row r="703" ht="15.75" customHeight="1">
      <c r="S703" s="239"/>
      <c r="AE703" s="174"/>
    </row>
    <row r="704" ht="15.75" customHeight="1">
      <c r="S704" s="239"/>
      <c r="AE704" s="174"/>
    </row>
    <row r="705" ht="15.75" customHeight="1">
      <c r="S705" s="239"/>
      <c r="AE705" s="174"/>
    </row>
    <row r="706" ht="15.75" customHeight="1">
      <c r="S706" s="239"/>
      <c r="AE706" s="174"/>
    </row>
    <row r="707" ht="15.75" customHeight="1">
      <c r="S707" s="239"/>
      <c r="AE707" s="174"/>
    </row>
    <row r="708" ht="15.75" customHeight="1">
      <c r="S708" s="239"/>
      <c r="AE708" s="174"/>
    </row>
    <row r="709" ht="15.75" customHeight="1">
      <c r="S709" s="239"/>
      <c r="AE709" s="174"/>
    </row>
    <row r="710" ht="15.75" customHeight="1">
      <c r="S710" s="239"/>
      <c r="AE710" s="174"/>
    </row>
    <row r="711" ht="15.75" customHeight="1">
      <c r="S711" s="239"/>
      <c r="AE711" s="174"/>
    </row>
    <row r="712" ht="15.75" customHeight="1">
      <c r="S712" s="239"/>
      <c r="AE712" s="174"/>
    </row>
    <row r="713" ht="15.75" customHeight="1">
      <c r="S713" s="239"/>
      <c r="AE713" s="174"/>
    </row>
    <row r="714" ht="15.75" customHeight="1">
      <c r="S714" s="239"/>
      <c r="AE714" s="174"/>
    </row>
    <row r="715" ht="15.75" customHeight="1">
      <c r="S715" s="239"/>
      <c r="AE715" s="174"/>
    </row>
    <row r="716" ht="15.75" customHeight="1">
      <c r="S716" s="239"/>
      <c r="AE716" s="174"/>
    </row>
    <row r="717" ht="15.75" customHeight="1">
      <c r="S717" s="239"/>
      <c r="AE717" s="174"/>
    </row>
    <row r="718" ht="15.75" customHeight="1">
      <c r="S718" s="239"/>
      <c r="AE718" s="174"/>
    </row>
    <row r="719" ht="15.75" customHeight="1">
      <c r="S719" s="239"/>
      <c r="AE719" s="174"/>
    </row>
    <row r="720" ht="15.75" customHeight="1">
      <c r="S720" s="239"/>
      <c r="AE720" s="174"/>
    </row>
    <row r="721" ht="15.75" customHeight="1">
      <c r="S721" s="239"/>
      <c r="AE721" s="174"/>
    </row>
    <row r="722" ht="15.75" customHeight="1">
      <c r="S722" s="239"/>
      <c r="AE722" s="174"/>
    </row>
    <row r="723" ht="15.75" customHeight="1">
      <c r="S723" s="239"/>
      <c r="AE723" s="174"/>
    </row>
    <row r="724" ht="15.75" customHeight="1">
      <c r="S724" s="239"/>
      <c r="AE724" s="174"/>
    </row>
    <row r="725" ht="15.75" customHeight="1">
      <c r="S725" s="239"/>
      <c r="AE725" s="174"/>
    </row>
    <row r="726" ht="15.75" customHeight="1">
      <c r="S726" s="239"/>
      <c r="AE726" s="174"/>
    </row>
    <row r="727" ht="15.75" customHeight="1">
      <c r="S727" s="239"/>
      <c r="AE727" s="174"/>
    </row>
    <row r="728" ht="15.75" customHeight="1">
      <c r="S728" s="239"/>
      <c r="AE728" s="174"/>
    </row>
    <row r="729" ht="15.75" customHeight="1">
      <c r="S729" s="239"/>
      <c r="AE729" s="174"/>
    </row>
    <row r="730" ht="15.75" customHeight="1">
      <c r="S730" s="239"/>
      <c r="AE730" s="174"/>
    </row>
    <row r="731" ht="15.75" customHeight="1">
      <c r="S731" s="239"/>
      <c r="AE731" s="174"/>
    </row>
    <row r="732" ht="15.75" customHeight="1">
      <c r="S732" s="239"/>
      <c r="AE732" s="174"/>
    </row>
    <row r="733" ht="15.75" customHeight="1">
      <c r="S733" s="239"/>
      <c r="AE733" s="174"/>
    </row>
    <row r="734" ht="15.75" customHeight="1">
      <c r="S734" s="239"/>
      <c r="AE734" s="174"/>
    </row>
    <row r="735" ht="15.75" customHeight="1">
      <c r="S735" s="239"/>
      <c r="AE735" s="174"/>
    </row>
    <row r="736" ht="15.75" customHeight="1">
      <c r="S736" s="239"/>
      <c r="AE736" s="174"/>
    </row>
    <row r="737" ht="15.75" customHeight="1">
      <c r="S737" s="239"/>
      <c r="AE737" s="174"/>
    </row>
    <row r="738" ht="15.75" customHeight="1">
      <c r="S738" s="239"/>
      <c r="AE738" s="174"/>
    </row>
    <row r="739" ht="15.75" customHeight="1">
      <c r="S739" s="239"/>
      <c r="AE739" s="174"/>
    </row>
    <row r="740" ht="15.75" customHeight="1">
      <c r="S740" s="239"/>
      <c r="AE740" s="174"/>
    </row>
    <row r="741" ht="15.75" customHeight="1">
      <c r="S741" s="239"/>
      <c r="AE741" s="174"/>
    </row>
    <row r="742" ht="15.75" customHeight="1">
      <c r="S742" s="239"/>
      <c r="AE742" s="174"/>
    </row>
    <row r="743" ht="15.75" customHeight="1">
      <c r="S743" s="239"/>
      <c r="AE743" s="174"/>
    </row>
    <row r="744" ht="15.75" customHeight="1">
      <c r="S744" s="239"/>
      <c r="AE744" s="174"/>
    </row>
    <row r="745" ht="15.75" customHeight="1">
      <c r="S745" s="239"/>
      <c r="AE745" s="174"/>
    </row>
    <row r="746" ht="15.75" customHeight="1">
      <c r="S746" s="239"/>
      <c r="AE746" s="174"/>
    </row>
    <row r="747" ht="15.75" customHeight="1">
      <c r="S747" s="239"/>
      <c r="AE747" s="174"/>
    </row>
    <row r="748" ht="15.75" customHeight="1">
      <c r="S748" s="239"/>
      <c r="AE748" s="174"/>
    </row>
    <row r="749" ht="15.75" customHeight="1">
      <c r="S749" s="239"/>
      <c r="AE749" s="174"/>
    </row>
    <row r="750" ht="15.75" customHeight="1">
      <c r="S750" s="239"/>
      <c r="AE750" s="174"/>
    </row>
    <row r="751" ht="15.75" customHeight="1">
      <c r="S751" s="239"/>
      <c r="AE751" s="174"/>
    </row>
    <row r="752" ht="15.75" customHeight="1">
      <c r="S752" s="239"/>
      <c r="AE752" s="174"/>
    </row>
    <row r="753" ht="15.75" customHeight="1">
      <c r="S753" s="239"/>
      <c r="AE753" s="174"/>
    </row>
    <row r="754" ht="15.75" customHeight="1">
      <c r="S754" s="239"/>
      <c r="AE754" s="174"/>
    </row>
    <row r="755" ht="15.75" customHeight="1">
      <c r="S755" s="239"/>
      <c r="AE755" s="174"/>
    </row>
    <row r="756" ht="15.75" customHeight="1">
      <c r="S756" s="239"/>
      <c r="AE756" s="174"/>
    </row>
    <row r="757" ht="15.75" customHeight="1">
      <c r="S757" s="239"/>
      <c r="AE757" s="174"/>
    </row>
    <row r="758" ht="15.75" customHeight="1">
      <c r="S758" s="239"/>
      <c r="AE758" s="174"/>
    </row>
    <row r="759" ht="15.75" customHeight="1">
      <c r="S759" s="239"/>
      <c r="AE759" s="174"/>
    </row>
    <row r="760" ht="15.75" customHeight="1">
      <c r="S760" s="239"/>
      <c r="AE760" s="174"/>
    </row>
    <row r="761" ht="15.75" customHeight="1">
      <c r="S761" s="239"/>
      <c r="AE761" s="174"/>
    </row>
    <row r="762" ht="15.75" customHeight="1">
      <c r="S762" s="239"/>
      <c r="AE762" s="174"/>
    </row>
    <row r="763" ht="15.75" customHeight="1">
      <c r="S763" s="239"/>
      <c r="AE763" s="174"/>
    </row>
    <row r="764" ht="15.75" customHeight="1">
      <c r="S764" s="239"/>
      <c r="AE764" s="174"/>
    </row>
    <row r="765" ht="15.75" customHeight="1">
      <c r="S765" s="239"/>
      <c r="AE765" s="174"/>
    </row>
    <row r="766" ht="15.75" customHeight="1">
      <c r="S766" s="239"/>
      <c r="AE766" s="174"/>
    </row>
    <row r="767" ht="15.75" customHeight="1">
      <c r="S767" s="239"/>
      <c r="AE767" s="174"/>
    </row>
    <row r="768" ht="15.75" customHeight="1">
      <c r="S768" s="239"/>
      <c r="AE768" s="174"/>
    </row>
    <row r="769" ht="15.75" customHeight="1">
      <c r="S769" s="239"/>
      <c r="AE769" s="174"/>
    </row>
    <row r="770" ht="15.75" customHeight="1">
      <c r="S770" s="239"/>
      <c r="AE770" s="174"/>
    </row>
    <row r="771" ht="15.75" customHeight="1">
      <c r="S771" s="239"/>
      <c r="AE771" s="174"/>
    </row>
    <row r="772" ht="15.75" customHeight="1">
      <c r="S772" s="239"/>
      <c r="AE772" s="174"/>
    </row>
    <row r="773" ht="15.75" customHeight="1">
      <c r="S773" s="239"/>
      <c r="AE773" s="174"/>
    </row>
    <row r="774" ht="15.75" customHeight="1">
      <c r="S774" s="239"/>
      <c r="AE774" s="174"/>
    </row>
    <row r="775" ht="15.75" customHeight="1">
      <c r="S775" s="239"/>
      <c r="AE775" s="174"/>
    </row>
    <row r="776" ht="15.75" customHeight="1">
      <c r="S776" s="239"/>
      <c r="AE776" s="174"/>
    </row>
    <row r="777" ht="15.75" customHeight="1">
      <c r="S777" s="239"/>
      <c r="AE777" s="174"/>
    </row>
    <row r="778" ht="15.75" customHeight="1">
      <c r="S778" s="239"/>
      <c r="AE778" s="174"/>
    </row>
    <row r="779" ht="15.75" customHeight="1">
      <c r="S779" s="239"/>
      <c r="AE779" s="174"/>
    </row>
    <row r="780" ht="15.75" customHeight="1">
      <c r="S780" s="239"/>
      <c r="AE780" s="174"/>
    </row>
    <row r="781" ht="15.75" customHeight="1">
      <c r="S781" s="239"/>
      <c r="AE781" s="174"/>
    </row>
    <row r="782" ht="15.75" customHeight="1">
      <c r="S782" s="239"/>
      <c r="AE782" s="174"/>
    </row>
    <row r="783" ht="15.75" customHeight="1">
      <c r="S783" s="239"/>
      <c r="AE783" s="174"/>
    </row>
    <row r="784" ht="15.75" customHeight="1">
      <c r="S784" s="239"/>
      <c r="AE784" s="174"/>
    </row>
    <row r="785" ht="15.75" customHeight="1">
      <c r="S785" s="239"/>
      <c r="AE785" s="174"/>
    </row>
    <row r="786" ht="15.75" customHeight="1">
      <c r="S786" s="239"/>
      <c r="AE786" s="174"/>
    </row>
    <row r="787" ht="15.75" customHeight="1">
      <c r="S787" s="239"/>
      <c r="AE787" s="174"/>
    </row>
    <row r="788" ht="15.75" customHeight="1">
      <c r="S788" s="239"/>
      <c r="AE788" s="174"/>
    </row>
    <row r="789" ht="15.75" customHeight="1">
      <c r="S789" s="239"/>
      <c r="AE789" s="174"/>
    </row>
    <row r="790" ht="15.75" customHeight="1">
      <c r="S790" s="239"/>
      <c r="AE790" s="174"/>
    </row>
    <row r="791" ht="15.75" customHeight="1">
      <c r="S791" s="239"/>
      <c r="AE791" s="174"/>
    </row>
    <row r="792" ht="15.75" customHeight="1">
      <c r="S792" s="239"/>
      <c r="AE792" s="174"/>
    </row>
    <row r="793" ht="15.75" customHeight="1">
      <c r="S793" s="239"/>
      <c r="AE793" s="174"/>
    </row>
    <row r="794" ht="15.75" customHeight="1">
      <c r="S794" s="239"/>
      <c r="AE794" s="174"/>
    </row>
    <row r="795" ht="15.75" customHeight="1">
      <c r="S795" s="239"/>
      <c r="AE795" s="174"/>
    </row>
    <row r="796" ht="15.75" customHeight="1">
      <c r="S796" s="239"/>
      <c r="AE796" s="174"/>
    </row>
    <row r="797" ht="15.75" customHeight="1">
      <c r="S797" s="239"/>
      <c r="AE797" s="174"/>
    </row>
    <row r="798" ht="15.75" customHeight="1">
      <c r="S798" s="239"/>
      <c r="AE798" s="174"/>
    </row>
    <row r="799" ht="15.75" customHeight="1">
      <c r="S799" s="239"/>
      <c r="AE799" s="174"/>
    </row>
    <row r="800" ht="15.75" customHeight="1">
      <c r="S800" s="239"/>
      <c r="AE800" s="174"/>
    </row>
    <row r="801" ht="15.75" customHeight="1">
      <c r="S801" s="239"/>
      <c r="AE801" s="174"/>
    </row>
    <row r="802" ht="15.75" customHeight="1">
      <c r="S802" s="239"/>
      <c r="AE802" s="174"/>
    </row>
    <row r="803" ht="15.75" customHeight="1">
      <c r="S803" s="239"/>
      <c r="AE803" s="174"/>
    </row>
    <row r="804" ht="15.75" customHeight="1">
      <c r="S804" s="239"/>
      <c r="AE804" s="174"/>
    </row>
    <row r="805" ht="15.75" customHeight="1">
      <c r="S805" s="239"/>
      <c r="AE805" s="174"/>
    </row>
    <row r="806" ht="15.75" customHeight="1">
      <c r="S806" s="239"/>
      <c r="AE806" s="174"/>
    </row>
    <row r="807" ht="15.75" customHeight="1">
      <c r="S807" s="239"/>
      <c r="AE807" s="174"/>
    </row>
    <row r="808" ht="15.75" customHeight="1">
      <c r="S808" s="239"/>
      <c r="AE808" s="174"/>
    </row>
    <row r="809" ht="15.75" customHeight="1">
      <c r="S809" s="239"/>
      <c r="AE809" s="174"/>
    </row>
    <row r="810" ht="15.75" customHeight="1">
      <c r="S810" s="239"/>
      <c r="AE810" s="174"/>
    </row>
    <row r="811" ht="15.75" customHeight="1">
      <c r="S811" s="239"/>
      <c r="AE811" s="174"/>
    </row>
    <row r="812" ht="15.75" customHeight="1">
      <c r="S812" s="239"/>
      <c r="AE812" s="174"/>
    </row>
    <row r="813" ht="15.75" customHeight="1">
      <c r="S813" s="239"/>
      <c r="AE813" s="174"/>
    </row>
    <row r="814" ht="15.75" customHeight="1">
      <c r="S814" s="239"/>
      <c r="AE814" s="174"/>
    </row>
    <row r="815" ht="15.75" customHeight="1">
      <c r="S815" s="239"/>
      <c r="AE815" s="174"/>
    </row>
    <row r="816" ht="15.75" customHeight="1">
      <c r="S816" s="239"/>
      <c r="AE816" s="174"/>
    </row>
    <row r="817" ht="15.75" customHeight="1">
      <c r="S817" s="239"/>
      <c r="AE817" s="174"/>
    </row>
    <row r="818" ht="15.75" customHeight="1">
      <c r="S818" s="239"/>
      <c r="AE818" s="174"/>
    </row>
    <row r="819" ht="15.75" customHeight="1">
      <c r="S819" s="239"/>
      <c r="AE819" s="174"/>
    </row>
    <row r="820" ht="15.75" customHeight="1">
      <c r="S820" s="239"/>
      <c r="AE820" s="174"/>
    </row>
    <row r="821" ht="15.75" customHeight="1">
      <c r="S821" s="239"/>
      <c r="AE821" s="174"/>
    </row>
    <row r="822" ht="15.75" customHeight="1">
      <c r="S822" s="239"/>
      <c r="AE822" s="174"/>
    </row>
    <row r="823" ht="15.75" customHeight="1">
      <c r="S823" s="239"/>
      <c r="AE823" s="174"/>
    </row>
    <row r="824" ht="15.75" customHeight="1">
      <c r="S824" s="239"/>
      <c r="AE824" s="174"/>
    </row>
    <row r="825" ht="15.75" customHeight="1">
      <c r="S825" s="239"/>
      <c r="AE825" s="174"/>
    </row>
    <row r="826" ht="15.75" customHeight="1">
      <c r="S826" s="239"/>
      <c r="AE826" s="174"/>
    </row>
    <row r="827" ht="15.75" customHeight="1">
      <c r="S827" s="239"/>
      <c r="AE827" s="174"/>
    </row>
    <row r="828" ht="15.75" customHeight="1">
      <c r="S828" s="239"/>
      <c r="AE828" s="174"/>
    </row>
    <row r="829" ht="15.75" customHeight="1">
      <c r="S829" s="239"/>
      <c r="AE829" s="174"/>
    </row>
    <row r="830" ht="15.75" customHeight="1">
      <c r="S830" s="239"/>
      <c r="AE830" s="174"/>
    </row>
    <row r="831" ht="15.75" customHeight="1">
      <c r="S831" s="239"/>
      <c r="AE831" s="174"/>
    </row>
    <row r="832" ht="15.75" customHeight="1">
      <c r="S832" s="239"/>
      <c r="AE832" s="174"/>
    </row>
    <row r="833" ht="15.75" customHeight="1">
      <c r="S833" s="239"/>
      <c r="AE833" s="174"/>
    </row>
    <row r="834" ht="15.75" customHeight="1">
      <c r="S834" s="239"/>
      <c r="AE834" s="174"/>
    </row>
    <row r="835" ht="15.75" customHeight="1">
      <c r="S835" s="239"/>
      <c r="AE835" s="174"/>
    </row>
    <row r="836" ht="15.75" customHeight="1">
      <c r="S836" s="239"/>
      <c r="AE836" s="174"/>
    </row>
    <row r="837" ht="15.75" customHeight="1">
      <c r="S837" s="239"/>
      <c r="AE837" s="174"/>
    </row>
    <row r="838" ht="15.75" customHeight="1">
      <c r="S838" s="239"/>
      <c r="AE838" s="174"/>
    </row>
    <row r="839" ht="15.75" customHeight="1">
      <c r="S839" s="239"/>
      <c r="AE839" s="174"/>
    </row>
    <row r="840" ht="15.75" customHeight="1">
      <c r="S840" s="239"/>
      <c r="AE840" s="174"/>
    </row>
    <row r="841" ht="15.75" customHeight="1">
      <c r="S841" s="239"/>
      <c r="AE841" s="174"/>
    </row>
    <row r="842" ht="15.75" customHeight="1">
      <c r="S842" s="239"/>
      <c r="AE842" s="174"/>
    </row>
    <row r="843" ht="15.75" customHeight="1">
      <c r="S843" s="239"/>
      <c r="AE843" s="174"/>
    </row>
    <row r="844" ht="15.75" customHeight="1">
      <c r="S844" s="239"/>
      <c r="AE844" s="174"/>
    </row>
    <row r="845" ht="15.75" customHeight="1">
      <c r="S845" s="239"/>
      <c r="AE845" s="174"/>
    </row>
    <row r="846" ht="15.75" customHeight="1">
      <c r="S846" s="239"/>
      <c r="AE846" s="174"/>
    </row>
    <row r="847" ht="15.75" customHeight="1">
      <c r="S847" s="239"/>
      <c r="AE847" s="174"/>
    </row>
    <row r="848" ht="15.75" customHeight="1">
      <c r="S848" s="239"/>
      <c r="AE848" s="174"/>
    </row>
    <row r="849" ht="15.75" customHeight="1">
      <c r="S849" s="239"/>
      <c r="AE849" s="174"/>
    </row>
    <row r="850" ht="15.75" customHeight="1">
      <c r="S850" s="239"/>
      <c r="AE850" s="174"/>
    </row>
    <row r="851" ht="15.75" customHeight="1">
      <c r="S851" s="239"/>
      <c r="AE851" s="174"/>
    </row>
    <row r="852" ht="15.75" customHeight="1">
      <c r="S852" s="239"/>
      <c r="AE852" s="174"/>
    </row>
    <row r="853" ht="15.75" customHeight="1">
      <c r="S853" s="239"/>
      <c r="AE853" s="174"/>
    </row>
    <row r="854" ht="15.75" customHeight="1">
      <c r="S854" s="239"/>
      <c r="AE854" s="174"/>
    </row>
    <row r="855" ht="15.75" customHeight="1">
      <c r="S855" s="239"/>
      <c r="AE855" s="174"/>
    </row>
    <row r="856" ht="15.75" customHeight="1">
      <c r="S856" s="239"/>
      <c r="AE856" s="174"/>
    </row>
    <row r="857" ht="15.75" customHeight="1">
      <c r="S857" s="239"/>
      <c r="AE857" s="174"/>
    </row>
    <row r="858" ht="15.75" customHeight="1">
      <c r="S858" s="239"/>
      <c r="AE858" s="174"/>
    </row>
    <row r="859" ht="15.75" customHeight="1">
      <c r="S859" s="239"/>
      <c r="AE859" s="174"/>
    </row>
    <row r="860" ht="15.75" customHeight="1">
      <c r="S860" s="239"/>
      <c r="AE860" s="174"/>
    </row>
    <row r="861" ht="15.75" customHeight="1">
      <c r="S861" s="239"/>
      <c r="AE861" s="174"/>
    </row>
    <row r="862" ht="15.75" customHeight="1">
      <c r="S862" s="239"/>
      <c r="AE862" s="174"/>
    </row>
    <row r="863" ht="15.75" customHeight="1">
      <c r="S863" s="239"/>
      <c r="AE863" s="174"/>
    </row>
    <row r="864" ht="15.75" customHeight="1">
      <c r="S864" s="239"/>
      <c r="AE864" s="174"/>
    </row>
    <row r="865" ht="15.75" customHeight="1">
      <c r="S865" s="239"/>
      <c r="AE865" s="174"/>
    </row>
    <row r="866" ht="15.75" customHeight="1">
      <c r="S866" s="239"/>
      <c r="AE866" s="174"/>
    </row>
    <row r="867" ht="15.75" customHeight="1">
      <c r="S867" s="239"/>
      <c r="AE867" s="174"/>
    </row>
    <row r="868" ht="15.75" customHeight="1">
      <c r="S868" s="239"/>
      <c r="AE868" s="174"/>
    </row>
    <row r="869" ht="15.75" customHeight="1">
      <c r="S869" s="239"/>
      <c r="AE869" s="174"/>
    </row>
    <row r="870" ht="15.75" customHeight="1">
      <c r="S870" s="239"/>
      <c r="AE870" s="174"/>
    </row>
    <row r="871" ht="15.75" customHeight="1">
      <c r="S871" s="239"/>
      <c r="AE871" s="174"/>
    </row>
    <row r="872" ht="15.75" customHeight="1">
      <c r="S872" s="239"/>
      <c r="AE872" s="174"/>
    </row>
    <row r="873" ht="15.75" customHeight="1">
      <c r="S873" s="239"/>
      <c r="AE873" s="174"/>
    </row>
    <row r="874" ht="15.75" customHeight="1">
      <c r="S874" s="239"/>
      <c r="AE874" s="174"/>
    </row>
    <row r="875" ht="15.75" customHeight="1">
      <c r="S875" s="239"/>
      <c r="AE875" s="174"/>
    </row>
    <row r="876" ht="15.75" customHeight="1">
      <c r="S876" s="239"/>
      <c r="AE876" s="174"/>
    </row>
    <row r="877" ht="15.75" customHeight="1">
      <c r="S877" s="239"/>
      <c r="AE877" s="174"/>
    </row>
    <row r="878" ht="15.75" customHeight="1">
      <c r="S878" s="239"/>
      <c r="AE878" s="174"/>
    </row>
    <row r="879" ht="15.75" customHeight="1">
      <c r="S879" s="239"/>
      <c r="AE879" s="174"/>
    </row>
    <row r="880" ht="15.75" customHeight="1">
      <c r="S880" s="239"/>
      <c r="AE880" s="174"/>
    </row>
    <row r="881" ht="15.75" customHeight="1">
      <c r="S881" s="239"/>
      <c r="AE881" s="174"/>
    </row>
    <row r="882" ht="15.75" customHeight="1">
      <c r="S882" s="239"/>
      <c r="AE882" s="174"/>
    </row>
    <row r="883" ht="15.75" customHeight="1">
      <c r="S883" s="239"/>
      <c r="AE883" s="174"/>
    </row>
    <row r="884" ht="15.75" customHeight="1">
      <c r="S884" s="239"/>
      <c r="AE884" s="174"/>
    </row>
    <row r="885" ht="15.75" customHeight="1">
      <c r="S885" s="239"/>
      <c r="AE885" s="174"/>
    </row>
    <row r="886" ht="15.75" customHeight="1">
      <c r="S886" s="239"/>
      <c r="AE886" s="174"/>
    </row>
    <row r="887" ht="15.75" customHeight="1">
      <c r="S887" s="239"/>
      <c r="AE887" s="174"/>
    </row>
    <row r="888" ht="15.75" customHeight="1">
      <c r="S888" s="239"/>
      <c r="AE888" s="174"/>
    </row>
    <row r="889" ht="15.75" customHeight="1">
      <c r="S889" s="239"/>
      <c r="AE889" s="174"/>
    </row>
    <row r="890" ht="15.75" customHeight="1">
      <c r="S890" s="239"/>
      <c r="AE890" s="174"/>
    </row>
    <row r="891" ht="15.75" customHeight="1">
      <c r="S891" s="239"/>
      <c r="AE891" s="174"/>
    </row>
    <row r="892" ht="15.75" customHeight="1">
      <c r="S892" s="239"/>
      <c r="AE892" s="174"/>
    </row>
    <row r="893" ht="15.75" customHeight="1">
      <c r="S893" s="239"/>
      <c r="AE893" s="174"/>
    </row>
    <row r="894" ht="15.75" customHeight="1">
      <c r="S894" s="239"/>
      <c r="AE894" s="174"/>
    </row>
    <row r="895" ht="15.75" customHeight="1">
      <c r="S895" s="239"/>
      <c r="AE895" s="174"/>
    </row>
    <row r="896" ht="15.75" customHeight="1">
      <c r="S896" s="239"/>
      <c r="AE896" s="174"/>
    </row>
    <row r="897" ht="15.75" customHeight="1">
      <c r="S897" s="239"/>
      <c r="AE897" s="174"/>
    </row>
    <row r="898" ht="15.75" customHeight="1">
      <c r="S898" s="239"/>
      <c r="AE898" s="174"/>
    </row>
    <row r="899" ht="15.75" customHeight="1">
      <c r="S899" s="239"/>
      <c r="AE899" s="174"/>
    </row>
    <row r="900" ht="15.75" customHeight="1">
      <c r="S900" s="239"/>
      <c r="AE900" s="174"/>
    </row>
    <row r="901" ht="15.75" customHeight="1">
      <c r="S901" s="239"/>
      <c r="AE901" s="174"/>
    </row>
    <row r="902" ht="15.75" customHeight="1">
      <c r="S902" s="239"/>
      <c r="AE902" s="174"/>
    </row>
    <row r="903" ht="15.75" customHeight="1">
      <c r="S903" s="239"/>
      <c r="AE903" s="174"/>
    </row>
    <row r="904" ht="15.75" customHeight="1">
      <c r="S904" s="239"/>
      <c r="AE904" s="174"/>
    </row>
    <row r="905" ht="15.75" customHeight="1">
      <c r="S905" s="239"/>
      <c r="AE905" s="174"/>
    </row>
    <row r="906" ht="15.75" customHeight="1">
      <c r="S906" s="239"/>
      <c r="AE906" s="174"/>
    </row>
    <row r="907" ht="15.75" customHeight="1">
      <c r="S907" s="239"/>
      <c r="AE907" s="174"/>
    </row>
    <row r="908" ht="15.75" customHeight="1">
      <c r="S908" s="239"/>
      <c r="AE908" s="174"/>
    </row>
    <row r="909" ht="15.75" customHeight="1">
      <c r="S909" s="239"/>
      <c r="AE909" s="174"/>
    </row>
    <row r="910" ht="15.75" customHeight="1">
      <c r="S910" s="239"/>
      <c r="AE910" s="174"/>
    </row>
    <row r="911" ht="15.75" customHeight="1">
      <c r="S911" s="239"/>
      <c r="AE911" s="174"/>
    </row>
    <row r="912" ht="15.75" customHeight="1">
      <c r="S912" s="239"/>
      <c r="AE912" s="174"/>
    </row>
    <row r="913" ht="15.75" customHeight="1">
      <c r="S913" s="239"/>
      <c r="AE913" s="174"/>
    </row>
    <row r="914" ht="15.75" customHeight="1">
      <c r="S914" s="239"/>
      <c r="AE914" s="174"/>
    </row>
    <row r="915" ht="15.75" customHeight="1">
      <c r="S915" s="239"/>
      <c r="AE915" s="174"/>
    </row>
    <row r="916" ht="15.75" customHeight="1">
      <c r="S916" s="239"/>
      <c r="AE916" s="174"/>
    </row>
    <row r="917" ht="15.75" customHeight="1">
      <c r="S917" s="239"/>
      <c r="AE917" s="174"/>
    </row>
    <row r="918" ht="15.75" customHeight="1">
      <c r="S918" s="239"/>
      <c r="AE918" s="174"/>
    </row>
    <row r="919" ht="15.75" customHeight="1">
      <c r="S919" s="239"/>
      <c r="AE919" s="174"/>
    </row>
    <row r="920" ht="15.75" customHeight="1">
      <c r="S920" s="239"/>
      <c r="AE920" s="174"/>
    </row>
    <row r="921" ht="15.75" customHeight="1">
      <c r="S921" s="239"/>
      <c r="AE921" s="174"/>
    </row>
    <row r="922" ht="15.75" customHeight="1">
      <c r="S922" s="239"/>
      <c r="AE922" s="174"/>
    </row>
    <row r="923" ht="15.75" customHeight="1">
      <c r="S923" s="239"/>
      <c r="AE923" s="174"/>
    </row>
    <row r="924" ht="15.75" customHeight="1">
      <c r="S924" s="239"/>
      <c r="AE924" s="174"/>
    </row>
    <row r="925" ht="15.75" customHeight="1">
      <c r="S925" s="239"/>
      <c r="AE925" s="174"/>
    </row>
    <row r="926" ht="15.75" customHeight="1">
      <c r="S926" s="239"/>
      <c r="AE926" s="174"/>
    </row>
    <row r="927" ht="15.75" customHeight="1">
      <c r="S927" s="239"/>
      <c r="AE927" s="174"/>
    </row>
    <row r="928" ht="15.75" customHeight="1">
      <c r="S928" s="239"/>
      <c r="AE928" s="174"/>
    </row>
    <row r="929" ht="15.75" customHeight="1">
      <c r="S929" s="239"/>
      <c r="AE929" s="174"/>
    </row>
    <row r="930" ht="15.75" customHeight="1">
      <c r="S930" s="239"/>
      <c r="AE930" s="174"/>
    </row>
    <row r="931" ht="15.75" customHeight="1">
      <c r="S931" s="239"/>
      <c r="AE931" s="174"/>
    </row>
    <row r="932" ht="15.75" customHeight="1">
      <c r="S932" s="239"/>
      <c r="AE932" s="174"/>
    </row>
    <row r="933" ht="15.75" customHeight="1">
      <c r="S933" s="239"/>
      <c r="AE933" s="174"/>
    </row>
    <row r="934" ht="15.75" customHeight="1">
      <c r="S934" s="239"/>
      <c r="AE934" s="174"/>
    </row>
    <row r="935" ht="15.75" customHeight="1">
      <c r="S935" s="239"/>
      <c r="AE935" s="174"/>
    </row>
    <row r="936" ht="15.75" customHeight="1">
      <c r="S936" s="239"/>
      <c r="AE936" s="174"/>
    </row>
    <row r="937" ht="15.75" customHeight="1">
      <c r="S937" s="239"/>
      <c r="AE937" s="174"/>
    </row>
    <row r="938" ht="15.75" customHeight="1">
      <c r="S938" s="239"/>
      <c r="AE938" s="174"/>
    </row>
    <row r="939" ht="15.75" customHeight="1">
      <c r="S939" s="239"/>
      <c r="AE939" s="174"/>
    </row>
    <row r="940" ht="15.75" customHeight="1">
      <c r="S940" s="239"/>
      <c r="AE940" s="174"/>
    </row>
    <row r="941" ht="15.75" customHeight="1">
      <c r="S941" s="239"/>
      <c r="AE941" s="174"/>
    </row>
    <row r="942" ht="15.75" customHeight="1">
      <c r="S942" s="239"/>
      <c r="AE942" s="174"/>
    </row>
    <row r="943" ht="15.75" customHeight="1">
      <c r="S943" s="239"/>
      <c r="AE943" s="174"/>
    </row>
    <row r="944" ht="15.75" customHeight="1">
      <c r="S944" s="239"/>
      <c r="AE944" s="174"/>
    </row>
    <row r="945" ht="15.75" customHeight="1">
      <c r="S945" s="239"/>
      <c r="AE945" s="174"/>
    </row>
    <row r="946" ht="15.75" customHeight="1">
      <c r="S946" s="239"/>
      <c r="AE946" s="174"/>
    </row>
    <row r="947" ht="15.75" customHeight="1">
      <c r="S947" s="239"/>
      <c r="AE947" s="174"/>
    </row>
    <row r="948" ht="15.75" customHeight="1">
      <c r="S948" s="239"/>
      <c r="AE948" s="174"/>
    </row>
    <row r="949" ht="15.75" customHeight="1">
      <c r="S949" s="239"/>
      <c r="AE949" s="174"/>
    </row>
    <row r="950" ht="15.75" customHeight="1">
      <c r="S950" s="239"/>
      <c r="AE950" s="174"/>
    </row>
    <row r="951" ht="15.75" customHeight="1">
      <c r="S951" s="239"/>
      <c r="AE951" s="174"/>
    </row>
    <row r="952" ht="15.75" customHeight="1">
      <c r="S952" s="239"/>
      <c r="AE952" s="174"/>
    </row>
    <row r="953" ht="15.75" customHeight="1">
      <c r="S953" s="239"/>
      <c r="AE953" s="174"/>
    </row>
    <row r="954" ht="15.75" customHeight="1">
      <c r="S954" s="239"/>
      <c r="AE954" s="174"/>
    </row>
    <row r="955" ht="15.75" customHeight="1">
      <c r="S955" s="239"/>
      <c r="AE955" s="174"/>
    </row>
    <row r="956" ht="15.75" customHeight="1">
      <c r="S956" s="239"/>
      <c r="AE956" s="174"/>
    </row>
    <row r="957" ht="15.75" customHeight="1">
      <c r="S957" s="239"/>
      <c r="AE957" s="174"/>
    </row>
    <row r="958" ht="15.75" customHeight="1">
      <c r="S958" s="239"/>
      <c r="AE958" s="174"/>
    </row>
    <row r="959" ht="15.75" customHeight="1">
      <c r="S959" s="239"/>
      <c r="AE959" s="174"/>
    </row>
    <row r="960" ht="15.75" customHeight="1">
      <c r="S960" s="239"/>
      <c r="AE960" s="174"/>
    </row>
    <row r="961" ht="15.75" customHeight="1">
      <c r="S961" s="239"/>
      <c r="AE961" s="174"/>
    </row>
    <row r="962" ht="15.75" customHeight="1">
      <c r="S962" s="239"/>
      <c r="AE962" s="174"/>
    </row>
    <row r="963" ht="15.75" customHeight="1">
      <c r="S963" s="239"/>
      <c r="AE963" s="174"/>
    </row>
    <row r="964" ht="15.75" customHeight="1">
      <c r="S964" s="239"/>
      <c r="AE964" s="174"/>
    </row>
    <row r="965" ht="15.75" customHeight="1">
      <c r="S965" s="239"/>
      <c r="AE965" s="174"/>
    </row>
    <row r="966" ht="15.75" customHeight="1">
      <c r="S966" s="239"/>
      <c r="AE966" s="174"/>
    </row>
    <row r="967" ht="15.75" customHeight="1">
      <c r="S967" s="239"/>
      <c r="AE967" s="174"/>
    </row>
    <row r="968" ht="15.75" customHeight="1">
      <c r="S968" s="239"/>
      <c r="AE968" s="174"/>
    </row>
    <row r="969" ht="15.75" customHeight="1">
      <c r="S969" s="239"/>
      <c r="AE969" s="174"/>
    </row>
    <row r="970" ht="15.75" customHeight="1">
      <c r="S970" s="239"/>
      <c r="AE970" s="174"/>
    </row>
    <row r="971" ht="15.75" customHeight="1">
      <c r="S971" s="239"/>
      <c r="AE971" s="174"/>
    </row>
    <row r="972" ht="15.75" customHeight="1">
      <c r="S972" s="239"/>
      <c r="AE972" s="174"/>
    </row>
    <row r="973" ht="15.75" customHeight="1">
      <c r="S973" s="239"/>
      <c r="AE973" s="174"/>
    </row>
    <row r="974" ht="15.75" customHeight="1">
      <c r="S974" s="239"/>
      <c r="AE974" s="174"/>
    </row>
    <row r="975" ht="15.75" customHeight="1">
      <c r="S975" s="239"/>
      <c r="AE975" s="174"/>
    </row>
    <row r="976" ht="15.75" customHeight="1">
      <c r="S976" s="239"/>
      <c r="AE976" s="174"/>
    </row>
    <row r="977" ht="15.75" customHeight="1">
      <c r="S977" s="239"/>
      <c r="AE977" s="174"/>
    </row>
    <row r="978" ht="15.75" customHeight="1">
      <c r="S978" s="239"/>
      <c r="AE978" s="174"/>
    </row>
    <row r="979" ht="15.75" customHeight="1">
      <c r="S979" s="239"/>
      <c r="AE979" s="174"/>
    </row>
    <row r="980" ht="15.75" customHeight="1">
      <c r="S980" s="239"/>
      <c r="AE980" s="174"/>
    </row>
    <row r="981" ht="15.75" customHeight="1">
      <c r="S981" s="239"/>
      <c r="AE981" s="174"/>
    </row>
    <row r="982" ht="15.75" customHeight="1">
      <c r="S982" s="239"/>
      <c r="AE982" s="174"/>
    </row>
    <row r="983" ht="15.75" customHeight="1">
      <c r="S983" s="239"/>
      <c r="AE983" s="174"/>
    </row>
  </sheetData>
  <dataValidations>
    <dataValidation type="list" allowBlank="1" showErrorMessage="1" sqref="Z2:AD11">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19.7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6.1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118.0"/>
  </cols>
  <sheetData>
    <row r="1" ht="15.75" customHeight="1">
      <c r="A1" s="42"/>
      <c r="B1" s="43" t="s">
        <v>61</v>
      </c>
      <c r="C1" s="56" t="s">
        <v>393</v>
      </c>
      <c r="D1" s="56" t="s">
        <v>83</v>
      </c>
      <c r="E1" s="72" t="s">
        <v>63</v>
      </c>
      <c r="F1" s="72" t="s">
        <v>83</v>
      </c>
      <c r="G1" s="72" t="s">
        <v>394</v>
      </c>
      <c r="H1" s="72" t="s">
        <v>83</v>
      </c>
      <c r="I1" s="72" t="s">
        <v>395</v>
      </c>
      <c r="J1" s="72" t="s">
        <v>83</v>
      </c>
      <c r="K1" s="72" t="s">
        <v>440</v>
      </c>
      <c r="L1" s="72" t="s">
        <v>83</v>
      </c>
      <c r="M1" s="72" t="s">
        <v>397</v>
      </c>
      <c r="N1" s="72" t="s">
        <v>83</v>
      </c>
      <c r="O1" s="72" t="s">
        <v>441</v>
      </c>
      <c r="P1" s="72" t="s">
        <v>83</v>
      </c>
      <c r="Q1" s="245" t="s">
        <v>48</v>
      </c>
      <c r="R1" s="245" t="s">
        <v>83</v>
      </c>
      <c r="S1" s="72" t="s">
        <v>399</v>
      </c>
      <c r="T1" s="43" t="s">
        <v>83</v>
      </c>
      <c r="U1" s="43" t="s">
        <v>32</v>
      </c>
      <c r="V1" s="43" t="s">
        <v>83</v>
      </c>
      <c r="W1" s="42"/>
      <c r="X1" s="43" t="s">
        <v>33</v>
      </c>
      <c r="Y1" s="43" t="s">
        <v>73</v>
      </c>
      <c r="Z1" s="43" t="s">
        <v>74</v>
      </c>
      <c r="AA1" s="42" t="s">
        <v>75</v>
      </c>
      <c r="AB1" s="42" t="s">
        <v>76</v>
      </c>
      <c r="AC1" s="42" t="s">
        <v>77</v>
      </c>
      <c r="AD1" s="42" t="s">
        <v>210</v>
      </c>
      <c r="AE1" s="96" t="s">
        <v>79</v>
      </c>
    </row>
    <row r="2" ht="15.75" customHeight="1">
      <c r="A2" s="42">
        <v>1.0</v>
      </c>
      <c r="B2" s="244" t="s">
        <v>553</v>
      </c>
      <c r="C2" s="63">
        <v>41.0</v>
      </c>
      <c r="D2" s="56" t="str">
        <f t="shared" ref="D2:D19" si="1">VLOOKUP(C2,$B$31:$C$39,2)</f>
        <v>E</v>
      </c>
      <c r="E2" s="73">
        <v>56.0</v>
      </c>
      <c r="F2" s="56" t="str">
        <f t="shared" ref="F2:F19" si="2">VLOOKUP(E2,$B$31:$C$39,2)</f>
        <v>D</v>
      </c>
      <c r="G2" s="73">
        <v>35.0</v>
      </c>
      <c r="H2" s="56" t="str">
        <f t="shared" ref="H2:H19" si="3">VLOOKUP(G2,$B$31:$C$39,2)</f>
        <v>F</v>
      </c>
      <c r="I2" s="73">
        <v>52.0</v>
      </c>
      <c r="J2" s="56" t="str">
        <f t="shared" ref="J2:J19" si="4">VLOOKUP(I2,$B$31:$C$39,2)</f>
        <v>D</v>
      </c>
      <c r="K2" s="73">
        <v>53.0</v>
      </c>
      <c r="L2" s="56" t="str">
        <f t="shared" ref="L2:L19" si="5">VLOOKUP(K2,$B$31:$C$39,2)</f>
        <v>D</v>
      </c>
      <c r="M2" s="72"/>
      <c r="N2" s="56" t="str">
        <f t="shared" ref="N2:N19" si="6">VLOOKUP(M2,$B$31:$C$39,2)</f>
        <v>U</v>
      </c>
      <c r="O2" s="72"/>
      <c r="P2" s="56" t="str">
        <f t="shared" ref="P2:P19" si="7">VLOOKUP(O2,$B$31:$C$39,2)</f>
        <v>U</v>
      </c>
      <c r="Q2" s="72"/>
      <c r="R2" s="56" t="str">
        <f t="shared" ref="R2:R19" si="8">VLOOKUP(Q2,$B$31:$C$39,2)</f>
        <v>U</v>
      </c>
      <c r="S2" s="72"/>
      <c r="T2" s="56" t="str">
        <f t="shared" ref="T2:T19" si="9">VLOOKUP(S2,$B$31:$C$39,2)</f>
        <v>U</v>
      </c>
      <c r="U2" s="232">
        <v>69.0</v>
      </c>
      <c r="V2" s="56" t="str">
        <f t="shared" ref="V2:V19" si="10">VLOOKUP(U2,$B$31:$C$39,2)</f>
        <v>C</v>
      </c>
      <c r="W2" s="72"/>
      <c r="X2" s="233">
        <f t="shared" ref="X2:X21" si="11">AVERAGE(C2,E2,G2,I2,K2,M2,O2,Q2,S2,U2)</f>
        <v>51</v>
      </c>
      <c r="Y2" s="72" t="str">
        <f t="shared" ref="Y2:Y19" si="12">RANK(X2,$X$2:$X$21)</f>
        <v>#DIV/0!</v>
      </c>
      <c r="Z2" s="134" t="s">
        <v>85</v>
      </c>
      <c r="AA2" s="134" t="s">
        <v>87</v>
      </c>
      <c r="AB2" s="134" t="s">
        <v>87</v>
      </c>
      <c r="AC2" s="134" t="s">
        <v>86</v>
      </c>
      <c r="AD2" s="134" t="s">
        <v>87</v>
      </c>
      <c r="AE2" s="208" t="s">
        <v>554</v>
      </c>
    </row>
    <row r="3" ht="15.75" customHeight="1">
      <c r="A3" s="42">
        <v>2.0</v>
      </c>
      <c r="B3" s="176" t="s">
        <v>555</v>
      </c>
      <c r="C3" s="63">
        <v>51.0</v>
      </c>
      <c r="D3" s="56" t="str">
        <f t="shared" si="1"/>
        <v>D</v>
      </c>
      <c r="E3" s="73">
        <v>62.0</v>
      </c>
      <c r="F3" s="56" t="str">
        <f t="shared" si="2"/>
        <v>C</v>
      </c>
      <c r="G3" s="72"/>
      <c r="H3" s="56" t="str">
        <f t="shared" si="3"/>
        <v>U</v>
      </c>
      <c r="I3" s="73">
        <v>54.0</v>
      </c>
      <c r="J3" s="56" t="str">
        <f t="shared" si="4"/>
        <v>D</v>
      </c>
      <c r="K3" s="73">
        <v>54.0</v>
      </c>
      <c r="L3" s="56" t="str">
        <f t="shared" si="5"/>
        <v>D</v>
      </c>
      <c r="M3" s="73">
        <v>46.0</v>
      </c>
      <c r="N3" s="56" t="str">
        <f t="shared" si="6"/>
        <v>E</v>
      </c>
      <c r="O3" s="72"/>
      <c r="P3" s="56" t="str">
        <f t="shared" si="7"/>
        <v>U</v>
      </c>
      <c r="Q3" s="73">
        <v>47.0</v>
      </c>
      <c r="R3" s="56" t="str">
        <f t="shared" si="8"/>
        <v>E</v>
      </c>
      <c r="S3" s="236"/>
      <c r="T3" s="56" t="str">
        <f t="shared" si="9"/>
        <v>U</v>
      </c>
      <c r="U3" s="121"/>
      <c r="V3" s="56" t="str">
        <f t="shared" si="10"/>
        <v>U</v>
      </c>
      <c r="W3" s="42"/>
      <c r="X3" s="233">
        <f t="shared" si="11"/>
        <v>52.33333333</v>
      </c>
      <c r="Y3" s="72" t="str">
        <f t="shared" si="12"/>
        <v>#DIV/0!</v>
      </c>
      <c r="Z3" s="134" t="s">
        <v>85</v>
      </c>
      <c r="AA3" s="134" t="s">
        <v>85</v>
      </c>
      <c r="AB3" s="134" t="s">
        <v>87</v>
      </c>
      <c r="AC3" s="134" t="s">
        <v>85</v>
      </c>
      <c r="AD3" s="134" t="s">
        <v>87</v>
      </c>
      <c r="AE3" s="208" t="s">
        <v>556</v>
      </c>
    </row>
    <row r="4" ht="15.75" customHeight="1">
      <c r="A4" s="42">
        <v>3.0</v>
      </c>
      <c r="B4" s="176" t="s">
        <v>557</v>
      </c>
      <c r="C4" s="63">
        <v>59.0</v>
      </c>
      <c r="D4" s="56" t="str">
        <f t="shared" si="1"/>
        <v>D</v>
      </c>
      <c r="E4" s="73">
        <v>48.0</v>
      </c>
      <c r="F4" s="56" t="str">
        <f t="shared" si="2"/>
        <v>E</v>
      </c>
      <c r="G4" s="73">
        <v>37.0</v>
      </c>
      <c r="H4" s="56" t="str">
        <f t="shared" si="3"/>
        <v>F</v>
      </c>
      <c r="I4" s="72"/>
      <c r="J4" s="56" t="str">
        <f t="shared" si="4"/>
        <v>U</v>
      </c>
      <c r="K4" s="73">
        <v>45.0</v>
      </c>
      <c r="L4" s="56" t="str">
        <f t="shared" si="5"/>
        <v>E</v>
      </c>
      <c r="M4" s="72"/>
      <c r="N4" s="56" t="str">
        <f t="shared" si="6"/>
        <v>U</v>
      </c>
      <c r="O4" s="73"/>
      <c r="P4" s="56" t="str">
        <f t="shared" si="7"/>
        <v>U</v>
      </c>
      <c r="Q4" s="72"/>
      <c r="R4" s="56" t="str">
        <f t="shared" si="8"/>
        <v>U</v>
      </c>
      <c r="S4" s="236"/>
      <c r="T4" s="56" t="str">
        <f t="shared" si="9"/>
        <v>U</v>
      </c>
      <c r="U4" s="121">
        <v>64.0</v>
      </c>
      <c r="V4" s="56" t="str">
        <f t="shared" si="10"/>
        <v>C</v>
      </c>
      <c r="W4" s="42"/>
      <c r="X4" s="233">
        <f t="shared" si="11"/>
        <v>50.6</v>
      </c>
      <c r="Y4" s="72" t="str">
        <f t="shared" si="12"/>
        <v>#DIV/0!</v>
      </c>
      <c r="Z4" s="134" t="s">
        <v>86</v>
      </c>
      <c r="AA4" s="134" t="s">
        <v>85</v>
      </c>
      <c r="AB4" s="134" t="s">
        <v>87</v>
      </c>
      <c r="AC4" s="134" t="s">
        <v>85</v>
      </c>
      <c r="AD4" s="134" t="s">
        <v>87</v>
      </c>
      <c r="AE4" s="208" t="s">
        <v>558</v>
      </c>
    </row>
    <row r="5" ht="15.75" customHeight="1">
      <c r="A5" s="42">
        <v>4.0</v>
      </c>
      <c r="B5" s="176" t="s">
        <v>559</v>
      </c>
      <c r="C5" s="63">
        <v>69.0</v>
      </c>
      <c r="D5" s="56" t="str">
        <f t="shared" si="1"/>
        <v>C</v>
      </c>
      <c r="E5" s="73">
        <v>40.0</v>
      </c>
      <c r="F5" s="56" t="str">
        <f t="shared" si="2"/>
        <v>E</v>
      </c>
      <c r="G5" s="73">
        <v>72.0</v>
      </c>
      <c r="H5" s="56" t="str">
        <f t="shared" si="3"/>
        <v>B</v>
      </c>
      <c r="I5" s="72"/>
      <c r="J5" s="56" t="str">
        <f t="shared" si="4"/>
        <v>U</v>
      </c>
      <c r="K5" s="73"/>
      <c r="L5" s="56" t="str">
        <f t="shared" si="5"/>
        <v>U</v>
      </c>
      <c r="M5" s="73">
        <v>58.0</v>
      </c>
      <c r="N5" s="56" t="str">
        <f t="shared" si="6"/>
        <v>D</v>
      </c>
      <c r="O5" s="73">
        <v>61.0</v>
      </c>
      <c r="P5" s="56" t="str">
        <f t="shared" si="7"/>
        <v>C</v>
      </c>
      <c r="Q5" s="72"/>
      <c r="R5" s="56" t="str">
        <f t="shared" si="8"/>
        <v>U</v>
      </c>
      <c r="S5" s="72"/>
      <c r="T5" s="56" t="str">
        <f t="shared" si="9"/>
        <v>U</v>
      </c>
      <c r="U5" s="42"/>
      <c r="V5" s="56" t="str">
        <f t="shared" si="10"/>
        <v>U</v>
      </c>
      <c r="W5" s="42"/>
      <c r="X5" s="233">
        <f t="shared" si="11"/>
        <v>60</v>
      </c>
      <c r="Y5" s="72" t="str">
        <f t="shared" si="12"/>
        <v>#DIV/0!</v>
      </c>
      <c r="Z5" s="134" t="s">
        <v>87</v>
      </c>
      <c r="AA5" s="134" t="s">
        <v>87</v>
      </c>
      <c r="AB5" s="134" t="s">
        <v>87</v>
      </c>
      <c r="AC5" s="134" t="s">
        <v>85</v>
      </c>
      <c r="AD5" s="134" t="s">
        <v>87</v>
      </c>
      <c r="AE5" s="208" t="s">
        <v>560</v>
      </c>
    </row>
    <row r="6" ht="15.75" customHeight="1">
      <c r="A6" s="42">
        <v>5.0</v>
      </c>
      <c r="B6" s="176" t="s">
        <v>561</v>
      </c>
      <c r="C6" s="63">
        <v>73.0</v>
      </c>
      <c r="D6" s="56" t="str">
        <f t="shared" si="1"/>
        <v>B</v>
      </c>
      <c r="E6" s="73">
        <v>73.0</v>
      </c>
      <c r="F6" s="56" t="str">
        <f t="shared" si="2"/>
        <v>B</v>
      </c>
      <c r="G6" s="73">
        <v>85.0</v>
      </c>
      <c r="H6" s="56" t="str">
        <f t="shared" si="3"/>
        <v>A</v>
      </c>
      <c r="I6" s="72"/>
      <c r="J6" s="56" t="str">
        <f t="shared" si="4"/>
        <v>U</v>
      </c>
      <c r="K6" s="72"/>
      <c r="L6" s="56" t="str">
        <f t="shared" si="5"/>
        <v>U</v>
      </c>
      <c r="M6" s="72"/>
      <c r="N6" s="56" t="str">
        <f t="shared" si="6"/>
        <v>U</v>
      </c>
      <c r="O6" s="73">
        <v>72.0</v>
      </c>
      <c r="P6" s="56" t="str">
        <f t="shared" si="7"/>
        <v>B</v>
      </c>
      <c r="Q6" s="73">
        <v>85.0</v>
      </c>
      <c r="R6" s="56" t="str">
        <f t="shared" si="8"/>
        <v>A</v>
      </c>
      <c r="S6" s="207">
        <v>73.0</v>
      </c>
      <c r="T6" s="56" t="str">
        <f t="shared" si="9"/>
        <v>B</v>
      </c>
      <c r="U6" s="42"/>
      <c r="V6" s="56" t="str">
        <f t="shared" si="10"/>
        <v>U</v>
      </c>
      <c r="W6" s="42"/>
      <c r="X6" s="233">
        <f t="shared" si="11"/>
        <v>76.83333333</v>
      </c>
      <c r="Y6" s="72" t="str">
        <f t="shared" si="12"/>
        <v>#DIV/0!</v>
      </c>
      <c r="Z6" s="134" t="s">
        <v>85</v>
      </c>
      <c r="AA6" s="134" t="s">
        <v>86</v>
      </c>
      <c r="AB6" s="134" t="s">
        <v>86</v>
      </c>
      <c r="AC6" s="134" t="s">
        <v>86</v>
      </c>
      <c r="AD6" s="134" t="s">
        <v>86</v>
      </c>
      <c r="AE6" s="208" t="s">
        <v>562</v>
      </c>
    </row>
    <row r="7" ht="15.75" customHeight="1">
      <c r="A7" s="42">
        <v>6.0</v>
      </c>
      <c r="B7" s="176" t="s">
        <v>563</v>
      </c>
      <c r="C7" s="63">
        <v>77.0</v>
      </c>
      <c r="D7" s="56" t="str">
        <f t="shared" si="1"/>
        <v>B</v>
      </c>
      <c r="E7" s="73">
        <v>62.0</v>
      </c>
      <c r="F7" s="56" t="str">
        <f t="shared" si="2"/>
        <v>C</v>
      </c>
      <c r="G7" s="73">
        <v>81.0</v>
      </c>
      <c r="H7" s="56" t="str">
        <f t="shared" si="3"/>
        <v>A</v>
      </c>
      <c r="I7" s="72"/>
      <c r="J7" s="56" t="str">
        <f t="shared" si="4"/>
        <v>U</v>
      </c>
      <c r="K7" s="73">
        <v>73.0</v>
      </c>
      <c r="L7" s="56" t="str">
        <f t="shared" si="5"/>
        <v>B</v>
      </c>
      <c r="M7" s="72"/>
      <c r="N7" s="56" t="str">
        <f t="shared" si="6"/>
        <v>U</v>
      </c>
      <c r="O7" s="73">
        <v>81.0</v>
      </c>
      <c r="P7" s="56" t="str">
        <f t="shared" si="7"/>
        <v>A</v>
      </c>
      <c r="Q7" s="73">
        <v>78.0</v>
      </c>
      <c r="R7" s="56" t="str">
        <f t="shared" si="8"/>
        <v>B</v>
      </c>
      <c r="S7" s="72"/>
      <c r="T7" s="56" t="str">
        <f t="shared" si="9"/>
        <v>U</v>
      </c>
      <c r="U7" s="42"/>
      <c r="V7" s="56" t="str">
        <f t="shared" si="10"/>
        <v>U</v>
      </c>
      <c r="W7" s="42"/>
      <c r="X7" s="233">
        <f t="shared" si="11"/>
        <v>75.33333333</v>
      </c>
      <c r="Y7" s="72" t="str">
        <f t="shared" si="12"/>
        <v>#DIV/0!</v>
      </c>
      <c r="Z7" s="134" t="s">
        <v>86</v>
      </c>
      <c r="AA7" s="134" t="s">
        <v>86</v>
      </c>
      <c r="AB7" s="134" t="s">
        <v>86</v>
      </c>
      <c r="AC7" s="134" t="s">
        <v>86</v>
      </c>
      <c r="AD7" s="134" t="s">
        <v>86</v>
      </c>
      <c r="AE7" s="208" t="s">
        <v>564</v>
      </c>
    </row>
    <row r="8" ht="15.75" customHeight="1">
      <c r="A8" s="42">
        <v>7.0</v>
      </c>
      <c r="B8" s="176" t="s">
        <v>565</v>
      </c>
      <c r="C8" s="63">
        <v>61.0</v>
      </c>
      <c r="D8" s="56" t="str">
        <f t="shared" si="1"/>
        <v>C</v>
      </c>
      <c r="E8" s="73">
        <v>71.0</v>
      </c>
      <c r="F8" s="56" t="str">
        <f t="shared" si="2"/>
        <v>B</v>
      </c>
      <c r="G8" s="72"/>
      <c r="H8" s="56" t="str">
        <f t="shared" si="3"/>
        <v>U</v>
      </c>
      <c r="I8" s="73">
        <v>67.0</v>
      </c>
      <c r="J8" s="56" t="str">
        <f t="shared" si="4"/>
        <v>C</v>
      </c>
      <c r="K8" s="72"/>
      <c r="L8" s="56" t="str">
        <f t="shared" si="5"/>
        <v>U</v>
      </c>
      <c r="M8" s="73">
        <v>38.0</v>
      </c>
      <c r="N8" s="56" t="str">
        <f t="shared" si="6"/>
        <v>F</v>
      </c>
      <c r="O8" s="72"/>
      <c r="P8" s="56" t="str">
        <f t="shared" si="7"/>
        <v>U</v>
      </c>
      <c r="Q8" s="72"/>
      <c r="R8" s="56" t="str">
        <f t="shared" si="8"/>
        <v>U</v>
      </c>
      <c r="S8" s="73">
        <v>51.0</v>
      </c>
      <c r="T8" s="56" t="str">
        <f t="shared" si="9"/>
        <v>D</v>
      </c>
      <c r="U8" s="121">
        <v>59.0</v>
      </c>
      <c r="V8" s="56" t="str">
        <f t="shared" si="10"/>
        <v>D</v>
      </c>
      <c r="W8" s="42"/>
      <c r="X8" s="233">
        <f t="shared" si="11"/>
        <v>57.83333333</v>
      </c>
      <c r="Y8" s="72" t="str">
        <f t="shared" si="12"/>
        <v>#DIV/0!</v>
      </c>
      <c r="Z8" s="134" t="s">
        <v>87</v>
      </c>
      <c r="AA8" s="134" t="s">
        <v>87</v>
      </c>
      <c r="AB8" s="134" t="s">
        <v>87</v>
      </c>
      <c r="AC8" s="134" t="s">
        <v>85</v>
      </c>
      <c r="AD8" s="134" t="s">
        <v>87</v>
      </c>
      <c r="AE8" s="208" t="s">
        <v>566</v>
      </c>
    </row>
    <row r="9" ht="15.75" customHeight="1">
      <c r="A9" s="42">
        <v>8.0</v>
      </c>
      <c r="B9" s="134" t="s">
        <v>567</v>
      </c>
      <c r="C9" s="63">
        <v>52.0</v>
      </c>
      <c r="D9" s="56" t="str">
        <f t="shared" si="1"/>
        <v>D</v>
      </c>
      <c r="E9" s="73">
        <v>42.0</v>
      </c>
      <c r="F9" s="56" t="str">
        <f t="shared" si="2"/>
        <v>E</v>
      </c>
      <c r="G9" s="73">
        <v>36.0</v>
      </c>
      <c r="H9" s="56" t="str">
        <f t="shared" si="3"/>
        <v>F</v>
      </c>
      <c r="I9" s="73">
        <v>43.0</v>
      </c>
      <c r="J9" s="56" t="str">
        <f t="shared" si="4"/>
        <v>E</v>
      </c>
      <c r="K9" s="73">
        <v>46.0</v>
      </c>
      <c r="L9" s="56" t="str">
        <f t="shared" si="5"/>
        <v>E</v>
      </c>
      <c r="M9" s="72"/>
      <c r="N9" s="56" t="str">
        <f t="shared" si="6"/>
        <v>U</v>
      </c>
      <c r="O9" s="72"/>
      <c r="P9" s="56" t="str">
        <f t="shared" si="7"/>
        <v>U</v>
      </c>
      <c r="Q9" s="72"/>
      <c r="R9" s="56" t="str">
        <f t="shared" si="8"/>
        <v>U</v>
      </c>
      <c r="S9" s="236"/>
      <c r="T9" s="56" t="str">
        <f t="shared" si="9"/>
        <v>U</v>
      </c>
      <c r="U9" s="121">
        <v>68.0</v>
      </c>
      <c r="V9" s="56" t="str">
        <f t="shared" si="10"/>
        <v>C</v>
      </c>
      <c r="W9" s="42"/>
      <c r="X9" s="233">
        <f t="shared" si="11"/>
        <v>47.83333333</v>
      </c>
      <c r="Y9" s="72" t="str">
        <f t="shared" si="12"/>
        <v>#DIV/0!</v>
      </c>
      <c r="Z9" s="134" t="s">
        <v>87</v>
      </c>
      <c r="AA9" s="134" t="s">
        <v>87</v>
      </c>
      <c r="AB9" s="134" t="s">
        <v>87</v>
      </c>
      <c r="AC9" s="134" t="s">
        <v>87</v>
      </c>
      <c r="AD9" s="134" t="s">
        <v>87</v>
      </c>
      <c r="AE9" s="208" t="s">
        <v>568</v>
      </c>
    </row>
    <row r="10" ht="18.75" customHeight="1">
      <c r="A10" s="42">
        <v>9.0</v>
      </c>
      <c r="B10" s="176" t="s">
        <v>569</v>
      </c>
      <c r="C10" s="63">
        <v>51.0</v>
      </c>
      <c r="D10" s="56" t="str">
        <f t="shared" si="1"/>
        <v>D</v>
      </c>
      <c r="E10" s="73">
        <v>21.0</v>
      </c>
      <c r="F10" s="56" t="str">
        <f t="shared" si="2"/>
        <v>G</v>
      </c>
      <c r="G10" s="73">
        <v>50.0</v>
      </c>
      <c r="H10" s="56" t="str">
        <f t="shared" si="3"/>
        <v>D</v>
      </c>
      <c r="I10" s="72"/>
      <c r="J10" s="56" t="str">
        <f t="shared" si="4"/>
        <v>U</v>
      </c>
      <c r="K10" s="73">
        <v>34.0</v>
      </c>
      <c r="L10" s="56" t="str">
        <f t="shared" si="5"/>
        <v>F</v>
      </c>
      <c r="M10" s="72"/>
      <c r="N10" s="56" t="str">
        <f t="shared" si="6"/>
        <v>U</v>
      </c>
      <c r="O10" s="73">
        <v>23.0</v>
      </c>
      <c r="P10" s="56" t="str">
        <f t="shared" si="7"/>
        <v>G</v>
      </c>
      <c r="Q10" s="72"/>
      <c r="R10" s="56" t="str">
        <f t="shared" si="8"/>
        <v>U</v>
      </c>
      <c r="S10" s="236"/>
      <c r="T10" s="56" t="str">
        <f t="shared" si="9"/>
        <v>U</v>
      </c>
      <c r="U10" s="121">
        <v>69.0</v>
      </c>
      <c r="V10" s="56" t="str">
        <f t="shared" si="10"/>
        <v>C</v>
      </c>
      <c r="W10" s="42"/>
      <c r="X10" s="233">
        <f t="shared" si="11"/>
        <v>41.33333333</v>
      </c>
      <c r="Y10" s="72" t="str">
        <f t="shared" si="12"/>
        <v>#DIV/0!</v>
      </c>
      <c r="Z10" s="134" t="s">
        <v>86</v>
      </c>
      <c r="AA10" s="134" t="s">
        <v>85</v>
      </c>
      <c r="AB10" s="134" t="s">
        <v>87</v>
      </c>
      <c r="AC10" s="134" t="s">
        <v>86</v>
      </c>
      <c r="AD10" s="134" t="s">
        <v>85</v>
      </c>
      <c r="AE10" s="208" t="s">
        <v>570</v>
      </c>
    </row>
    <row r="11" ht="24.0" customHeight="1">
      <c r="A11" s="42">
        <v>10.0</v>
      </c>
      <c r="B11" s="176" t="s">
        <v>571</v>
      </c>
      <c r="C11" s="63">
        <v>28.0</v>
      </c>
      <c r="D11" s="56" t="str">
        <f t="shared" si="1"/>
        <v>G</v>
      </c>
      <c r="E11" s="73">
        <v>17.0</v>
      </c>
      <c r="F11" s="56" t="str">
        <f t="shared" si="2"/>
        <v>U</v>
      </c>
      <c r="G11" s="73">
        <v>20.0</v>
      </c>
      <c r="H11" s="56" t="str">
        <f t="shared" si="3"/>
        <v>G</v>
      </c>
      <c r="I11" s="72"/>
      <c r="J11" s="56" t="str">
        <f t="shared" si="4"/>
        <v>U</v>
      </c>
      <c r="K11" s="72"/>
      <c r="L11" s="56" t="str">
        <f t="shared" si="5"/>
        <v>U</v>
      </c>
      <c r="M11" s="72"/>
      <c r="N11" s="56" t="str">
        <f t="shared" si="6"/>
        <v>U</v>
      </c>
      <c r="O11" s="73">
        <v>7.0</v>
      </c>
      <c r="P11" s="56" t="str">
        <f t="shared" si="7"/>
        <v>U</v>
      </c>
      <c r="Q11" s="73">
        <v>25.0</v>
      </c>
      <c r="R11" s="56" t="str">
        <f t="shared" si="8"/>
        <v>G</v>
      </c>
      <c r="S11" s="207">
        <v>14.0</v>
      </c>
      <c r="T11" s="56" t="str">
        <f t="shared" si="9"/>
        <v>U</v>
      </c>
      <c r="U11" s="42"/>
      <c r="V11" s="56" t="str">
        <f t="shared" si="10"/>
        <v>U</v>
      </c>
      <c r="W11" s="42"/>
      <c r="X11" s="233">
        <f t="shared" si="11"/>
        <v>18.5</v>
      </c>
      <c r="Y11" s="72" t="str">
        <f t="shared" si="12"/>
        <v>#DIV/0!</v>
      </c>
      <c r="Z11" s="134" t="s">
        <v>85</v>
      </c>
      <c r="AA11" s="134" t="s">
        <v>85</v>
      </c>
      <c r="AB11" s="134" t="s">
        <v>87</v>
      </c>
      <c r="AC11" s="134" t="s">
        <v>85</v>
      </c>
      <c r="AD11" s="134" t="s">
        <v>87</v>
      </c>
      <c r="AE11" s="208" t="s">
        <v>572</v>
      </c>
    </row>
    <row r="12" ht="23.25" customHeight="1">
      <c r="A12" s="42">
        <v>11.0</v>
      </c>
      <c r="B12" s="176" t="s">
        <v>573</v>
      </c>
      <c r="C12" s="63">
        <v>56.0</v>
      </c>
      <c r="D12" s="56" t="str">
        <f t="shared" si="1"/>
        <v>D</v>
      </c>
      <c r="E12" s="73">
        <v>72.0</v>
      </c>
      <c r="F12" s="56" t="str">
        <f t="shared" si="2"/>
        <v>B</v>
      </c>
      <c r="G12" s="73">
        <v>61.0</v>
      </c>
      <c r="H12" s="56" t="str">
        <f t="shared" si="3"/>
        <v>C</v>
      </c>
      <c r="I12" s="73">
        <v>51.0</v>
      </c>
      <c r="J12" s="56" t="str">
        <f t="shared" si="4"/>
        <v>D</v>
      </c>
      <c r="K12" s="72"/>
      <c r="L12" s="56" t="str">
        <f t="shared" si="5"/>
        <v>U</v>
      </c>
      <c r="M12" s="72"/>
      <c r="N12" s="56" t="str">
        <f t="shared" si="6"/>
        <v>U</v>
      </c>
      <c r="O12" s="73">
        <v>36.0</v>
      </c>
      <c r="P12" s="56" t="str">
        <f t="shared" si="7"/>
        <v>F</v>
      </c>
      <c r="Q12" s="73">
        <v>41.0</v>
      </c>
      <c r="R12" s="56" t="str">
        <f t="shared" si="8"/>
        <v>E</v>
      </c>
      <c r="S12" s="236"/>
      <c r="T12" s="56" t="str">
        <f t="shared" si="9"/>
        <v>U</v>
      </c>
      <c r="U12" s="43"/>
      <c r="V12" s="56" t="str">
        <f t="shared" si="10"/>
        <v>U</v>
      </c>
      <c r="W12" s="42"/>
      <c r="X12" s="233">
        <f t="shared" si="11"/>
        <v>52.83333333</v>
      </c>
      <c r="Y12" s="72" t="str">
        <f t="shared" si="12"/>
        <v>#DIV/0!</v>
      </c>
      <c r="Z12" s="134" t="s">
        <v>85</v>
      </c>
      <c r="AA12" s="134" t="s">
        <v>85</v>
      </c>
      <c r="AB12" s="134" t="s">
        <v>86</v>
      </c>
      <c r="AC12" s="134" t="s">
        <v>85</v>
      </c>
      <c r="AD12" s="134" t="s">
        <v>85</v>
      </c>
      <c r="AE12" s="208" t="s">
        <v>574</v>
      </c>
    </row>
    <row r="13" ht="27.75" customHeight="1">
      <c r="A13" s="42">
        <v>12.0</v>
      </c>
      <c r="B13" s="176" t="s">
        <v>575</v>
      </c>
      <c r="C13" s="63">
        <v>61.0</v>
      </c>
      <c r="D13" s="56" t="str">
        <f t="shared" si="1"/>
        <v>C</v>
      </c>
      <c r="E13" s="73">
        <v>50.0</v>
      </c>
      <c r="F13" s="56" t="str">
        <f t="shared" si="2"/>
        <v>D</v>
      </c>
      <c r="G13" s="72"/>
      <c r="H13" s="56" t="str">
        <f t="shared" si="3"/>
        <v>U</v>
      </c>
      <c r="I13" s="72"/>
      <c r="J13" s="56" t="str">
        <f t="shared" si="4"/>
        <v>U</v>
      </c>
      <c r="K13" s="72"/>
      <c r="L13" s="56" t="str">
        <f t="shared" si="5"/>
        <v>U</v>
      </c>
      <c r="M13" s="73">
        <v>50.0</v>
      </c>
      <c r="N13" s="56" t="str">
        <f t="shared" si="6"/>
        <v>D</v>
      </c>
      <c r="O13" s="73">
        <v>14.0</v>
      </c>
      <c r="P13" s="56" t="str">
        <f t="shared" si="7"/>
        <v>U</v>
      </c>
      <c r="Q13" s="73">
        <v>38.0</v>
      </c>
      <c r="R13" s="56" t="str">
        <f t="shared" si="8"/>
        <v>F</v>
      </c>
      <c r="S13" s="207">
        <v>50.0</v>
      </c>
      <c r="T13" s="56" t="str">
        <f t="shared" si="9"/>
        <v>D</v>
      </c>
      <c r="U13" s="43"/>
      <c r="V13" s="56" t="str">
        <f t="shared" si="10"/>
        <v>U</v>
      </c>
      <c r="W13" s="42"/>
      <c r="X13" s="233">
        <f t="shared" si="11"/>
        <v>43.83333333</v>
      </c>
      <c r="Y13" s="72" t="str">
        <f t="shared" si="12"/>
        <v>#DIV/0!</v>
      </c>
      <c r="Z13" s="134" t="s">
        <v>85</v>
      </c>
      <c r="AA13" s="134" t="s">
        <v>87</v>
      </c>
      <c r="AB13" s="134" t="s">
        <v>87</v>
      </c>
      <c r="AC13" s="134" t="s">
        <v>87</v>
      </c>
      <c r="AD13" s="134" t="s">
        <v>87</v>
      </c>
      <c r="AE13" s="208" t="s">
        <v>576</v>
      </c>
    </row>
    <row r="14" ht="29.25" customHeight="1">
      <c r="A14" s="42">
        <v>13.0</v>
      </c>
      <c r="B14" s="176" t="s">
        <v>577</v>
      </c>
      <c r="C14" s="63">
        <v>39.0</v>
      </c>
      <c r="D14" s="56" t="str">
        <f t="shared" si="1"/>
        <v>F</v>
      </c>
      <c r="E14" s="73">
        <v>54.0</v>
      </c>
      <c r="F14" s="56" t="str">
        <f t="shared" si="2"/>
        <v>D</v>
      </c>
      <c r="G14" s="73">
        <v>23.0</v>
      </c>
      <c r="H14" s="56" t="str">
        <f t="shared" si="3"/>
        <v>G</v>
      </c>
      <c r="I14" s="56"/>
      <c r="J14" s="56" t="str">
        <f t="shared" si="4"/>
        <v>U</v>
      </c>
      <c r="K14" s="73">
        <v>41.0</v>
      </c>
      <c r="L14" s="56" t="str">
        <f t="shared" si="5"/>
        <v>E</v>
      </c>
      <c r="M14" s="72"/>
      <c r="N14" s="56" t="str">
        <f t="shared" si="6"/>
        <v>U</v>
      </c>
      <c r="O14" s="72"/>
      <c r="P14" s="56" t="str">
        <f t="shared" si="7"/>
        <v>U</v>
      </c>
      <c r="Q14" s="72"/>
      <c r="R14" s="56" t="str">
        <f t="shared" si="8"/>
        <v>U</v>
      </c>
      <c r="S14" s="72"/>
      <c r="T14" s="56" t="str">
        <f t="shared" si="9"/>
        <v>U</v>
      </c>
      <c r="U14" s="121">
        <v>54.0</v>
      </c>
      <c r="V14" s="56" t="str">
        <f t="shared" si="10"/>
        <v>D</v>
      </c>
      <c r="W14" s="42"/>
      <c r="X14" s="233">
        <f t="shared" si="11"/>
        <v>42.2</v>
      </c>
      <c r="Y14" s="72" t="str">
        <f t="shared" si="12"/>
        <v>#DIV/0!</v>
      </c>
      <c r="Z14" s="134" t="s">
        <v>85</v>
      </c>
      <c r="AA14" s="134" t="s">
        <v>87</v>
      </c>
      <c r="AB14" s="134" t="s">
        <v>87</v>
      </c>
      <c r="AC14" s="134" t="s">
        <v>87</v>
      </c>
      <c r="AD14" s="134" t="s">
        <v>87</v>
      </c>
      <c r="AE14" s="208" t="s">
        <v>578</v>
      </c>
    </row>
    <row r="15" ht="28.5" customHeight="1">
      <c r="A15" s="42">
        <v>14.0</v>
      </c>
      <c r="B15" s="176" t="s">
        <v>579</v>
      </c>
      <c r="C15" s="63">
        <v>47.0</v>
      </c>
      <c r="D15" s="56" t="str">
        <f t="shared" si="1"/>
        <v>E</v>
      </c>
      <c r="E15" s="73">
        <v>38.0</v>
      </c>
      <c r="F15" s="56" t="str">
        <f t="shared" si="2"/>
        <v>F</v>
      </c>
      <c r="G15" s="72"/>
      <c r="H15" s="56" t="str">
        <f t="shared" si="3"/>
        <v>U</v>
      </c>
      <c r="I15" s="73">
        <v>50.0</v>
      </c>
      <c r="J15" s="56" t="str">
        <f t="shared" si="4"/>
        <v>D</v>
      </c>
      <c r="K15" s="73">
        <v>42.0</v>
      </c>
      <c r="L15" s="56" t="str">
        <f t="shared" si="5"/>
        <v>E</v>
      </c>
      <c r="M15" s="73">
        <v>44.0</v>
      </c>
      <c r="N15" s="56" t="str">
        <f t="shared" si="6"/>
        <v>E</v>
      </c>
      <c r="O15" s="72"/>
      <c r="P15" s="56" t="str">
        <f t="shared" si="7"/>
        <v>U</v>
      </c>
      <c r="Q15" s="72"/>
      <c r="R15" s="56" t="str">
        <f t="shared" si="8"/>
        <v>U</v>
      </c>
      <c r="S15" s="236"/>
      <c r="T15" s="56" t="str">
        <f t="shared" si="9"/>
        <v>U</v>
      </c>
      <c r="U15" s="121">
        <v>41.0</v>
      </c>
      <c r="V15" s="56" t="str">
        <f t="shared" si="10"/>
        <v>E</v>
      </c>
      <c r="W15" s="42"/>
      <c r="X15" s="233">
        <f t="shared" si="11"/>
        <v>43.66666667</v>
      </c>
      <c r="Y15" s="72" t="str">
        <f t="shared" si="12"/>
        <v>#DIV/0!</v>
      </c>
      <c r="Z15" s="134" t="s">
        <v>85</v>
      </c>
      <c r="AA15" s="134" t="s">
        <v>85</v>
      </c>
      <c r="AB15" s="134" t="s">
        <v>87</v>
      </c>
      <c r="AC15" s="134" t="s">
        <v>85</v>
      </c>
      <c r="AD15" s="134" t="s">
        <v>87</v>
      </c>
      <c r="AE15" s="208" t="s">
        <v>580</v>
      </c>
    </row>
    <row r="16" ht="24.75" customHeight="1">
      <c r="A16" s="42">
        <v>15.0</v>
      </c>
      <c r="B16" s="176" t="s">
        <v>581</v>
      </c>
      <c r="C16" s="63">
        <v>81.0</v>
      </c>
      <c r="D16" s="56" t="str">
        <f t="shared" si="1"/>
        <v>A</v>
      </c>
      <c r="E16" s="73">
        <v>40.0</v>
      </c>
      <c r="F16" s="56" t="str">
        <f t="shared" si="2"/>
        <v>E</v>
      </c>
      <c r="G16" s="72"/>
      <c r="H16" s="56" t="str">
        <f t="shared" si="3"/>
        <v>U</v>
      </c>
      <c r="I16" s="72"/>
      <c r="J16" s="56" t="str">
        <f t="shared" si="4"/>
        <v>U</v>
      </c>
      <c r="K16" s="73">
        <v>50.0</v>
      </c>
      <c r="L16" s="56" t="str">
        <f t="shared" si="5"/>
        <v>D</v>
      </c>
      <c r="M16" s="73">
        <v>59.0</v>
      </c>
      <c r="N16" s="56" t="str">
        <f t="shared" si="6"/>
        <v>D</v>
      </c>
      <c r="O16" s="73">
        <v>54.0</v>
      </c>
      <c r="P16" s="56" t="str">
        <f t="shared" si="7"/>
        <v>D</v>
      </c>
      <c r="Q16" s="72"/>
      <c r="R16" s="56" t="str">
        <f t="shared" si="8"/>
        <v>U</v>
      </c>
      <c r="S16" s="236"/>
      <c r="T16" s="56" t="str">
        <f t="shared" si="9"/>
        <v>U</v>
      </c>
      <c r="U16" s="42"/>
      <c r="V16" s="56" t="str">
        <f t="shared" si="10"/>
        <v>U</v>
      </c>
      <c r="W16" s="42"/>
      <c r="X16" s="233">
        <f t="shared" si="11"/>
        <v>56.8</v>
      </c>
      <c r="Y16" s="72" t="str">
        <f t="shared" si="12"/>
        <v>#DIV/0!</v>
      </c>
      <c r="Z16" s="134" t="s">
        <v>86</v>
      </c>
      <c r="AA16" s="134" t="s">
        <v>85</v>
      </c>
      <c r="AB16" s="134" t="s">
        <v>86</v>
      </c>
      <c r="AC16" s="134" t="s">
        <v>85</v>
      </c>
      <c r="AD16" s="134" t="s">
        <v>86</v>
      </c>
      <c r="AE16" s="208" t="s">
        <v>582</v>
      </c>
    </row>
    <row r="17" ht="21.0" customHeight="1">
      <c r="A17" s="42">
        <v>16.0</v>
      </c>
      <c r="B17" s="176" t="s">
        <v>583</v>
      </c>
      <c r="C17" s="63">
        <v>58.0</v>
      </c>
      <c r="D17" s="56" t="str">
        <f t="shared" si="1"/>
        <v>D</v>
      </c>
      <c r="E17" s="73">
        <v>76.0</v>
      </c>
      <c r="F17" s="56" t="str">
        <f t="shared" si="2"/>
        <v>B</v>
      </c>
      <c r="G17" s="72"/>
      <c r="H17" s="56" t="str">
        <f t="shared" si="3"/>
        <v>U</v>
      </c>
      <c r="I17" s="73">
        <v>69.0</v>
      </c>
      <c r="J17" s="56" t="str">
        <f t="shared" si="4"/>
        <v>C</v>
      </c>
      <c r="K17" s="73">
        <v>59.0</v>
      </c>
      <c r="L17" s="56" t="str">
        <f t="shared" si="5"/>
        <v>D</v>
      </c>
      <c r="M17" s="73">
        <v>58.0</v>
      </c>
      <c r="N17" s="56" t="str">
        <f t="shared" si="6"/>
        <v>D</v>
      </c>
      <c r="O17" s="72"/>
      <c r="P17" s="56" t="str">
        <f t="shared" si="7"/>
        <v>U</v>
      </c>
      <c r="Q17" s="72"/>
      <c r="R17" s="56" t="str">
        <f t="shared" si="8"/>
        <v>U</v>
      </c>
      <c r="S17" s="72"/>
      <c r="T17" s="56" t="str">
        <f t="shared" si="9"/>
        <v>U</v>
      </c>
      <c r="U17" s="121">
        <v>74.0</v>
      </c>
      <c r="V17" s="56" t="str">
        <f t="shared" si="10"/>
        <v>B</v>
      </c>
      <c r="W17" s="42"/>
      <c r="X17" s="233">
        <f t="shared" si="11"/>
        <v>65.66666667</v>
      </c>
      <c r="Y17" s="72" t="str">
        <f t="shared" si="12"/>
        <v>#DIV/0!</v>
      </c>
      <c r="Z17" s="134" t="s">
        <v>85</v>
      </c>
      <c r="AA17" s="134" t="s">
        <v>85</v>
      </c>
      <c r="AB17" s="134" t="s">
        <v>87</v>
      </c>
      <c r="AC17" s="134" t="s">
        <v>85</v>
      </c>
      <c r="AD17" s="134" t="s">
        <v>87</v>
      </c>
      <c r="AE17" s="208" t="s">
        <v>584</v>
      </c>
    </row>
    <row r="18" ht="18.0" customHeight="1">
      <c r="A18" s="42">
        <v>17.0</v>
      </c>
      <c r="B18" s="176" t="s">
        <v>585</v>
      </c>
      <c r="C18" s="63">
        <v>58.0</v>
      </c>
      <c r="D18" s="56" t="str">
        <f t="shared" si="1"/>
        <v>D</v>
      </c>
      <c r="E18" s="73">
        <v>30.0</v>
      </c>
      <c r="F18" s="56" t="str">
        <f t="shared" si="2"/>
        <v>F</v>
      </c>
      <c r="G18" s="72"/>
      <c r="H18" s="56" t="str">
        <f t="shared" si="3"/>
        <v>U</v>
      </c>
      <c r="I18" s="72"/>
      <c r="J18" s="56" t="str">
        <f t="shared" si="4"/>
        <v>U</v>
      </c>
      <c r="K18" s="73">
        <v>43.0</v>
      </c>
      <c r="L18" s="56" t="str">
        <f t="shared" si="5"/>
        <v>E</v>
      </c>
      <c r="M18" s="73">
        <v>46.0</v>
      </c>
      <c r="N18" s="56" t="str">
        <f t="shared" si="6"/>
        <v>E</v>
      </c>
      <c r="O18" s="72"/>
      <c r="P18" s="56" t="str">
        <f t="shared" si="7"/>
        <v>U</v>
      </c>
      <c r="Q18" s="73">
        <v>26.0</v>
      </c>
      <c r="R18" s="56" t="str">
        <f t="shared" si="8"/>
        <v>G</v>
      </c>
      <c r="S18" s="236"/>
      <c r="T18" s="56" t="str">
        <f t="shared" si="9"/>
        <v>U</v>
      </c>
      <c r="U18" s="43"/>
      <c r="V18" s="56" t="str">
        <f t="shared" si="10"/>
        <v>U</v>
      </c>
      <c r="W18" s="42"/>
      <c r="X18" s="233">
        <f t="shared" si="11"/>
        <v>40.6</v>
      </c>
      <c r="Y18" s="72" t="str">
        <f t="shared" si="12"/>
        <v>#DIV/0!</v>
      </c>
      <c r="Z18" s="134" t="s">
        <v>87</v>
      </c>
      <c r="AA18" s="134" t="s">
        <v>85</v>
      </c>
      <c r="AB18" s="134" t="s">
        <v>87</v>
      </c>
      <c r="AC18" s="134" t="s">
        <v>86</v>
      </c>
      <c r="AD18" s="134" t="s">
        <v>87</v>
      </c>
      <c r="AE18" s="208" t="s">
        <v>586</v>
      </c>
    </row>
    <row r="19" ht="22.5" customHeight="1">
      <c r="A19" s="42">
        <v>18.0</v>
      </c>
      <c r="B19" s="176" t="s">
        <v>587</v>
      </c>
      <c r="C19" s="63">
        <v>54.0</v>
      </c>
      <c r="D19" s="56" t="str">
        <f t="shared" si="1"/>
        <v>D</v>
      </c>
      <c r="E19" s="73">
        <v>52.0</v>
      </c>
      <c r="F19" s="56" t="str">
        <f t="shared" si="2"/>
        <v>D</v>
      </c>
      <c r="G19" s="73">
        <v>45.0</v>
      </c>
      <c r="H19" s="56" t="str">
        <f t="shared" si="3"/>
        <v>E</v>
      </c>
      <c r="I19" s="72"/>
      <c r="J19" s="56" t="str">
        <f t="shared" si="4"/>
        <v>U</v>
      </c>
      <c r="K19" s="72"/>
      <c r="L19" s="56" t="str">
        <f t="shared" si="5"/>
        <v>U</v>
      </c>
      <c r="M19" s="73">
        <v>45.0</v>
      </c>
      <c r="N19" s="56" t="str">
        <f t="shared" si="6"/>
        <v>E</v>
      </c>
      <c r="O19" s="73">
        <v>40.0</v>
      </c>
      <c r="P19" s="56" t="str">
        <f t="shared" si="7"/>
        <v>E</v>
      </c>
      <c r="Q19" s="72"/>
      <c r="R19" s="56" t="str">
        <f t="shared" si="8"/>
        <v>U</v>
      </c>
      <c r="S19" s="72"/>
      <c r="T19" s="56" t="str">
        <f t="shared" si="9"/>
        <v>U</v>
      </c>
      <c r="U19" s="42"/>
      <c r="V19" s="56" t="str">
        <f t="shared" si="10"/>
        <v>U</v>
      </c>
      <c r="W19" s="42"/>
      <c r="X19" s="233">
        <f t="shared" si="11"/>
        <v>47.2</v>
      </c>
      <c r="Y19" s="72" t="str">
        <f t="shared" si="12"/>
        <v>#DIV/0!</v>
      </c>
      <c r="Z19" s="134" t="s">
        <v>85</v>
      </c>
      <c r="AA19" s="134" t="s">
        <v>85</v>
      </c>
      <c r="AB19" s="134" t="s">
        <v>85</v>
      </c>
      <c r="AC19" s="134" t="s">
        <v>85</v>
      </c>
      <c r="AD19" s="134" t="s">
        <v>87</v>
      </c>
      <c r="AE19" s="208" t="s">
        <v>588</v>
      </c>
    </row>
    <row r="20">
      <c r="A20" s="121">
        <v>19.0</v>
      </c>
      <c r="B20" s="134" t="s">
        <v>589</v>
      </c>
      <c r="C20" s="63">
        <v>33.0</v>
      </c>
      <c r="D20" s="56" t="str">
        <f>VLOOKUP(C20,'IGCSE 2B'!$B$21:$C$29,2)</f>
        <v>F</v>
      </c>
      <c r="E20" s="73">
        <v>62.0</v>
      </c>
      <c r="F20" s="56" t="str">
        <f>VLOOKUP(E20,'IGCSE 2B'!$B$21:$C$29,2)</f>
        <v>C</v>
      </c>
      <c r="G20" s="72"/>
      <c r="H20" s="56" t="str">
        <f>VLOOKUP(G20,'IGCSE 2B'!$B$21:$C$29,2)</f>
        <v>U</v>
      </c>
      <c r="I20" s="72"/>
      <c r="J20" s="56" t="str">
        <f>VLOOKUP(I20,'IGCSE 2B'!$B$21:$C$29,2)</f>
        <v>U</v>
      </c>
      <c r="K20" s="73">
        <v>56.0</v>
      </c>
      <c r="L20" s="56" t="str">
        <f>VLOOKUP(K20,'IGCSE 2B'!$B$21:$C$29,2)</f>
        <v>D</v>
      </c>
      <c r="M20" s="73">
        <v>55.0</v>
      </c>
      <c r="N20" s="56" t="str">
        <f>VLOOKUP(M20,'IGCSE 2B'!$B$21:$C$29,2)</f>
        <v>D</v>
      </c>
      <c r="O20" s="72"/>
      <c r="P20" s="56" t="str">
        <f>VLOOKUP(O20,'IGCSE 2B'!$B$21:$C$29,2)</f>
        <v>U</v>
      </c>
      <c r="Q20" s="73">
        <v>49.0</v>
      </c>
      <c r="R20" s="56" t="str">
        <f>VLOOKUP(Q20,'IGCSE 2B'!$B$21:$C$29,2)</f>
        <v>E</v>
      </c>
      <c r="S20" s="72"/>
      <c r="T20" s="56" t="str">
        <f>VLOOKUP(S20,'IGCSE 2B'!$B$21:$C$29,2)</f>
        <v>U</v>
      </c>
      <c r="U20" s="42"/>
      <c r="V20" s="56" t="str">
        <f>VLOOKUP(U20,'IGCSE 2B'!$B$21:$C$29,2)</f>
        <v>U</v>
      </c>
      <c r="W20" s="42"/>
      <c r="X20" s="233">
        <f t="shared" si="11"/>
        <v>51</v>
      </c>
      <c r="Y20" s="72" t="str">
        <f>RANK(X20,'IGCSE 2B'!$X$2:$X$11)</f>
        <v>#DIV/0!</v>
      </c>
      <c r="Z20" s="134" t="s">
        <v>87</v>
      </c>
      <c r="AA20" s="134" t="s">
        <v>87</v>
      </c>
      <c r="AB20" s="134" t="s">
        <v>90</v>
      </c>
      <c r="AC20" s="134" t="s">
        <v>90</v>
      </c>
      <c r="AD20" s="134" t="s">
        <v>86</v>
      </c>
      <c r="AE20" s="208" t="s">
        <v>590</v>
      </c>
    </row>
    <row r="21" ht="30.0" customHeight="1">
      <c r="A21" s="42">
        <v>20.0</v>
      </c>
      <c r="B21" s="95"/>
      <c r="C21" s="88"/>
      <c r="D21" s="56" t="str">
        <f>VLOOKUP(C21,$B$31:$C$39,2)</f>
        <v>U</v>
      </c>
      <c r="E21" s="72"/>
      <c r="F21" s="56" t="str">
        <f>VLOOKUP(E21,$B$31:$C$39,2)</f>
        <v>U</v>
      </c>
      <c r="G21" s="72"/>
      <c r="H21" s="56" t="str">
        <f>VLOOKUP(G21,$B$31:$C$39,2)</f>
        <v>U</v>
      </c>
      <c r="I21" s="72"/>
      <c r="J21" s="56" t="str">
        <f>VLOOKUP(I21,$B$31:$C$39,2)</f>
        <v>U</v>
      </c>
      <c r="K21" s="72"/>
      <c r="L21" s="56" t="str">
        <f>VLOOKUP(K21,$B$31:$C$39,2)</f>
        <v>U</v>
      </c>
      <c r="M21" s="72"/>
      <c r="N21" s="56" t="str">
        <f>VLOOKUP(M21,$B$31:$C$39,2)</f>
        <v>U</v>
      </c>
      <c r="O21" s="72"/>
      <c r="P21" s="56" t="str">
        <f>VLOOKUP(O21,$B$31:$C$39,2)</f>
        <v>U</v>
      </c>
      <c r="Q21" s="72"/>
      <c r="R21" s="56" t="str">
        <f>VLOOKUP(Q21,$B$31:$C$39,2)</f>
        <v>U</v>
      </c>
      <c r="S21" s="236"/>
      <c r="T21" s="56" t="str">
        <f>VLOOKUP(S21,$B$31:$C$39,2)</f>
        <v>U</v>
      </c>
      <c r="U21" s="43"/>
      <c r="V21" s="56" t="str">
        <f>VLOOKUP(U21,$B$31:$C$39,2)</f>
        <v>U</v>
      </c>
      <c r="W21" s="42"/>
      <c r="X21" s="233" t="str">
        <f t="shared" si="11"/>
        <v>#DIV/0!</v>
      </c>
      <c r="Y21" s="72" t="str">
        <f>RANK(X21,$X$2:$X$21)</f>
        <v>#DIV/0!</v>
      </c>
      <c r="Z21" s="176"/>
      <c r="AA21" s="176"/>
      <c r="AB21" s="176"/>
      <c r="AC21" s="176"/>
      <c r="AD21" s="176"/>
      <c r="AE21" s="193"/>
    </row>
    <row r="22" ht="15.75" customHeight="1">
      <c r="B22" s="101"/>
      <c r="C22" s="147"/>
      <c r="D22" s="103"/>
      <c r="E22" s="33"/>
      <c r="F22" s="105"/>
      <c r="G22" s="33"/>
      <c r="H22" s="105"/>
      <c r="I22" s="33"/>
      <c r="J22" s="105"/>
      <c r="K22" s="33"/>
      <c r="L22" s="105"/>
      <c r="M22" s="33"/>
      <c r="N22" s="105"/>
      <c r="O22" s="33"/>
      <c r="P22" s="105"/>
      <c r="Q22" s="33"/>
      <c r="R22" s="105"/>
      <c r="S22" s="33"/>
      <c r="T22" s="101"/>
      <c r="U22" s="33"/>
      <c r="V22" s="101"/>
      <c r="W22" s="101"/>
      <c r="X22" s="101"/>
      <c r="Y22" s="101"/>
      <c r="Z22" s="101"/>
      <c r="AA22" s="101"/>
      <c r="AE22" s="174"/>
    </row>
    <row r="23" ht="15.75" customHeight="1">
      <c r="B23" s="101"/>
      <c r="C23" s="147"/>
      <c r="D23" s="103"/>
      <c r="E23" s="33"/>
      <c r="F23" s="105"/>
      <c r="G23" s="33"/>
      <c r="H23" s="105"/>
      <c r="I23" s="33"/>
      <c r="J23" s="105"/>
      <c r="K23" s="33"/>
      <c r="L23" s="105"/>
      <c r="M23" s="33"/>
      <c r="N23" s="105"/>
      <c r="O23" s="33"/>
      <c r="P23" s="105"/>
      <c r="Q23" s="33"/>
      <c r="R23" s="105"/>
      <c r="S23" s="33"/>
      <c r="T23" s="101"/>
      <c r="U23" s="33"/>
      <c r="V23" s="101"/>
      <c r="W23" s="101"/>
      <c r="X23" s="101"/>
      <c r="Y23" s="101"/>
      <c r="Z23" s="101"/>
      <c r="AA23" s="101"/>
      <c r="AE23" s="174"/>
    </row>
    <row r="24" ht="15.75" customHeight="1">
      <c r="B24" s="101" t="s">
        <v>33</v>
      </c>
      <c r="C24" s="237">
        <f>AVERAGE(C2:C19)</f>
        <v>56.44444444</v>
      </c>
      <c r="D24" s="238"/>
      <c r="E24" s="237">
        <f>AVERAGE(E2:E19)</f>
        <v>50.22222222</v>
      </c>
      <c r="F24" s="105"/>
      <c r="G24" s="237">
        <f>AVERAGE(G2:G19)</f>
        <v>49.54545455</v>
      </c>
      <c r="H24" s="105"/>
      <c r="I24" s="237">
        <f>AVERAGE(I2:I19)</f>
        <v>55.14285714</v>
      </c>
      <c r="J24" s="105"/>
      <c r="K24" s="237">
        <f>AVERAGE(K2:K19)</f>
        <v>49.09090909</v>
      </c>
      <c r="L24" s="105"/>
      <c r="M24" s="237">
        <f>AVERAGE(M2:M19)</f>
        <v>49.33333333</v>
      </c>
      <c r="N24" s="105"/>
      <c r="O24" s="237">
        <f>AVERAGE(O2:O19)</f>
        <v>43.11111111</v>
      </c>
      <c r="P24" s="105"/>
      <c r="Q24" s="237">
        <f>AVERAGE(Q2:Q19)</f>
        <v>48.57142857</v>
      </c>
      <c r="R24" s="105"/>
      <c r="S24" s="237">
        <f>AVERAGE(S2:S19)</f>
        <v>47</v>
      </c>
      <c r="T24" s="101"/>
      <c r="U24" s="237">
        <f>AVERAGE(U2:U19)</f>
        <v>62.25</v>
      </c>
      <c r="V24" s="101"/>
      <c r="W24" s="101"/>
      <c r="X24" s="101"/>
      <c r="Y24" s="101"/>
      <c r="Z24" s="101"/>
      <c r="AA24" s="101"/>
      <c r="AE24" s="174"/>
    </row>
    <row r="25" ht="15.75" customHeight="1">
      <c r="B25" s="101" t="s">
        <v>34</v>
      </c>
      <c r="C25" s="104">
        <f>COUNT(C2:C19)</f>
        <v>18</v>
      </c>
      <c r="D25" s="104"/>
      <c r="E25" s="104">
        <f>COUNT(E2:E19)</f>
        <v>18</v>
      </c>
      <c r="F25" s="105"/>
      <c r="G25" s="104">
        <f>COUNT(G2:G19)</f>
        <v>11</v>
      </c>
      <c r="H25" s="105"/>
      <c r="I25" s="104">
        <f>COUNT(I2:I19)</f>
        <v>7</v>
      </c>
      <c r="J25" s="105"/>
      <c r="K25" s="104">
        <f>COUNT(K2:K19)</f>
        <v>11</v>
      </c>
      <c r="L25" s="105"/>
      <c r="M25" s="104">
        <f>COUNT(M2:M19)</f>
        <v>9</v>
      </c>
      <c r="N25" s="105"/>
      <c r="O25" s="104">
        <f>COUNT(O2:O19)</f>
        <v>9</v>
      </c>
      <c r="P25" s="105"/>
      <c r="Q25" s="104">
        <f>COUNT(Q2:Q19)</f>
        <v>7</v>
      </c>
      <c r="R25" s="105"/>
      <c r="S25" s="104">
        <f>COUNT(S2:S19)</f>
        <v>4</v>
      </c>
      <c r="T25" s="101"/>
      <c r="U25" s="104">
        <f>COUNT(U2:U19)</f>
        <v>8</v>
      </c>
      <c r="V25" s="101"/>
      <c r="W25" s="101"/>
      <c r="X25" s="101"/>
      <c r="Y25" s="101"/>
      <c r="Z25" s="101"/>
      <c r="AA25" s="101"/>
      <c r="AE25" s="174"/>
    </row>
    <row r="26" ht="15.75" customHeight="1">
      <c r="B26" s="101" t="s">
        <v>35</v>
      </c>
      <c r="C26" s="104">
        <f>COUNTIF(C2:C19,"&gt;49")</f>
        <v>14</v>
      </c>
      <c r="D26" s="104"/>
      <c r="E26" s="104">
        <f>COUNTIF(E2:E19,"&gt;49")</f>
        <v>10</v>
      </c>
      <c r="F26" s="105"/>
      <c r="G26" s="104">
        <f>COUNTIF(G2:G19,"&gt;49")</f>
        <v>5</v>
      </c>
      <c r="H26" s="105"/>
      <c r="I26" s="104">
        <f>COUNTIF(I2:I19,"&gt;49")</f>
        <v>6</v>
      </c>
      <c r="J26" s="105"/>
      <c r="K26" s="104">
        <f>COUNTIF(K2:K19,"&gt;49")</f>
        <v>5</v>
      </c>
      <c r="L26" s="105"/>
      <c r="M26" s="104">
        <f>COUNTIF(M2:M19,"&gt;49")</f>
        <v>4</v>
      </c>
      <c r="N26" s="105"/>
      <c r="O26" s="104">
        <f>COUNTIF(O2:O19,"&gt;49")</f>
        <v>4</v>
      </c>
      <c r="P26" s="105"/>
      <c r="Q26" s="104">
        <f>COUNTIF(Q2:Q19,"&gt;49")</f>
        <v>2</v>
      </c>
      <c r="R26" s="105"/>
      <c r="S26" s="104">
        <f>COUNTIF(S2:S19,"&gt;49")</f>
        <v>3</v>
      </c>
      <c r="T26" s="101"/>
      <c r="U26" s="104">
        <f>COUNTIF(U2:U19,"&gt;49")</f>
        <v>7</v>
      </c>
      <c r="V26" s="101"/>
      <c r="W26" s="101"/>
      <c r="X26" s="101"/>
      <c r="Y26" s="101"/>
      <c r="Z26" s="101"/>
      <c r="AA26" s="101"/>
      <c r="AE26" s="174"/>
    </row>
    <row r="27" ht="15.75" customHeight="1">
      <c r="B27" s="101" t="s">
        <v>36</v>
      </c>
      <c r="C27" s="104">
        <f>COUNTIF(C2:C19,"&lt;50")</f>
        <v>4</v>
      </c>
      <c r="D27" s="104"/>
      <c r="E27" s="104">
        <f>COUNTIF(E2:E19,"&lt;50")</f>
        <v>8</v>
      </c>
      <c r="F27" s="105"/>
      <c r="G27" s="104">
        <f>COUNTIF(G2:G19,"&lt;50")</f>
        <v>6</v>
      </c>
      <c r="H27" s="105"/>
      <c r="I27" s="104">
        <f>COUNTIF(I2:I19,"&lt;50")</f>
        <v>1</v>
      </c>
      <c r="J27" s="105"/>
      <c r="K27" s="104">
        <f>COUNTIF(K2:K19,"&lt;50")</f>
        <v>6</v>
      </c>
      <c r="L27" s="105"/>
      <c r="M27" s="104">
        <f>COUNTIF(M2:M19,"&lt;50")</f>
        <v>5</v>
      </c>
      <c r="N27" s="105"/>
      <c r="O27" s="104">
        <f>COUNTIF(O2:O19,"&lt;50")</f>
        <v>5</v>
      </c>
      <c r="P27" s="105"/>
      <c r="Q27" s="104">
        <f>COUNTIF(Q2:Q19,"&lt;50")</f>
        <v>5</v>
      </c>
      <c r="R27" s="105"/>
      <c r="S27" s="104">
        <f>COUNTIF(S2:S19,"&lt;50")</f>
        <v>1</v>
      </c>
      <c r="T27" s="101"/>
      <c r="U27" s="104">
        <f>COUNTIF(U2:U19,"&lt;50")</f>
        <v>1</v>
      </c>
      <c r="V27" s="101"/>
      <c r="W27" s="101"/>
      <c r="X27" s="101"/>
      <c r="Y27" s="101"/>
      <c r="Z27" s="101"/>
      <c r="AA27" s="101"/>
      <c r="AE27" s="174"/>
    </row>
    <row r="28" ht="15.75" customHeight="1">
      <c r="B28" s="31" t="s">
        <v>37</v>
      </c>
      <c r="C28" s="107">
        <f>C26*100/C25</f>
        <v>77.77777778</v>
      </c>
      <c r="D28" s="109"/>
      <c r="E28" s="107">
        <f>E26*100/E25</f>
        <v>55.55555556</v>
      </c>
      <c r="F28" s="110"/>
      <c r="G28" s="107">
        <f>G26*100/G25</f>
        <v>45.45454545</v>
      </c>
      <c r="H28" s="110"/>
      <c r="I28" s="107">
        <f>I26*100/I25</f>
        <v>85.71428571</v>
      </c>
      <c r="J28" s="110"/>
      <c r="K28" s="107">
        <f>K26*100/K25</f>
        <v>45.45454545</v>
      </c>
      <c r="L28" s="110"/>
      <c r="M28" s="107">
        <f>M26*100/M25</f>
        <v>44.44444444</v>
      </c>
      <c r="N28" s="110"/>
      <c r="O28" s="107">
        <f>O26*100/O25</f>
        <v>44.44444444</v>
      </c>
      <c r="P28" s="110"/>
      <c r="Q28" s="107">
        <f>Q26*100/Q25</f>
        <v>28.57142857</v>
      </c>
      <c r="R28" s="110"/>
      <c r="S28" s="107">
        <f>S26*100/S25</f>
        <v>75</v>
      </c>
      <c r="T28" s="31"/>
      <c r="U28" s="107">
        <f>U26*100/U25</f>
        <v>87.5</v>
      </c>
      <c r="V28" s="31"/>
      <c r="W28" s="31"/>
      <c r="X28" s="31"/>
      <c r="Y28" s="31"/>
      <c r="Z28" s="31"/>
      <c r="AA28" s="31"/>
      <c r="AE28" s="174"/>
    </row>
    <row r="29" ht="15.75" customHeight="1">
      <c r="C29" s="98"/>
      <c r="D29" s="98"/>
      <c r="E29" s="39"/>
      <c r="F29" s="39"/>
      <c r="G29" s="39"/>
      <c r="H29" s="39"/>
      <c r="I29" s="39"/>
      <c r="J29" s="39"/>
      <c r="K29" s="39"/>
      <c r="L29" s="39"/>
      <c r="M29" s="39"/>
      <c r="N29" s="39"/>
      <c r="O29" s="39"/>
      <c r="P29" s="39"/>
      <c r="Q29" s="39"/>
      <c r="R29" s="39"/>
      <c r="S29" s="239"/>
      <c r="AE29" s="174"/>
    </row>
    <row r="30" ht="15.75" customHeight="1">
      <c r="C30" s="98"/>
      <c r="D30" s="98"/>
      <c r="E30" s="39"/>
      <c r="F30" s="39"/>
      <c r="G30" s="39"/>
      <c r="H30" s="39"/>
      <c r="I30" s="39"/>
      <c r="J30" s="39"/>
      <c r="K30" s="39"/>
      <c r="L30" s="39"/>
      <c r="M30" s="39"/>
      <c r="N30" s="39"/>
      <c r="O30" s="39"/>
      <c r="P30" s="39"/>
      <c r="Q30" s="39"/>
      <c r="R30" s="39"/>
      <c r="S30" s="239"/>
      <c r="AE30" s="174"/>
    </row>
    <row r="31" ht="15.75" customHeight="1">
      <c r="A31" s="26" t="s">
        <v>139</v>
      </c>
      <c r="B31" s="26">
        <v>0.0</v>
      </c>
      <c r="C31" s="113" t="s">
        <v>140</v>
      </c>
      <c r="D31" s="98"/>
      <c r="E31" s="39"/>
      <c r="F31" s="39"/>
      <c r="G31" s="39"/>
      <c r="H31" s="39"/>
      <c r="I31" s="39"/>
      <c r="J31" s="39"/>
      <c r="K31" s="39"/>
      <c r="L31" s="39"/>
      <c r="M31" s="39"/>
      <c r="N31" s="39"/>
      <c r="O31" s="39"/>
      <c r="P31" s="39"/>
      <c r="Q31" s="39"/>
      <c r="R31" s="39"/>
      <c r="S31" s="239"/>
      <c r="AE31" s="174"/>
    </row>
    <row r="32" ht="15.75" customHeight="1">
      <c r="A32" s="26" t="s">
        <v>141</v>
      </c>
      <c r="B32" s="26">
        <v>20.0</v>
      </c>
      <c r="C32" s="113" t="s">
        <v>142</v>
      </c>
      <c r="D32" s="98"/>
      <c r="E32" s="39"/>
      <c r="F32" s="39"/>
      <c r="G32" s="39"/>
      <c r="H32" s="39"/>
      <c r="I32" s="39"/>
      <c r="J32" s="39"/>
      <c r="K32" s="39"/>
      <c r="L32" s="39"/>
      <c r="M32" s="39"/>
      <c r="N32" s="39"/>
      <c r="O32" s="39"/>
      <c r="P32" s="39"/>
      <c r="Q32" s="39"/>
      <c r="R32" s="39"/>
      <c r="S32" s="239"/>
      <c r="AE32" s="174"/>
    </row>
    <row r="33" ht="15.75" customHeight="1">
      <c r="A33" s="114" t="s">
        <v>143</v>
      </c>
      <c r="B33" s="115">
        <v>30.0</v>
      </c>
      <c r="C33" s="114" t="s">
        <v>144</v>
      </c>
      <c r="D33" s="98"/>
      <c r="E33" s="39"/>
      <c r="F33" s="39"/>
      <c r="G33" s="39"/>
      <c r="H33" s="39"/>
      <c r="I33" s="39"/>
      <c r="J33" s="39"/>
      <c r="K33" s="39"/>
      <c r="L33" s="39"/>
      <c r="M33" s="39"/>
      <c r="N33" s="39"/>
      <c r="O33" s="39"/>
      <c r="P33" s="39"/>
      <c r="Q33" s="39"/>
      <c r="R33" s="39"/>
      <c r="S33" s="239"/>
      <c r="AE33" s="174"/>
    </row>
    <row r="34" ht="15.75" customHeight="1">
      <c r="A34" s="114" t="s">
        <v>145</v>
      </c>
      <c r="B34" s="115">
        <v>40.0</v>
      </c>
      <c r="C34" s="114" t="s">
        <v>146</v>
      </c>
      <c r="D34" s="98"/>
      <c r="E34" s="39"/>
      <c r="F34" s="39"/>
      <c r="G34" s="39"/>
      <c r="H34" s="39"/>
      <c r="I34" s="39"/>
      <c r="J34" s="39"/>
      <c r="K34" s="39"/>
      <c r="L34" s="39"/>
      <c r="M34" s="39"/>
      <c r="N34" s="39"/>
      <c r="O34" s="39"/>
      <c r="P34" s="39"/>
      <c r="Q34" s="39"/>
      <c r="R34" s="39"/>
      <c r="S34" s="239"/>
      <c r="AE34" s="174"/>
    </row>
    <row r="35" ht="15.75" customHeight="1">
      <c r="A35" s="114" t="s">
        <v>147</v>
      </c>
      <c r="B35" s="115">
        <v>50.0</v>
      </c>
      <c r="C35" s="114" t="s">
        <v>93</v>
      </c>
      <c r="D35" s="98"/>
      <c r="E35" s="39"/>
      <c r="F35" s="39"/>
      <c r="G35" s="39"/>
      <c r="H35" s="39"/>
      <c r="I35" s="39"/>
      <c r="J35" s="39"/>
      <c r="K35" s="39"/>
      <c r="L35" s="39"/>
      <c r="M35" s="39"/>
      <c r="N35" s="39"/>
      <c r="O35" s="39"/>
      <c r="P35" s="39"/>
      <c r="Q35" s="39"/>
      <c r="R35" s="39"/>
      <c r="S35" s="239"/>
      <c r="AE35" s="174"/>
    </row>
    <row r="36" ht="15.75" customHeight="1">
      <c r="A36" s="114" t="s">
        <v>148</v>
      </c>
      <c r="B36" s="115">
        <v>60.0</v>
      </c>
      <c r="C36" s="114" t="s">
        <v>90</v>
      </c>
      <c r="D36" s="98"/>
      <c r="E36" s="39"/>
      <c r="F36" s="39"/>
      <c r="G36" s="39"/>
      <c r="H36" s="39"/>
      <c r="I36" s="39"/>
      <c r="J36" s="39"/>
      <c r="K36" s="39"/>
      <c r="L36" s="39"/>
      <c r="M36" s="39"/>
      <c r="N36" s="39"/>
      <c r="O36" s="39"/>
      <c r="P36" s="39"/>
      <c r="Q36" s="39"/>
      <c r="R36" s="39"/>
      <c r="S36" s="239"/>
      <c r="AE36" s="174"/>
    </row>
    <row r="37" ht="15.75" customHeight="1">
      <c r="A37" s="114" t="s">
        <v>149</v>
      </c>
      <c r="B37" s="115">
        <v>70.0</v>
      </c>
      <c r="C37" s="114" t="s">
        <v>87</v>
      </c>
      <c r="D37" s="98"/>
      <c r="E37" s="39"/>
      <c r="F37" s="39"/>
      <c r="G37" s="39"/>
      <c r="H37" s="39"/>
      <c r="I37" s="39"/>
      <c r="J37" s="39"/>
      <c r="K37" s="39"/>
      <c r="L37" s="39"/>
      <c r="M37" s="39"/>
      <c r="N37" s="39"/>
      <c r="O37" s="39"/>
      <c r="P37" s="39"/>
      <c r="Q37" s="39"/>
      <c r="R37" s="39"/>
      <c r="S37" s="239"/>
      <c r="AE37" s="174"/>
    </row>
    <row r="38" ht="15.75" customHeight="1">
      <c r="A38" s="116" t="s">
        <v>150</v>
      </c>
      <c r="B38" s="117">
        <v>80.0</v>
      </c>
      <c r="C38" s="116" t="s">
        <v>85</v>
      </c>
      <c r="D38" s="98"/>
      <c r="E38" s="39"/>
      <c r="F38" s="39"/>
      <c r="G38" s="39"/>
      <c r="H38" s="39"/>
      <c r="I38" s="39"/>
      <c r="J38" s="39"/>
      <c r="K38" s="39"/>
      <c r="L38" s="39"/>
      <c r="M38" s="39"/>
      <c r="N38" s="39"/>
      <c r="O38" s="39"/>
      <c r="P38" s="39"/>
      <c r="Q38" s="39"/>
      <c r="R38" s="39"/>
      <c r="S38" s="239"/>
      <c r="AE38" s="174"/>
    </row>
    <row r="39" ht="15.75" customHeight="1">
      <c r="A39" s="116" t="s">
        <v>151</v>
      </c>
      <c r="B39" s="117">
        <v>90.0</v>
      </c>
      <c r="C39" s="116" t="s">
        <v>152</v>
      </c>
      <c r="D39" s="98"/>
      <c r="E39" s="39"/>
      <c r="F39" s="39"/>
      <c r="G39" s="39"/>
      <c r="H39" s="39"/>
      <c r="I39" s="39"/>
      <c r="J39" s="39"/>
      <c r="K39" s="39"/>
      <c r="L39" s="39"/>
      <c r="M39" s="39"/>
      <c r="N39" s="39"/>
      <c r="O39" s="39"/>
      <c r="P39" s="39"/>
      <c r="Q39" s="39"/>
      <c r="R39" s="39"/>
      <c r="S39" s="239"/>
      <c r="AE39" s="174"/>
    </row>
    <row r="40" ht="15.75" customHeight="1">
      <c r="C40" s="98"/>
      <c r="D40" s="98"/>
      <c r="E40" s="39"/>
      <c r="F40" s="39"/>
      <c r="G40" s="39"/>
      <c r="H40" s="39"/>
      <c r="I40" s="39"/>
      <c r="J40" s="39"/>
      <c r="K40" s="39"/>
      <c r="L40" s="39"/>
      <c r="M40" s="39"/>
      <c r="N40" s="39"/>
      <c r="O40" s="39"/>
      <c r="P40" s="39"/>
      <c r="Q40" s="39"/>
      <c r="R40" s="39"/>
      <c r="S40" s="239"/>
      <c r="AE40" s="174"/>
    </row>
    <row r="41" ht="15.75" customHeight="1">
      <c r="C41" s="98"/>
      <c r="D41" s="98"/>
      <c r="E41" s="39"/>
      <c r="F41" s="39"/>
      <c r="G41" s="39"/>
      <c r="H41" s="39"/>
      <c r="I41" s="39"/>
      <c r="J41" s="39"/>
      <c r="K41" s="39"/>
      <c r="L41" s="39"/>
      <c r="M41" s="39"/>
      <c r="N41" s="39"/>
      <c r="O41" s="39"/>
      <c r="P41" s="39"/>
      <c r="Q41" s="39"/>
      <c r="R41" s="39"/>
      <c r="S41" s="239"/>
      <c r="AE41" s="174"/>
    </row>
    <row r="42" ht="15.75" customHeight="1">
      <c r="C42" s="98"/>
      <c r="D42" s="98"/>
      <c r="E42" s="39"/>
      <c r="F42" s="39"/>
      <c r="G42" s="39"/>
      <c r="H42" s="39"/>
      <c r="I42" s="39"/>
      <c r="J42" s="39"/>
      <c r="K42" s="39"/>
      <c r="L42" s="39"/>
      <c r="M42" s="39"/>
      <c r="N42" s="39"/>
      <c r="O42" s="39"/>
      <c r="P42" s="39"/>
      <c r="Q42" s="39"/>
      <c r="R42" s="39"/>
      <c r="S42" s="239"/>
      <c r="AE42" s="174"/>
    </row>
    <row r="43" ht="15.75" customHeight="1">
      <c r="C43" s="98"/>
      <c r="D43" s="98"/>
      <c r="E43" s="39"/>
      <c r="F43" s="39"/>
      <c r="G43" s="39"/>
      <c r="H43" s="39"/>
      <c r="I43" s="39"/>
      <c r="J43" s="39"/>
      <c r="K43" s="39"/>
      <c r="L43" s="39"/>
      <c r="M43" s="39"/>
      <c r="N43" s="39"/>
      <c r="O43" s="39"/>
      <c r="P43" s="39"/>
      <c r="Q43" s="39"/>
      <c r="R43" s="39"/>
      <c r="S43" s="239"/>
      <c r="AE43" s="174"/>
    </row>
    <row r="44" ht="15.75" customHeight="1">
      <c r="C44" s="98"/>
      <c r="D44" s="98"/>
      <c r="E44" s="39"/>
      <c r="F44" s="39"/>
      <c r="G44" s="39"/>
      <c r="H44" s="39"/>
      <c r="I44" s="39"/>
      <c r="J44" s="39"/>
      <c r="K44" s="39"/>
      <c r="L44" s="39"/>
      <c r="M44" s="39"/>
      <c r="N44" s="39"/>
      <c r="O44" s="39"/>
      <c r="P44" s="39"/>
      <c r="Q44" s="39"/>
      <c r="R44" s="39"/>
      <c r="S44" s="239"/>
      <c r="AE44" s="174"/>
    </row>
    <row r="45" ht="15.75" customHeight="1">
      <c r="C45" s="98"/>
      <c r="D45" s="98"/>
      <c r="E45" s="39"/>
      <c r="F45" s="39"/>
      <c r="G45" s="39"/>
      <c r="H45" s="39"/>
      <c r="I45" s="39"/>
      <c r="J45" s="39"/>
      <c r="K45" s="39"/>
      <c r="L45" s="39"/>
      <c r="M45" s="39"/>
      <c r="N45" s="39"/>
      <c r="O45" s="39"/>
      <c r="P45" s="39"/>
      <c r="Q45" s="39"/>
      <c r="R45" s="39"/>
      <c r="S45" s="239"/>
      <c r="AE45" s="174"/>
    </row>
    <row r="46" ht="15.75" customHeight="1">
      <c r="C46" s="98"/>
      <c r="D46" s="98"/>
      <c r="E46" s="39"/>
      <c r="F46" s="39"/>
      <c r="G46" s="39"/>
      <c r="H46" s="39"/>
      <c r="I46" s="39"/>
      <c r="J46" s="39"/>
      <c r="K46" s="39"/>
      <c r="L46" s="39"/>
      <c r="M46" s="39"/>
      <c r="N46" s="39"/>
      <c r="O46" s="39"/>
      <c r="P46" s="39"/>
      <c r="Q46" s="39"/>
      <c r="R46" s="39"/>
      <c r="S46" s="239"/>
      <c r="AE46" s="174"/>
    </row>
    <row r="47" ht="15.75" customHeight="1">
      <c r="C47" s="98"/>
      <c r="D47" s="98"/>
      <c r="E47" s="39"/>
      <c r="F47" s="39"/>
      <c r="G47" s="39"/>
      <c r="H47" s="39"/>
      <c r="I47" s="39"/>
      <c r="J47" s="39"/>
      <c r="K47" s="39"/>
      <c r="L47" s="39"/>
      <c r="M47" s="39"/>
      <c r="N47" s="39"/>
      <c r="O47" s="39"/>
      <c r="P47" s="39"/>
      <c r="Q47" s="39"/>
      <c r="R47" s="39"/>
      <c r="S47" s="239"/>
      <c r="AE47" s="174"/>
    </row>
    <row r="48" ht="15.75" customHeight="1">
      <c r="C48" s="98"/>
      <c r="D48" s="98"/>
      <c r="E48" s="39"/>
      <c r="F48" s="39"/>
      <c r="G48" s="39"/>
      <c r="H48" s="39"/>
      <c r="I48" s="39"/>
      <c r="J48" s="39"/>
      <c r="K48" s="39"/>
      <c r="L48" s="39"/>
      <c r="M48" s="39"/>
      <c r="N48" s="39"/>
      <c r="O48" s="39"/>
      <c r="P48" s="39"/>
      <c r="Q48" s="39"/>
      <c r="R48" s="39"/>
      <c r="S48" s="239"/>
      <c r="AE48" s="174"/>
    </row>
    <row r="49" ht="15.75" customHeight="1">
      <c r="C49" s="98"/>
      <c r="D49" s="98"/>
      <c r="E49" s="39"/>
      <c r="F49" s="39"/>
      <c r="G49" s="39"/>
      <c r="H49" s="39"/>
      <c r="I49" s="39"/>
      <c r="J49" s="39"/>
      <c r="K49" s="39"/>
      <c r="L49" s="39"/>
      <c r="M49" s="39"/>
      <c r="N49" s="39"/>
      <c r="O49" s="39"/>
      <c r="P49" s="39"/>
      <c r="Q49" s="39"/>
      <c r="R49" s="39"/>
      <c r="S49" s="239"/>
      <c r="AE49" s="174"/>
    </row>
    <row r="50" ht="15.75" customHeight="1">
      <c r="C50" s="98"/>
      <c r="D50" s="98"/>
      <c r="E50" s="39"/>
      <c r="F50" s="39"/>
      <c r="G50" s="39"/>
      <c r="H50" s="39"/>
      <c r="I50" s="39"/>
      <c r="J50" s="39"/>
      <c r="K50" s="39"/>
      <c r="L50" s="39"/>
      <c r="M50" s="39"/>
      <c r="N50" s="39"/>
      <c r="O50" s="39"/>
      <c r="P50" s="39"/>
      <c r="Q50" s="39"/>
      <c r="R50" s="39"/>
      <c r="S50" s="239"/>
      <c r="AE50" s="174"/>
    </row>
    <row r="51" ht="15.75" customHeight="1">
      <c r="C51" s="98"/>
      <c r="D51" s="98"/>
      <c r="E51" s="39"/>
      <c r="F51" s="39"/>
      <c r="G51" s="39"/>
      <c r="H51" s="39"/>
      <c r="I51" s="39"/>
      <c r="J51" s="39"/>
      <c r="K51" s="39"/>
      <c r="L51" s="39"/>
      <c r="M51" s="39"/>
      <c r="N51" s="39"/>
      <c r="O51" s="39"/>
      <c r="P51" s="39"/>
      <c r="Q51" s="39"/>
      <c r="R51" s="39"/>
      <c r="S51" s="239"/>
      <c r="AE51" s="174"/>
    </row>
    <row r="52" ht="15.75" customHeight="1">
      <c r="C52" s="98"/>
      <c r="D52" s="98"/>
      <c r="E52" s="39"/>
      <c r="F52" s="39"/>
      <c r="G52" s="39"/>
      <c r="H52" s="39"/>
      <c r="I52" s="39"/>
      <c r="J52" s="39"/>
      <c r="K52" s="39"/>
      <c r="L52" s="39"/>
      <c r="M52" s="39"/>
      <c r="N52" s="39"/>
      <c r="O52" s="39"/>
      <c r="P52" s="39"/>
      <c r="Q52" s="39"/>
      <c r="R52" s="39"/>
      <c r="S52" s="239"/>
      <c r="AE52" s="174"/>
    </row>
    <row r="53" ht="15.75" customHeight="1">
      <c r="C53" s="98"/>
      <c r="D53" s="98"/>
      <c r="E53" s="39"/>
      <c r="F53" s="39"/>
      <c r="G53" s="39"/>
      <c r="H53" s="39"/>
      <c r="I53" s="39"/>
      <c r="J53" s="39"/>
      <c r="K53" s="39"/>
      <c r="L53" s="39"/>
      <c r="M53" s="39"/>
      <c r="N53" s="39"/>
      <c r="O53" s="39"/>
      <c r="P53" s="39"/>
      <c r="Q53" s="39"/>
      <c r="R53" s="39"/>
      <c r="S53" s="239"/>
      <c r="AE53" s="174"/>
    </row>
    <row r="54" ht="15.75" customHeight="1">
      <c r="C54" s="98"/>
      <c r="D54" s="98"/>
      <c r="E54" s="39"/>
      <c r="F54" s="39"/>
      <c r="G54" s="39"/>
      <c r="H54" s="39"/>
      <c r="I54" s="39"/>
      <c r="J54" s="39"/>
      <c r="K54" s="39"/>
      <c r="L54" s="39"/>
      <c r="M54" s="39"/>
      <c r="N54" s="39"/>
      <c r="O54" s="39"/>
      <c r="P54" s="39"/>
      <c r="Q54" s="39"/>
      <c r="R54" s="39"/>
      <c r="S54" s="239"/>
      <c r="AE54" s="174"/>
    </row>
    <row r="55" ht="15.75" customHeight="1">
      <c r="C55" s="98"/>
      <c r="D55" s="98"/>
      <c r="E55" s="39"/>
      <c r="F55" s="39"/>
      <c r="G55" s="39"/>
      <c r="H55" s="39"/>
      <c r="I55" s="39"/>
      <c r="J55" s="39"/>
      <c r="K55" s="39"/>
      <c r="L55" s="39"/>
      <c r="M55" s="39"/>
      <c r="N55" s="39"/>
      <c r="O55" s="39"/>
      <c r="P55" s="39"/>
      <c r="Q55" s="39"/>
      <c r="R55" s="39"/>
      <c r="S55" s="239"/>
      <c r="AE55" s="174"/>
    </row>
    <row r="56" ht="15.75" customHeight="1">
      <c r="C56" s="98"/>
      <c r="D56" s="98"/>
      <c r="E56" s="39"/>
      <c r="F56" s="39"/>
      <c r="G56" s="39"/>
      <c r="H56" s="39"/>
      <c r="I56" s="39"/>
      <c r="J56" s="39"/>
      <c r="K56" s="39"/>
      <c r="L56" s="39"/>
      <c r="M56" s="39"/>
      <c r="N56" s="39"/>
      <c r="O56" s="39"/>
      <c r="P56" s="39"/>
      <c r="Q56" s="39"/>
      <c r="R56" s="39"/>
      <c r="S56" s="239"/>
      <c r="AE56" s="174"/>
    </row>
    <row r="57" ht="15.75" customHeight="1">
      <c r="C57" s="98"/>
      <c r="D57" s="98"/>
      <c r="E57" s="39"/>
      <c r="F57" s="39"/>
      <c r="G57" s="39"/>
      <c r="H57" s="39"/>
      <c r="I57" s="39"/>
      <c r="J57" s="39"/>
      <c r="K57" s="39"/>
      <c r="L57" s="39"/>
      <c r="M57" s="39"/>
      <c r="N57" s="39"/>
      <c r="O57" s="39"/>
      <c r="P57" s="39"/>
      <c r="Q57" s="39"/>
      <c r="R57" s="39"/>
      <c r="S57" s="239"/>
      <c r="AE57" s="174"/>
    </row>
    <row r="58" ht="15.75" customHeight="1">
      <c r="C58" s="98"/>
      <c r="D58" s="98"/>
      <c r="E58" s="39"/>
      <c r="F58" s="39"/>
      <c r="G58" s="39"/>
      <c r="H58" s="39"/>
      <c r="I58" s="39"/>
      <c r="J58" s="39"/>
      <c r="K58" s="39"/>
      <c r="L58" s="39"/>
      <c r="M58" s="39"/>
      <c r="N58" s="39"/>
      <c r="O58" s="39"/>
      <c r="P58" s="39"/>
      <c r="Q58" s="39"/>
      <c r="R58" s="39"/>
      <c r="S58" s="239"/>
      <c r="AE58" s="174"/>
    </row>
    <row r="59" ht="15.75" customHeight="1">
      <c r="C59" s="98"/>
      <c r="D59" s="98"/>
      <c r="E59" s="39"/>
      <c r="F59" s="39"/>
      <c r="G59" s="39"/>
      <c r="H59" s="39"/>
      <c r="I59" s="39"/>
      <c r="J59" s="39"/>
      <c r="K59" s="39"/>
      <c r="L59" s="39"/>
      <c r="M59" s="39"/>
      <c r="N59" s="39"/>
      <c r="O59" s="39"/>
      <c r="P59" s="39"/>
      <c r="Q59" s="39"/>
      <c r="R59" s="39"/>
      <c r="S59" s="239"/>
      <c r="AE59" s="174"/>
    </row>
    <row r="60" ht="15.75" customHeight="1">
      <c r="C60" s="98"/>
      <c r="D60" s="98"/>
      <c r="E60" s="39"/>
      <c r="F60" s="39"/>
      <c r="G60" s="39"/>
      <c r="H60" s="39"/>
      <c r="I60" s="39"/>
      <c r="J60" s="39"/>
      <c r="K60" s="39"/>
      <c r="L60" s="39"/>
      <c r="M60" s="39"/>
      <c r="N60" s="39"/>
      <c r="O60" s="39"/>
      <c r="P60" s="39"/>
      <c r="Q60" s="39"/>
      <c r="R60" s="39"/>
      <c r="S60" s="239"/>
      <c r="AE60" s="174"/>
    </row>
    <row r="61" ht="15.75" customHeight="1">
      <c r="C61" s="98"/>
      <c r="D61" s="98"/>
      <c r="E61" s="39"/>
      <c r="F61" s="39"/>
      <c r="G61" s="39"/>
      <c r="H61" s="39"/>
      <c r="I61" s="39"/>
      <c r="J61" s="39"/>
      <c r="K61" s="39"/>
      <c r="L61" s="39"/>
      <c r="M61" s="39"/>
      <c r="N61" s="39"/>
      <c r="O61" s="39"/>
      <c r="P61" s="39"/>
      <c r="Q61" s="39"/>
      <c r="R61" s="39"/>
      <c r="S61" s="239"/>
      <c r="AE61" s="174"/>
    </row>
    <row r="62" ht="15.75" customHeight="1">
      <c r="C62" s="98"/>
      <c r="D62" s="98"/>
      <c r="E62" s="39"/>
      <c r="F62" s="39"/>
      <c r="G62" s="39"/>
      <c r="H62" s="39"/>
      <c r="I62" s="39"/>
      <c r="J62" s="39"/>
      <c r="K62" s="39"/>
      <c r="L62" s="39"/>
      <c r="M62" s="39"/>
      <c r="N62" s="39"/>
      <c r="O62" s="39"/>
      <c r="P62" s="39"/>
      <c r="Q62" s="39"/>
      <c r="R62" s="39"/>
      <c r="S62" s="239"/>
      <c r="AE62" s="174"/>
    </row>
    <row r="63" ht="15.75" customHeight="1">
      <c r="C63" s="98"/>
      <c r="D63" s="98"/>
      <c r="E63" s="39"/>
      <c r="F63" s="39"/>
      <c r="G63" s="39"/>
      <c r="H63" s="39"/>
      <c r="I63" s="39"/>
      <c r="J63" s="39"/>
      <c r="K63" s="39"/>
      <c r="L63" s="39"/>
      <c r="M63" s="39"/>
      <c r="N63" s="39"/>
      <c r="O63" s="39"/>
      <c r="P63" s="39"/>
      <c r="Q63" s="39"/>
      <c r="R63" s="39"/>
      <c r="S63" s="239"/>
      <c r="AE63" s="174"/>
    </row>
    <row r="64" ht="15.75" customHeight="1">
      <c r="C64" s="98"/>
      <c r="D64" s="98"/>
      <c r="E64" s="39"/>
      <c r="F64" s="39"/>
      <c r="G64" s="39"/>
      <c r="H64" s="39"/>
      <c r="I64" s="39"/>
      <c r="J64" s="39"/>
      <c r="K64" s="39"/>
      <c r="L64" s="39"/>
      <c r="M64" s="39"/>
      <c r="N64" s="39"/>
      <c r="O64" s="39"/>
      <c r="P64" s="39"/>
      <c r="Q64" s="39"/>
      <c r="R64" s="39"/>
      <c r="S64" s="239"/>
      <c r="AE64" s="174"/>
    </row>
    <row r="65" ht="15.75" customHeight="1">
      <c r="C65" s="98"/>
      <c r="D65" s="98"/>
      <c r="E65" s="39"/>
      <c r="F65" s="39"/>
      <c r="G65" s="39"/>
      <c r="H65" s="39"/>
      <c r="I65" s="39"/>
      <c r="J65" s="39"/>
      <c r="K65" s="39"/>
      <c r="L65" s="39"/>
      <c r="M65" s="39"/>
      <c r="N65" s="39"/>
      <c r="O65" s="39"/>
      <c r="P65" s="39"/>
      <c r="Q65" s="39"/>
      <c r="R65" s="39"/>
      <c r="S65" s="239"/>
      <c r="AE65" s="174"/>
    </row>
    <row r="66" ht="15.75" customHeight="1">
      <c r="C66" s="98"/>
      <c r="D66" s="98"/>
      <c r="E66" s="39"/>
      <c r="F66" s="39"/>
      <c r="G66" s="39"/>
      <c r="H66" s="39"/>
      <c r="I66" s="39"/>
      <c r="J66" s="39"/>
      <c r="K66" s="39"/>
      <c r="L66" s="39"/>
      <c r="M66" s="39"/>
      <c r="N66" s="39"/>
      <c r="O66" s="39"/>
      <c r="P66" s="39"/>
      <c r="Q66" s="39"/>
      <c r="R66" s="39"/>
      <c r="S66" s="239"/>
      <c r="AE66" s="174"/>
    </row>
    <row r="67" ht="15.75" customHeight="1">
      <c r="C67" s="98"/>
      <c r="D67" s="98"/>
      <c r="E67" s="39"/>
      <c r="F67" s="39"/>
      <c r="G67" s="39"/>
      <c r="H67" s="39"/>
      <c r="I67" s="39"/>
      <c r="J67" s="39"/>
      <c r="K67" s="39"/>
      <c r="L67" s="39"/>
      <c r="M67" s="39"/>
      <c r="N67" s="39"/>
      <c r="O67" s="39"/>
      <c r="P67" s="39"/>
      <c r="Q67" s="39"/>
      <c r="R67" s="39"/>
      <c r="S67" s="239"/>
      <c r="AE67" s="174"/>
    </row>
    <row r="68" ht="15.75" customHeight="1">
      <c r="C68" s="98"/>
      <c r="D68" s="98"/>
      <c r="E68" s="39"/>
      <c r="F68" s="39"/>
      <c r="G68" s="39"/>
      <c r="H68" s="39"/>
      <c r="I68" s="39"/>
      <c r="J68" s="39"/>
      <c r="K68" s="39"/>
      <c r="L68" s="39"/>
      <c r="M68" s="39"/>
      <c r="N68" s="39"/>
      <c r="O68" s="39"/>
      <c r="P68" s="39"/>
      <c r="Q68" s="39"/>
      <c r="R68" s="39"/>
      <c r="S68" s="239"/>
      <c r="AE68" s="174"/>
    </row>
    <row r="69" ht="15.75" customHeight="1">
      <c r="C69" s="98"/>
      <c r="D69" s="98"/>
      <c r="E69" s="39"/>
      <c r="F69" s="39"/>
      <c r="G69" s="39"/>
      <c r="H69" s="39"/>
      <c r="I69" s="39"/>
      <c r="J69" s="39"/>
      <c r="K69" s="39"/>
      <c r="L69" s="39"/>
      <c r="M69" s="39"/>
      <c r="N69" s="39"/>
      <c r="O69" s="39"/>
      <c r="P69" s="39"/>
      <c r="Q69" s="39"/>
      <c r="R69" s="39"/>
      <c r="S69" s="239"/>
      <c r="AE69" s="174"/>
    </row>
    <row r="70" ht="15.75" customHeight="1">
      <c r="C70" s="98"/>
      <c r="D70" s="98"/>
      <c r="E70" s="39"/>
      <c r="F70" s="39"/>
      <c r="G70" s="39"/>
      <c r="H70" s="39"/>
      <c r="I70" s="39"/>
      <c r="J70" s="39"/>
      <c r="K70" s="39"/>
      <c r="L70" s="39"/>
      <c r="M70" s="39"/>
      <c r="N70" s="39"/>
      <c r="O70" s="39"/>
      <c r="P70" s="39"/>
      <c r="Q70" s="39"/>
      <c r="R70" s="39"/>
      <c r="S70" s="239"/>
      <c r="AE70" s="174"/>
    </row>
    <row r="71" ht="15.75" customHeight="1">
      <c r="C71" s="98"/>
      <c r="D71" s="98"/>
      <c r="E71" s="39"/>
      <c r="F71" s="39"/>
      <c r="G71" s="39"/>
      <c r="H71" s="39"/>
      <c r="I71" s="39"/>
      <c r="J71" s="39"/>
      <c r="K71" s="39"/>
      <c r="L71" s="39"/>
      <c r="M71" s="39"/>
      <c r="N71" s="39"/>
      <c r="O71" s="39"/>
      <c r="P71" s="39"/>
      <c r="Q71" s="39"/>
      <c r="R71" s="39"/>
      <c r="S71" s="239"/>
      <c r="AE71" s="174"/>
    </row>
    <row r="72" ht="15.75" customHeight="1">
      <c r="C72" s="98"/>
      <c r="D72" s="98"/>
      <c r="E72" s="39"/>
      <c r="F72" s="39"/>
      <c r="G72" s="39"/>
      <c r="H72" s="39"/>
      <c r="I72" s="39"/>
      <c r="J72" s="39"/>
      <c r="K72" s="39"/>
      <c r="L72" s="39"/>
      <c r="M72" s="39"/>
      <c r="N72" s="39"/>
      <c r="O72" s="39"/>
      <c r="P72" s="39"/>
      <c r="Q72" s="39"/>
      <c r="R72" s="39"/>
      <c r="S72" s="239"/>
      <c r="AE72" s="174"/>
    </row>
    <row r="73" ht="15.75" customHeight="1">
      <c r="C73" s="98"/>
      <c r="D73" s="98"/>
      <c r="E73" s="39"/>
      <c r="F73" s="39"/>
      <c r="G73" s="39"/>
      <c r="H73" s="39"/>
      <c r="I73" s="39"/>
      <c r="J73" s="39"/>
      <c r="K73" s="39"/>
      <c r="L73" s="39"/>
      <c r="M73" s="39"/>
      <c r="N73" s="39"/>
      <c r="O73" s="39"/>
      <c r="P73" s="39"/>
      <c r="Q73" s="39"/>
      <c r="R73" s="39"/>
      <c r="S73" s="239"/>
      <c r="AE73" s="174"/>
    </row>
    <row r="74" ht="15.75" customHeight="1">
      <c r="C74" s="98"/>
      <c r="D74" s="98"/>
      <c r="E74" s="39"/>
      <c r="F74" s="39"/>
      <c r="G74" s="39"/>
      <c r="H74" s="39"/>
      <c r="I74" s="39"/>
      <c r="J74" s="39"/>
      <c r="K74" s="39"/>
      <c r="L74" s="39"/>
      <c r="M74" s="39"/>
      <c r="N74" s="39"/>
      <c r="O74" s="39"/>
      <c r="P74" s="39"/>
      <c r="Q74" s="39"/>
      <c r="R74" s="39"/>
      <c r="S74" s="239"/>
      <c r="AE74" s="174"/>
    </row>
    <row r="75" ht="15.75" customHeight="1">
      <c r="C75" s="98"/>
      <c r="D75" s="98"/>
      <c r="E75" s="39"/>
      <c r="F75" s="39"/>
      <c r="G75" s="39"/>
      <c r="H75" s="39"/>
      <c r="I75" s="39"/>
      <c r="J75" s="39"/>
      <c r="K75" s="39"/>
      <c r="L75" s="39"/>
      <c r="M75" s="39"/>
      <c r="N75" s="39"/>
      <c r="O75" s="39"/>
      <c r="P75" s="39"/>
      <c r="Q75" s="39"/>
      <c r="R75" s="39"/>
      <c r="S75" s="239"/>
      <c r="AE75" s="174"/>
    </row>
    <row r="76" ht="15.75" customHeight="1">
      <c r="C76" s="98"/>
      <c r="D76" s="98"/>
      <c r="E76" s="39"/>
      <c r="F76" s="39"/>
      <c r="G76" s="39"/>
      <c r="H76" s="39"/>
      <c r="I76" s="39"/>
      <c r="J76" s="39"/>
      <c r="K76" s="39"/>
      <c r="L76" s="39"/>
      <c r="M76" s="39"/>
      <c r="N76" s="39"/>
      <c r="O76" s="39"/>
      <c r="P76" s="39"/>
      <c r="Q76" s="39"/>
      <c r="R76" s="39"/>
      <c r="S76" s="239"/>
      <c r="AE76" s="174"/>
    </row>
    <row r="77" ht="15.75" customHeight="1">
      <c r="C77" s="98"/>
      <c r="D77" s="98"/>
      <c r="E77" s="39"/>
      <c r="F77" s="39"/>
      <c r="G77" s="39"/>
      <c r="H77" s="39"/>
      <c r="I77" s="39"/>
      <c r="J77" s="39"/>
      <c r="K77" s="39"/>
      <c r="L77" s="39"/>
      <c r="M77" s="39"/>
      <c r="N77" s="39"/>
      <c r="O77" s="39"/>
      <c r="P77" s="39"/>
      <c r="Q77" s="39"/>
      <c r="R77" s="39"/>
      <c r="S77" s="239"/>
      <c r="AE77" s="174"/>
    </row>
    <row r="78" ht="15.75" customHeight="1">
      <c r="C78" s="98"/>
      <c r="D78" s="98"/>
      <c r="E78" s="39"/>
      <c r="F78" s="39"/>
      <c r="G78" s="39"/>
      <c r="H78" s="39"/>
      <c r="I78" s="39"/>
      <c r="J78" s="39"/>
      <c r="K78" s="39"/>
      <c r="L78" s="39"/>
      <c r="M78" s="39"/>
      <c r="N78" s="39"/>
      <c r="O78" s="39"/>
      <c r="P78" s="39"/>
      <c r="Q78" s="39"/>
      <c r="R78" s="39"/>
      <c r="S78" s="239"/>
      <c r="AE78" s="174"/>
    </row>
    <row r="79" ht="15.75" customHeight="1">
      <c r="C79" s="98"/>
      <c r="D79" s="98"/>
      <c r="E79" s="39"/>
      <c r="F79" s="39"/>
      <c r="G79" s="39"/>
      <c r="H79" s="39"/>
      <c r="I79" s="39"/>
      <c r="J79" s="39"/>
      <c r="K79" s="39"/>
      <c r="L79" s="39"/>
      <c r="M79" s="39"/>
      <c r="N79" s="39"/>
      <c r="O79" s="39"/>
      <c r="P79" s="39"/>
      <c r="Q79" s="39"/>
      <c r="R79" s="39"/>
      <c r="S79" s="239"/>
      <c r="AE79" s="174"/>
    </row>
    <row r="80" ht="15.75" customHeight="1">
      <c r="C80" s="98"/>
      <c r="D80" s="98"/>
      <c r="E80" s="39"/>
      <c r="F80" s="39"/>
      <c r="G80" s="39"/>
      <c r="H80" s="39"/>
      <c r="I80" s="39"/>
      <c r="J80" s="39"/>
      <c r="K80" s="39"/>
      <c r="L80" s="39"/>
      <c r="M80" s="39"/>
      <c r="N80" s="39"/>
      <c r="O80" s="39"/>
      <c r="P80" s="39"/>
      <c r="Q80" s="39"/>
      <c r="R80" s="39"/>
      <c r="S80" s="239"/>
      <c r="AE80" s="174"/>
    </row>
    <row r="81" ht="15.75" customHeight="1">
      <c r="C81" s="98"/>
      <c r="D81" s="98"/>
      <c r="E81" s="39"/>
      <c r="F81" s="39"/>
      <c r="G81" s="39"/>
      <c r="H81" s="39"/>
      <c r="I81" s="39"/>
      <c r="J81" s="39"/>
      <c r="K81" s="39"/>
      <c r="L81" s="39"/>
      <c r="M81" s="39"/>
      <c r="N81" s="39"/>
      <c r="O81" s="39"/>
      <c r="P81" s="39"/>
      <c r="Q81" s="39"/>
      <c r="R81" s="39"/>
      <c r="S81" s="239"/>
      <c r="AE81" s="174"/>
    </row>
    <row r="82" ht="15.75" customHeight="1">
      <c r="C82" s="98"/>
      <c r="D82" s="98"/>
      <c r="E82" s="39"/>
      <c r="F82" s="39"/>
      <c r="G82" s="39"/>
      <c r="H82" s="39"/>
      <c r="I82" s="39"/>
      <c r="J82" s="39"/>
      <c r="K82" s="39"/>
      <c r="L82" s="39"/>
      <c r="M82" s="39"/>
      <c r="N82" s="39"/>
      <c r="O82" s="39"/>
      <c r="P82" s="39"/>
      <c r="Q82" s="39"/>
      <c r="R82" s="39"/>
      <c r="S82" s="239"/>
      <c r="AE82" s="174"/>
    </row>
    <row r="83" ht="15.75" customHeight="1">
      <c r="C83" s="98"/>
      <c r="D83" s="98"/>
      <c r="E83" s="39"/>
      <c r="F83" s="39"/>
      <c r="G83" s="39"/>
      <c r="H83" s="39"/>
      <c r="I83" s="39"/>
      <c r="J83" s="39"/>
      <c r="K83" s="39"/>
      <c r="L83" s="39"/>
      <c r="M83" s="39"/>
      <c r="N83" s="39"/>
      <c r="O83" s="39"/>
      <c r="P83" s="39"/>
      <c r="Q83" s="39"/>
      <c r="R83" s="39"/>
      <c r="S83" s="239"/>
      <c r="AE83" s="174"/>
    </row>
    <row r="84" ht="15.75" customHeight="1">
      <c r="C84" s="98"/>
      <c r="D84" s="98"/>
      <c r="E84" s="39"/>
      <c r="F84" s="39"/>
      <c r="G84" s="39"/>
      <c r="H84" s="39"/>
      <c r="I84" s="39"/>
      <c r="J84" s="39"/>
      <c r="K84" s="39"/>
      <c r="L84" s="39"/>
      <c r="M84" s="39"/>
      <c r="N84" s="39"/>
      <c r="O84" s="39"/>
      <c r="P84" s="39"/>
      <c r="Q84" s="39"/>
      <c r="R84" s="39"/>
      <c r="S84" s="239"/>
      <c r="AE84" s="174"/>
    </row>
    <row r="85" ht="15.75" customHeight="1">
      <c r="C85" s="98"/>
      <c r="D85" s="98"/>
      <c r="E85" s="39"/>
      <c r="F85" s="39"/>
      <c r="G85" s="39"/>
      <c r="H85" s="39"/>
      <c r="I85" s="39"/>
      <c r="J85" s="39"/>
      <c r="K85" s="39"/>
      <c r="L85" s="39"/>
      <c r="M85" s="39"/>
      <c r="N85" s="39"/>
      <c r="O85" s="39"/>
      <c r="P85" s="39"/>
      <c r="Q85" s="39"/>
      <c r="R85" s="39"/>
      <c r="S85" s="239"/>
      <c r="AE85" s="174"/>
    </row>
    <row r="86" ht="15.75" customHeight="1">
      <c r="C86" s="98"/>
      <c r="D86" s="98"/>
      <c r="E86" s="39"/>
      <c r="F86" s="39"/>
      <c r="G86" s="39"/>
      <c r="H86" s="39"/>
      <c r="I86" s="39"/>
      <c r="J86" s="39"/>
      <c r="K86" s="39"/>
      <c r="L86" s="39"/>
      <c r="M86" s="39"/>
      <c r="N86" s="39"/>
      <c r="O86" s="39"/>
      <c r="P86" s="39"/>
      <c r="Q86" s="39"/>
      <c r="R86" s="39"/>
      <c r="S86" s="239"/>
      <c r="AE86" s="174"/>
    </row>
    <row r="87" ht="15.75" customHeight="1">
      <c r="C87" s="98"/>
      <c r="D87" s="98"/>
      <c r="E87" s="39"/>
      <c r="F87" s="39"/>
      <c r="G87" s="39"/>
      <c r="H87" s="39"/>
      <c r="I87" s="39"/>
      <c r="J87" s="39"/>
      <c r="K87" s="39"/>
      <c r="L87" s="39"/>
      <c r="M87" s="39"/>
      <c r="N87" s="39"/>
      <c r="O87" s="39"/>
      <c r="P87" s="39"/>
      <c r="Q87" s="39"/>
      <c r="R87" s="39"/>
      <c r="S87" s="239"/>
      <c r="AE87" s="174"/>
    </row>
    <row r="88" ht="15.75" customHeight="1">
      <c r="C88" s="98"/>
      <c r="D88" s="98"/>
      <c r="E88" s="39"/>
      <c r="F88" s="39"/>
      <c r="G88" s="39"/>
      <c r="H88" s="39"/>
      <c r="I88" s="39"/>
      <c r="J88" s="39"/>
      <c r="K88" s="39"/>
      <c r="L88" s="39"/>
      <c r="M88" s="39"/>
      <c r="N88" s="39"/>
      <c r="O88" s="39"/>
      <c r="P88" s="39"/>
      <c r="Q88" s="39"/>
      <c r="R88" s="39"/>
      <c r="S88" s="239"/>
      <c r="AE88" s="174"/>
    </row>
    <row r="89" ht="15.75" customHeight="1">
      <c r="C89" s="98"/>
      <c r="D89" s="98"/>
      <c r="E89" s="39"/>
      <c r="F89" s="39"/>
      <c r="G89" s="39"/>
      <c r="H89" s="39"/>
      <c r="I89" s="39"/>
      <c r="J89" s="39"/>
      <c r="K89" s="39"/>
      <c r="L89" s="39"/>
      <c r="M89" s="39"/>
      <c r="N89" s="39"/>
      <c r="O89" s="39"/>
      <c r="P89" s="39"/>
      <c r="Q89" s="39"/>
      <c r="R89" s="39"/>
      <c r="S89" s="239"/>
      <c r="AE89" s="174"/>
    </row>
    <row r="90" ht="15.75" customHeight="1">
      <c r="C90" s="98"/>
      <c r="D90" s="98"/>
      <c r="E90" s="39"/>
      <c r="F90" s="39"/>
      <c r="G90" s="39"/>
      <c r="H90" s="39"/>
      <c r="I90" s="39"/>
      <c r="J90" s="39"/>
      <c r="K90" s="39"/>
      <c r="L90" s="39"/>
      <c r="M90" s="39"/>
      <c r="N90" s="39"/>
      <c r="O90" s="39"/>
      <c r="P90" s="39"/>
      <c r="Q90" s="39"/>
      <c r="R90" s="39"/>
      <c r="S90" s="239"/>
      <c r="AE90" s="174"/>
    </row>
    <row r="91" ht="15.75" customHeight="1">
      <c r="C91" s="98"/>
      <c r="D91" s="98"/>
      <c r="E91" s="39"/>
      <c r="F91" s="39"/>
      <c r="G91" s="39"/>
      <c r="H91" s="39"/>
      <c r="I91" s="39"/>
      <c r="J91" s="39"/>
      <c r="K91" s="39"/>
      <c r="L91" s="39"/>
      <c r="M91" s="39"/>
      <c r="N91" s="39"/>
      <c r="O91" s="39"/>
      <c r="P91" s="39"/>
      <c r="Q91" s="39"/>
      <c r="R91" s="39"/>
      <c r="S91" s="239"/>
      <c r="AE91" s="174"/>
    </row>
    <row r="92" ht="15.75" customHeight="1">
      <c r="C92" s="98"/>
      <c r="D92" s="98"/>
      <c r="E92" s="39"/>
      <c r="F92" s="39"/>
      <c r="G92" s="39"/>
      <c r="H92" s="39"/>
      <c r="I92" s="39"/>
      <c r="J92" s="39"/>
      <c r="K92" s="39"/>
      <c r="L92" s="39"/>
      <c r="M92" s="39"/>
      <c r="N92" s="39"/>
      <c r="O92" s="39"/>
      <c r="P92" s="39"/>
      <c r="Q92" s="39"/>
      <c r="R92" s="39"/>
      <c r="S92" s="239"/>
      <c r="AE92" s="174"/>
    </row>
    <row r="93" ht="15.75" customHeight="1">
      <c r="C93" s="98"/>
      <c r="D93" s="98"/>
      <c r="E93" s="39"/>
      <c r="F93" s="39"/>
      <c r="G93" s="39"/>
      <c r="H93" s="39"/>
      <c r="I93" s="39"/>
      <c r="J93" s="39"/>
      <c r="K93" s="39"/>
      <c r="L93" s="39"/>
      <c r="M93" s="39"/>
      <c r="N93" s="39"/>
      <c r="O93" s="39"/>
      <c r="P93" s="39"/>
      <c r="Q93" s="39"/>
      <c r="R93" s="39"/>
      <c r="S93" s="239"/>
      <c r="AE93" s="174"/>
    </row>
    <row r="94" ht="15.75" customHeight="1">
      <c r="C94" s="98"/>
      <c r="D94" s="98"/>
      <c r="E94" s="39"/>
      <c r="F94" s="39"/>
      <c r="G94" s="39"/>
      <c r="H94" s="39"/>
      <c r="I94" s="39"/>
      <c r="J94" s="39"/>
      <c r="K94" s="39"/>
      <c r="L94" s="39"/>
      <c r="M94" s="39"/>
      <c r="N94" s="39"/>
      <c r="O94" s="39"/>
      <c r="P94" s="39"/>
      <c r="Q94" s="39"/>
      <c r="R94" s="39"/>
      <c r="S94" s="239"/>
      <c r="AE94" s="174"/>
    </row>
    <row r="95" ht="15.75" customHeight="1">
      <c r="C95" s="98"/>
      <c r="D95" s="98"/>
      <c r="E95" s="39"/>
      <c r="F95" s="39"/>
      <c r="G95" s="39"/>
      <c r="H95" s="39"/>
      <c r="I95" s="39"/>
      <c r="J95" s="39"/>
      <c r="K95" s="39"/>
      <c r="L95" s="39"/>
      <c r="M95" s="39"/>
      <c r="N95" s="39"/>
      <c r="O95" s="39"/>
      <c r="P95" s="39"/>
      <c r="Q95" s="39"/>
      <c r="R95" s="39"/>
      <c r="S95" s="239"/>
      <c r="AE95" s="174"/>
    </row>
    <row r="96" ht="15.75" customHeight="1">
      <c r="C96" s="98"/>
      <c r="D96" s="98"/>
      <c r="E96" s="39"/>
      <c r="F96" s="39"/>
      <c r="G96" s="39"/>
      <c r="H96" s="39"/>
      <c r="I96" s="39"/>
      <c r="J96" s="39"/>
      <c r="K96" s="39"/>
      <c r="L96" s="39"/>
      <c r="M96" s="39"/>
      <c r="N96" s="39"/>
      <c r="O96" s="39"/>
      <c r="P96" s="39"/>
      <c r="Q96" s="39"/>
      <c r="R96" s="39"/>
      <c r="S96" s="239"/>
      <c r="AE96" s="174"/>
    </row>
    <row r="97" ht="15.75" customHeight="1">
      <c r="C97" s="98"/>
      <c r="D97" s="98"/>
      <c r="E97" s="39"/>
      <c r="F97" s="39"/>
      <c r="G97" s="39"/>
      <c r="H97" s="39"/>
      <c r="I97" s="39"/>
      <c r="J97" s="39"/>
      <c r="K97" s="39"/>
      <c r="L97" s="39"/>
      <c r="M97" s="39"/>
      <c r="N97" s="39"/>
      <c r="O97" s="39"/>
      <c r="P97" s="39"/>
      <c r="Q97" s="39"/>
      <c r="R97" s="39"/>
      <c r="S97" s="239"/>
      <c r="AE97" s="174"/>
    </row>
    <row r="98" ht="15.75" customHeight="1">
      <c r="C98" s="98"/>
      <c r="D98" s="98"/>
      <c r="E98" s="39"/>
      <c r="F98" s="39"/>
      <c r="G98" s="39"/>
      <c r="H98" s="39"/>
      <c r="I98" s="39"/>
      <c r="J98" s="39"/>
      <c r="K98" s="39"/>
      <c r="L98" s="39"/>
      <c r="M98" s="39"/>
      <c r="N98" s="39"/>
      <c r="O98" s="39"/>
      <c r="P98" s="39"/>
      <c r="Q98" s="39"/>
      <c r="R98" s="39"/>
      <c r="S98" s="239"/>
      <c r="AE98" s="174"/>
    </row>
    <row r="99" ht="15.75" customHeight="1">
      <c r="C99" s="98"/>
      <c r="D99" s="98"/>
      <c r="E99" s="39"/>
      <c r="F99" s="39"/>
      <c r="G99" s="39"/>
      <c r="H99" s="39"/>
      <c r="I99" s="39"/>
      <c r="J99" s="39"/>
      <c r="K99" s="39"/>
      <c r="L99" s="39"/>
      <c r="M99" s="39"/>
      <c r="N99" s="39"/>
      <c r="O99" s="39"/>
      <c r="P99" s="39"/>
      <c r="Q99" s="39"/>
      <c r="R99" s="39"/>
      <c r="S99" s="239"/>
      <c r="AE99" s="174"/>
    </row>
    <row r="100" ht="15.75" customHeight="1">
      <c r="C100" s="98"/>
      <c r="D100" s="98"/>
      <c r="E100" s="39"/>
      <c r="F100" s="39"/>
      <c r="G100" s="39"/>
      <c r="H100" s="39"/>
      <c r="I100" s="39"/>
      <c r="J100" s="39"/>
      <c r="K100" s="39"/>
      <c r="L100" s="39"/>
      <c r="M100" s="39"/>
      <c r="N100" s="39"/>
      <c r="O100" s="39"/>
      <c r="P100" s="39"/>
      <c r="Q100" s="39"/>
      <c r="R100" s="39"/>
      <c r="S100" s="239"/>
      <c r="AE100" s="174"/>
    </row>
    <row r="101" ht="15.75" customHeight="1">
      <c r="C101" s="98"/>
      <c r="D101" s="98"/>
      <c r="E101" s="39"/>
      <c r="F101" s="39"/>
      <c r="G101" s="39"/>
      <c r="H101" s="39"/>
      <c r="I101" s="39"/>
      <c r="J101" s="39"/>
      <c r="K101" s="39"/>
      <c r="L101" s="39"/>
      <c r="M101" s="39"/>
      <c r="N101" s="39"/>
      <c r="O101" s="39"/>
      <c r="P101" s="39"/>
      <c r="Q101" s="39"/>
      <c r="R101" s="39"/>
      <c r="S101" s="239"/>
      <c r="AE101" s="174"/>
    </row>
    <row r="102" ht="15.75" customHeight="1">
      <c r="C102" s="98"/>
      <c r="D102" s="98"/>
      <c r="E102" s="39"/>
      <c r="F102" s="39"/>
      <c r="G102" s="39"/>
      <c r="H102" s="39"/>
      <c r="I102" s="39"/>
      <c r="J102" s="39"/>
      <c r="K102" s="39"/>
      <c r="L102" s="39"/>
      <c r="M102" s="39"/>
      <c r="N102" s="39"/>
      <c r="O102" s="39"/>
      <c r="P102" s="39"/>
      <c r="Q102" s="39"/>
      <c r="R102" s="39"/>
      <c r="S102" s="239"/>
      <c r="AE102" s="174"/>
    </row>
    <row r="103" ht="15.75" customHeight="1">
      <c r="C103" s="98"/>
      <c r="D103" s="98"/>
      <c r="E103" s="39"/>
      <c r="F103" s="39"/>
      <c r="G103" s="39"/>
      <c r="H103" s="39"/>
      <c r="I103" s="39"/>
      <c r="J103" s="39"/>
      <c r="K103" s="39"/>
      <c r="L103" s="39"/>
      <c r="M103" s="39"/>
      <c r="N103" s="39"/>
      <c r="O103" s="39"/>
      <c r="P103" s="39"/>
      <c r="Q103" s="39"/>
      <c r="R103" s="39"/>
      <c r="S103" s="239"/>
      <c r="AE103" s="174"/>
    </row>
    <row r="104" ht="15.75" customHeight="1">
      <c r="C104" s="98"/>
      <c r="D104" s="98"/>
      <c r="E104" s="39"/>
      <c r="F104" s="39"/>
      <c r="G104" s="39"/>
      <c r="H104" s="39"/>
      <c r="I104" s="39"/>
      <c r="J104" s="39"/>
      <c r="K104" s="39"/>
      <c r="L104" s="39"/>
      <c r="M104" s="39"/>
      <c r="N104" s="39"/>
      <c r="O104" s="39"/>
      <c r="P104" s="39"/>
      <c r="Q104" s="39"/>
      <c r="R104" s="39"/>
      <c r="S104" s="239"/>
      <c r="AE104" s="174"/>
    </row>
    <row r="105" ht="15.75" customHeight="1">
      <c r="C105" s="98"/>
      <c r="D105" s="98"/>
      <c r="E105" s="39"/>
      <c r="F105" s="39"/>
      <c r="G105" s="39"/>
      <c r="H105" s="39"/>
      <c r="I105" s="39"/>
      <c r="J105" s="39"/>
      <c r="K105" s="39"/>
      <c r="L105" s="39"/>
      <c r="M105" s="39"/>
      <c r="N105" s="39"/>
      <c r="O105" s="39"/>
      <c r="P105" s="39"/>
      <c r="Q105" s="39"/>
      <c r="R105" s="39"/>
      <c r="S105" s="239"/>
      <c r="AE105" s="174"/>
    </row>
    <row r="106" ht="15.75" customHeight="1">
      <c r="C106" s="98"/>
      <c r="D106" s="98"/>
      <c r="E106" s="39"/>
      <c r="F106" s="39"/>
      <c r="G106" s="39"/>
      <c r="H106" s="39"/>
      <c r="I106" s="39"/>
      <c r="J106" s="39"/>
      <c r="K106" s="39"/>
      <c r="L106" s="39"/>
      <c r="M106" s="39"/>
      <c r="N106" s="39"/>
      <c r="O106" s="39"/>
      <c r="P106" s="39"/>
      <c r="Q106" s="39"/>
      <c r="R106" s="39"/>
      <c r="S106" s="239"/>
      <c r="AE106" s="174"/>
    </row>
    <row r="107" ht="15.75" customHeight="1">
      <c r="C107" s="98"/>
      <c r="D107" s="98"/>
      <c r="E107" s="39"/>
      <c r="F107" s="39"/>
      <c r="G107" s="39"/>
      <c r="H107" s="39"/>
      <c r="I107" s="39"/>
      <c r="J107" s="39"/>
      <c r="K107" s="39"/>
      <c r="L107" s="39"/>
      <c r="M107" s="39"/>
      <c r="N107" s="39"/>
      <c r="O107" s="39"/>
      <c r="P107" s="39"/>
      <c r="Q107" s="39"/>
      <c r="R107" s="39"/>
      <c r="S107" s="239"/>
      <c r="AE107" s="174"/>
    </row>
    <row r="108" ht="15.75" customHeight="1">
      <c r="C108" s="98"/>
      <c r="D108" s="98"/>
      <c r="E108" s="39"/>
      <c r="F108" s="39"/>
      <c r="G108" s="39"/>
      <c r="H108" s="39"/>
      <c r="I108" s="39"/>
      <c r="J108" s="39"/>
      <c r="K108" s="39"/>
      <c r="L108" s="39"/>
      <c r="M108" s="39"/>
      <c r="N108" s="39"/>
      <c r="O108" s="39"/>
      <c r="P108" s="39"/>
      <c r="Q108" s="39"/>
      <c r="R108" s="39"/>
      <c r="S108" s="239"/>
      <c r="AE108" s="174"/>
    </row>
    <row r="109" ht="15.75" customHeight="1">
      <c r="C109" s="98"/>
      <c r="D109" s="98"/>
      <c r="E109" s="39"/>
      <c r="F109" s="39"/>
      <c r="G109" s="39"/>
      <c r="H109" s="39"/>
      <c r="I109" s="39"/>
      <c r="J109" s="39"/>
      <c r="K109" s="39"/>
      <c r="L109" s="39"/>
      <c r="M109" s="39"/>
      <c r="N109" s="39"/>
      <c r="O109" s="39"/>
      <c r="P109" s="39"/>
      <c r="Q109" s="39"/>
      <c r="R109" s="39"/>
      <c r="S109" s="239"/>
      <c r="AE109" s="174"/>
    </row>
    <row r="110" ht="15.75" customHeight="1">
      <c r="C110" s="98"/>
      <c r="D110" s="98"/>
      <c r="E110" s="39"/>
      <c r="F110" s="39"/>
      <c r="G110" s="39"/>
      <c r="H110" s="39"/>
      <c r="I110" s="39"/>
      <c r="J110" s="39"/>
      <c r="K110" s="39"/>
      <c r="L110" s="39"/>
      <c r="M110" s="39"/>
      <c r="N110" s="39"/>
      <c r="O110" s="39"/>
      <c r="P110" s="39"/>
      <c r="Q110" s="39"/>
      <c r="R110" s="39"/>
      <c r="S110" s="239"/>
      <c r="AE110" s="174"/>
    </row>
    <row r="111" ht="15.75" customHeight="1">
      <c r="C111" s="98"/>
      <c r="D111" s="98"/>
      <c r="E111" s="39"/>
      <c r="F111" s="39"/>
      <c r="G111" s="39"/>
      <c r="H111" s="39"/>
      <c r="I111" s="39"/>
      <c r="J111" s="39"/>
      <c r="K111" s="39"/>
      <c r="L111" s="39"/>
      <c r="M111" s="39"/>
      <c r="N111" s="39"/>
      <c r="O111" s="39"/>
      <c r="P111" s="39"/>
      <c r="Q111" s="39"/>
      <c r="R111" s="39"/>
      <c r="S111" s="239"/>
      <c r="AE111" s="174"/>
    </row>
    <row r="112" ht="15.75" customHeight="1">
      <c r="C112" s="98"/>
      <c r="D112" s="98"/>
      <c r="E112" s="39"/>
      <c r="F112" s="39"/>
      <c r="G112" s="39"/>
      <c r="H112" s="39"/>
      <c r="I112" s="39"/>
      <c r="J112" s="39"/>
      <c r="K112" s="39"/>
      <c r="L112" s="39"/>
      <c r="M112" s="39"/>
      <c r="N112" s="39"/>
      <c r="O112" s="39"/>
      <c r="P112" s="39"/>
      <c r="Q112" s="39"/>
      <c r="R112" s="39"/>
      <c r="S112" s="239"/>
      <c r="AE112" s="174"/>
    </row>
    <row r="113" ht="15.75" customHeight="1">
      <c r="C113" s="98"/>
      <c r="D113" s="98"/>
      <c r="E113" s="39"/>
      <c r="F113" s="39"/>
      <c r="G113" s="39"/>
      <c r="H113" s="39"/>
      <c r="I113" s="39"/>
      <c r="J113" s="39"/>
      <c r="K113" s="39"/>
      <c r="L113" s="39"/>
      <c r="M113" s="39"/>
      <c r="N113" s="39"/>
      <c r="O113" s="39"/>
      <c r="P113" s="39"/>
      <c r="Q113" s="39"/>
      <c r="R113" s="39"/>
      <c r="S113" s="239"/>
      <c r="AE113" s="174"/>
    </row>
    <row r="114" ht="15.75" customHeight="1">
      <c r="C114" s="98"/>
      <c r="D114" s="98"/>
      <c r="E114" s="39"/>
      <c r="F114" s="39"/>
      <c r="G114" s="39"/>
      <c r="H114" s="39"/>
      <c r="I114" s="39"/>
      <c r="J114" s="39"/>
      <c r="K114" s="39"/>
      <c r="L114" s="39"/>
      <c r="M114" s="39"/>
      <c r="N114" s="39"/>
      <c r="O114" s="39"/>
      <c r="P114" s="39"/>
      <c r="Q114" s="39"/>
      <c r="R114" s="39"/>
      <c r="S114" s="239"/>
      <c r="AE114" s="174"/>
    </row>
    <row r="115" ht="15.75" customHeight="1">
      <c r="C115" s="98"/>
      <c r="D115" s="98"/>
      <c r="E115" s="39"/>
      <c r="F115" s="39"/>
      <c r="G115" s="39"/>
      <c r="H115" s="39"/>
      <c r="I115" s="39"/>
      <c r="J115" s="39"/>
      <c r="K115" s="39"/>
      <c r="L115" s="39"/>
      <c r="M115" s="39"/>
      <c r="N115" s="39"/>
      <c r="O115" s="39"/>
      <c r="P115" s="39"/>
      <c r="Q115" s="39"/>
      <c r="R115" s="39"/>
      <c r="S115" s="239"/>
      <c r="AE115" s="174"/>
    </row>
    <row r="116" ht="15.75" customHeight="1">
      <c r="C116" s="98"/>
      <c r="D116" s="98"/>
      <c r="E116" s="39"/>
      <c r="F116" s="39"/>
      <c r="G116" s="39"/>
      <c r="H116" s="39"/>
      <c r="I116" s="39"/>
      <c r="J116" s="39"/>
      <c r="K116" s="39"/>
      <c r="L116" s="39"/>
      <c r="M116" s="39"/>
      <c r="N116" s="39"/>
      <c r="O116" s="39"/>
      <c r="P116" s="39"/>
      <c r="Q116" s="39"/>
      <c r="R116" s="39"/>
      <c r="S116" s="239"/>
      <c r="AE116" s="174"/>
    </row>
    <row r="117" ht="15.75" customHeight="1">
      <c r="C117" s="98"/>
      <c r="D117" s="98"/>
      <c r="E117" s="39"/>
      <c r="F117" s="39"/>
      <c r="G117" s="39"/>
      <c r="H117" s="39"/>
      <c r="I117" s="39"/>
      <c r="J117" s="39"/>
      <c r="K117" s="39"/>
      <c r="L117" s="39"/>
      <c r="M117" s="39"/>
      <c r="N117" s="39"/>
      <c r="O117" s="39"/>
      <c r="P117" s="39"/>
      <c r="Q117" s="39"/>
      <c r="R117" s="39"/>
      <c r="S117" s="239"/>
      <c r="AE117" s="174"/>
    </row>
    <row r="118" ht="15.75" customHeight="1">
      <c r="C118" s="98"/>
      <c r="D118" s="98"/>
      <c r="E118" s="39"/>
      <c r="F118" s="39"/>
      <c r="G118" s="39"/>
      <c r="H118" s="39"/>
      <c r="I118" s="39"/>
      <c r="J118" s="39"/>
      <c r="K118" s="39"/>
      <c r="L118" s="39"/>
      <c r="M118" s="39"/>
      <c r="N118" s="39"/>
      <c r="O118" s="39"/>
      <c r="P118" s="39"/>
      <c r="Q118" s="39"/>
      <c r="R118" s="39"/>
      <c r="S118" s="239"/>
      <c r="AE118" s="174"/>
    </row>
    <row r="119" ht="15.75" customHeight="1">
      <c r="C119" s="98"/>
      <c r="D119" s="98"/>
      <c r="E119" s="39"/>
      <c r="F119" s="39"/>
      <c r="G119" s="39"/>
      <c r="H119" s="39"/>
      <c r="I119" s="39"/>
      <c r="J119" s="39"/>
      <c r="K119" s="39"/>
      <c r="L119" s="39"/>
      <c r="M119" s="39"/>
      <c r="N119" s="39"/>
      <c r="O119" s="39"/>
      <c r="P119" s="39"/>
      <c r="Q119" s="39"/>
      <c r="R119" s="39"/>
      <c r="S119" s="239"/>
      <c r="AE119" s="174"/>
    </row>
    <row r="120" ht="15.75" customHeight="1">
      <c r="C120" s="98"/>
      <c r="D120" s="98"/>
      <c r="E120" s="39"/>
      <c r="F120" s="39"/>
      <c r="G120" s="39"/>
      <c r="H120" s="39"/>
      <c r="I120" s="39"/>
      <c r="J120" s="39"/>
      <c r="K120" s="39"/>
      <c r="L120" s="39"/>
      <c r="M120" s="39"/>
      <c r="N120" s="39"/>
      <c r="O120" s="39"/>
      <c r="P120" s="39"/>
      <c r="Q120" s="39"/>
      <c r="R120" s="39"/>
      <c r="S120" s="239"/>
      <c r="AE120" s="174"/>
    </row>
    <row r="121" ht="15.75" customHeight="1">
      <c r="C121" s="98"/>
      <c r="D121" s="98"/>
      <c r="E121" s="39"/>
      <c r="F121" s="39"/>
      <c r="G121" s="39"/>
      <c r="H121" s="39"/>
      <c r="I121" s="39"/>
      <c r="J121" s="39"/>
      <c r="K121" s="39"/>
      <c r="L121" s="39"/>
      <c r="M121" s="39"/>
      <c r="N121" s="39"/>
      <c r="O121" s="39"/>
      <c r="P121" s="39"/>
      <c r="Q121" s="39"/>
      <c r="R121" s="39"/>
      <c r="S121" s="239"/>
      <c r="AE121" s="174"/>
    </row>
    <row r="122" ht="15.75" customHeight="1">
      <c r="C122" s="98"/>
      <c r="D122" s="98"/>
      <c r="E122" s="39"/>
      <c r="F122" s="39"/>
      <c r="G122" s="39"/>
      <c r="H122" s="39"/>
      <c r="I122" s="39"/>
      <c r="J122" s="39"/>
      <c r="K122" s="39"/>
      <c r="L122" s="39"/>
      <c r="M122" s="39"/>
      <c r="N122" s="39"/>
      <c r="O122" s="39"/>
      <c r="P122" s="39"/>
      <c r="Q122" s="39"/>
      <c r="R122" s="39"/>
      <c r="S122" s="239"/>
      <c r="AE122" s="174"/>
    </row>
    <row r="123" ht="15.75" customHeight="1">
      <c r="C123" s="98"/>
      <c r="D123" s="98"/>
      <c r="E123" s="39"/>
      <c r="F123" s="39"/>
      <c r="G123" s="39"/>
      <c r="H123" s="39"/>
      <c r="I123" s="39"/>
      <c r="J123" s="39"/>
      <c r="K123" s="39"/>
      <c r="L123" s="39"/>
      <c r="M123" s="39"/>
      <c r="N123" s="39"/>
      <c r="O123" s="39"/>
      <c r="P123" s="39"/>
      <c r="Q123" s="39"/>
      <c r="R123" s="39"/>
      <c r="S123" s="239"/>
      <c r="AE123" s="174"/>
    </row>
    <row r="124" ht="15.75" customHeight="1">
      <c r="C124" s="98"/>
      <c r="D124" s="98"/>
      <c r="E124" s="39"/>
      <c r="F124" s="39"/>
      <c r="G124" s="39"/>
      <c r="H124" s="39"/>
      <c r="I124" s="39"/>
      <c r="J124" s="39"/>
      <c r="K124" s="39"/>
      <c r="L124" s="39"/>
      <c r="M124" s="39"/>
      <c r="N124" s="39"/>
      <c r="O124" s="39"/>
      <c r="P124" s="39"/>
      <c r="Q124" s="39"/>
      <c r="R124" s="39"/>
      <c r="S124" s="239"/>
      <c r="AE124" s="174"/>
    </row>
    <row r="125" ht="15.75" customHeight="1">
      <c r="C125" s="98"/>
      <c r="D125" s="98"/>
      <c r="E125" s="39"/>
      <c r="F125" s="39"/>
      <c r="G125" s="39"/>
      <c r="H125" s="39"/>
      <c r="I125" s="39"/>
      <c r="J125" s="39"/>
      <c r="K125" s="39"/>
      <c r="L125" s="39"/>
      <c r="M125" s="39"/>
      <c r="N125" s="39"/>
      <c r="O125" s="39"/>
      <c r="P125" s="39"/>
      <c r="Q125" s="39"/>
      <c r="R125" s="39"/>
      <c r="S125" s="239"/>
      <c r="AE125" s="174"/>
    </row>
    <row r="126" ht="15.75" customHeight="1">
      <c r="C126" s="98"/>
      <c r="D126" s="98"/>
      <c r="E126" s="39"/>
      <c r="F126" s="39"/>
      <c r="G126" s="39"/>
      <c r="H126" s="39"/>
      <c r="I126" s="39"/>
      <c r="J126" s="39"/>
      <c r="K126" s="39"/>
      <c r="L126" s="39"/>
      <c r="M126" s="39"/>
      <c r="N126" s="39"/>
      <c r="O126" s="39"/>
      <c r="P126" s="39"/>
      <c r="Q126" s="39"/>
      <c r="R126" s="39"/>
      <c r="S126" s="239"/>
      <c r="AE126" s="174"/>
    </row>
    <row r="127" ht="15.75" customHeight="1">
      <c r="C127" s="98"/>
      <c r="D127" s="98"/>
      <c r="E127" s="39"/>
      <c r="F127" s="39"/>
      <c r="G127" s="39"/>
      <c r="H127" s="39"/>
      <c r="I127" s="39"/>
      <c r="J127" s="39"/>
      <c r="K127" s="39"/>
      <c r="L127" s="39"/>
      <c r="M127" s="39"/>
      <c r="N127" s="39"/>
      <c r="O127" s="39"/>
      <c r="P127" s="39"/>
      <c r="Q127" s="39"/>
      <c r="R127" s="39"/>
      <c r="S127" s="239"/>
      <c r="AE127" s="174"/>
    </row>
    <row r="128" ht="15.75" customHeight="1">
      <c r="C128" s="98"/>
      <c r="D128" s="98"/>
      <c r="E128" s="39"/>
      <c r="F128" s="39"/>
      <c r="G128" s="39"/>
      <c r="H128" s="39"/>
      <c r="I128" s="39"/>
      <c r="J128" s="39"/>
      <c r="K128" s="39"/>
      <c r="L128" s="39"/>
      <c r="M128" s="39"/>
      <c r="N128" s="39"/>
      <c r="O128" s="39"/>
      <c r="P128" s="39"/>
      <c r="Q128" s="39"/>
      <c r="R128" s="39"/>
      <c r="S128" s="239"/>
      <c r="AE128" s="174"/>
    </row>
    <row r="129" ht="15.75" customHeight="1">
      <c r="C129" s="98"/>
      <c r="D129" s="98"/>
      <c r="E129" s="39"/>
      <c r="F129" s="39"/>
      <c r="G129" s="39"/>
      <c r="H129" s="39"/>
      <c r="I129" s="39"/>
      <c r="J129" s="39"/>
      <c r="K129" s="39"/>
      <c r="L129" s="39"/>
      <c r="M129" s="39"/>
      <c r="N129" s="39"/>
      <c r="O129" s="39"/>
      <c r="P129" s="39"/>
      <c r="Q129" s="39"/>
      <c r="R129" s="39"/>
      <c r="S129" s="239"/>
      <c r="AE129" s="174"/>
    </row>
    <row r="130" ht="15.75" customHeight="1">
      <c r="C130" s="98"/>
      <c r="D130" s="98"/>
      <c r="E130" s="39"/>
      <c r="F130" s="39"/>
      <c r="G130" s="39"/>
      <c r="H130" s="39"/>
      <c r="I130" s="39"/>
      <c r="J130" s="39"/>
      <c r="K130" s="39"/>
      <c r="L130" s="39"/>
      <c r="M130" s="39"/>
      <c r="N130" s="39"/>
      <c r="O130" s="39"/>
      <c r="P130" s="39"/>
      <c r="Q130" s="39"/>
      <c r="R130" s="39"/>
      <c r="S130" s="239"/>
      <c r="AE130" s="174"/>
    </row>
    <row r="131" ht="15.75" customHeight="1">
      <c r="C131" s="98"/>
      <c r="D131" s="98"/>
      <c r="E131" s="39"/>
      <c r="F131" s="39"/>
      <c r="G131" s="39"/>
      <c r="H131" s="39"/>
      <c r="I131" s="39"/>
      <c r="J131" s="39"/>
      <c r="K131" s="39"/>
      <c r="L131" s="39"/>
      <c r="M131" s="39"/>
      <c r="N131" s="39"/>
      <c r="O131" s="39"/>
      <c r="P131" s="39"/>
      <c r="Q131" s="39"/>
      <c r="R131" s="39"/>
      <c r="S131" s="239"/>
      <c r="AE131" s="174"/>
    </row>
    <row r="132" ht="15.75" customHeight="1">
      <c r="C132" s="98"/>
      <c r="D132" s="98"/>
      <c r="E132" s="39"/>
      <c r="F132" s="39"/>
      <c r="G132" s="39"/>
      <c r="H132" s="39"/>
      <c r="I132" s="39"/>
      <c r="J132" s="39"/>
      <c r="K132" s="39"/>
      <c r="L132" s="39"/>
      <c r="M132" s="39"/>
      <c r="N132" s="39"/>
      <c r="O132" s="39"/>
      <c r="P132" s="39"/>
      <c r="Q132" s="39"/>
      <c r="R132" s="39"/>
      <c r="S132" s="239"/>
      <c r="AE132" s="174"/>
    </row>
    <row r="133" ht="15.75" customHeight="1">
      <c r="C133" s="98"/>
      <c r="D133" s="98"/>
      <c r="E133" s="39"/>
      <c r="F133" s="39"/>
      <c r="G133" s="39"/>
      <c r="H133" s="39"/>
      <c r="I133" s="39"/>
      <c r="J133" s="39"/>
      <c r="K133" s="39"/>
      <c r="L133" s="39"/>
      <c r="M133" s="39"/>
      <c r="N133" s="39"/>
      <c r="O133" s="39"/>
      <c r="P133" s="39"/>
      <c r="Q133" s="39"/>
      <c r="R133" s="39"/>
      <c r="S133" s="239"/>
      <c r="AE133" s="174"/>
    </row>
    <row r="134" ht="15.75" customHeight="1">
      <c r="C134" s="98"/>
      <c r="D134" s="98"/>
      <c r="E134" s="39"/>
      <c r="F134" s="39"/>
      <c r="G134" s="39"/>
      <c r="H134" s="39"/>
      <c r="I134" s="39"/>
      <c r="J134" s="39"/>
      <c r="K134" s="39"/>
      <c r="L134" s="39"/>
      <c r="M134" s="39"/>
      <c r="N134" s="39"/>
      <c r="O134" s="39"/>
      <c r="P134" s="39"/>
      <c r="Q134" s="39"/>
      <c r="R134" s="39"/>
      <c r="S134" s="239"/>
      <c r="AE134" s="174"/>
    </row>
    <row r="135" ht="15.75" customHeight="1">
      <c r="C135" s="98"/>
      <c r="D135" s="98"/>
      <c r="E135" s="39"/>
      <c r="F135" s="39"/>
      <c r="G135" s="39"/>
      <c r="H135" s="39"/>
      <c r="I135" s="39"/>
      <c r="J135" s="39"/>
      <c r="K135" s="39"/>
      <c r="L135" s="39"/>
      <c r="M135" s="39"/>
      <c r="N135" s="39"/>
      <c r="O135" s="39"/>
      <c r="P135" s="39"/>
      <c r="Q135" s="39"/>
      <c r="R135" s="39"/>
      <c r="S135" s="239"/>
      <c r="AE135" s="174"/>
    </row>
    <row r="136" ht="15.75" customHeight="1">
      <c r="C136" s="98"/>
      <c r="D136" s="98"/>
      <c r="E136" s="39"/>
      <c r="F136" s="39"/>
      <c r="G136" s="39"/>
      <c r="H136" s="39"/>
      <c r="I136" s="39"/>
      <c r="J136" s="39"/>
      <c r="K136" s="39"/>
      <c r="L136" s="39"/>
      <c r="M136" s="39"/>
      <c r="N136" s="39"/>
      <c r="O136" s="39"/>
      <c r="P136" s="39"/>
      <c r="Q136" s="39"/>
      <c r="R136" s="39"/>
      <c r="S136" s="239"/>
      <c r="AE136" s="174"/>
    </row>
    <row r="137" ht="15.75" customHeight="1">
      <c r="C137" s="98"/>
      <c r="D137" s="98"/>
      <c r="E137" s="39"/>
      <c r="F137" s="39"/>
      <c r="G137" s="39"/>
      <c r="H137" s="39"/>
      <c r="I137" s="39"/>
      <c r="J137" s="39"/>
      <c r="K137" s="39"/>
      <c r="L137" s="39"/>
      <c r="M137" s="39"/>
      <c r="N137" s="39"/>
      <c r="O137" s="39"/>
      <c r="P137" s="39"/>
      <c r="Q137" s="39"/>
      <c r="R137" s="39"/>
      <c r="S137" s="239"/>
      <c r="AE137" s="174"/>
    </row>
    <row r="138" ht="15.75" customHeight="1">
      <c r="C138" s="98"/>
      <c r="D138" s="98"/>
      <c r="E138" s="39"/>
      <c r="F138" s="39"/>
      <c r="G138" s="39"/>
      <c r="H138" s="39"/>
      <c r="I138" s="39"/>
      <c r="J138" s="39"/>
      <c r="K138" s="39"/>
      <c r="L138" s="39"/>
      <c r="M138" s="39"/>
      <c r="N138" s="39"/>
      <c r="O138" s="39"/>
      <c r="P138" s="39"/>
      <c r="Q138" s="39"/>
      <c r="R138" s="39"/>
      <c r="S138" s="239"/>
      <c r="AE138" s="174"/>
    </row>
    <row r="139" ht="15.75" customHeight="1">
      <c r="C139" s="98"/>
      <c r="D139" s="98"/>
      <c r="E139" s="39"/>
      <c r="F139" s="39"/>
      <c r="G139" s="39"/>
      <c r="H139" s="39"/>
      <c r="I139" s="39"/>
      <c r="J139" s="39"/>
      <c r="K139" s="39"/>
      <c r="L139" s="39"/>
      <c r="M139" s="39"/>
      <c r="N139" s="39"/>
      <c r="O139" s="39"/>
      <c r="P139" s="39"/>
      <c r="Q139" s="39"/>
      <c r="R139" s="39"/>
      <c r="S139" s="239"/>
      <c r="AE139" s="174"/>
    </row>
    <row r="140" ht="15.75" customHeight="1">
      <c r="C140" s="98"/>
      <c r="D140" s="98"/>
      <c r="E140" s="39"/>
      <c r="F140" s="39"/>
      <c r="G140" s="39"/>
      <c r="H140" s="39"/>
      <c r="I140" s="39"/>
      <c r="J140" s="39"/>
      <c r="K140" s="39"/>
      <c r="L140" s="39"/>
      <c r="M140" s="39"/>
      <c r="N140" s="39"/>
      <c r="O140" s="39"/>
      <c r="P140" s="39"/>
      <c r="Q140" s="39"/>
      <c r="R140" s="39"/>
      <c r="S140" s="239"/>
      <c r="AE140" s="174"/>
    </row>
    <row r="141" ht="15.75" customHeight="1">
      <c r="C141" s="98"/>
      <c r="D141" s="98"/>
      <c r="E141" s="39"/>
      <c r="F141" s="39"/>
      <c r="G141" s="39"/>
      <c r="H141" s="39"/>
      <c r="I141" s="39"/>
      <c r="J141" s="39"/>
      <c r="K141" s="39"/>
      <c r="L141" s="39"/>
      <c r="M141" s="39"/>
      <c r="N141" s="39"/>
      <c r="O141" s="39"/>
      <c r="P141" s="39"/>
      <c r="Q141" s="39"/>
      <c r="R141" s="39"/>
      <c r="S141" s="239"/>
      <c r="AE141" s="174"/>
    </row>
    <row r="142" ht="15.75" customHeight="1">
      <c r="C142" s="98"/>
      <c r="D142" s="98"/>
      <c r="E142" s="39"/>
      <c r="F142" s="39"/>
      <c r="G142" s="39"/>
      <c r="H142" s="39"/>
      <c r="I142" s="39"/>
      <c r="J142" s="39"/>
      <c r="K142" s="39"/>
      <c r="L142" s="39"/>
      <c r="M142" s="39"/>
      <c r="N142" s="39"/>
      <c r="O142" s="39"/>
      <c r="P142" s="39"/>
      <c r="Q142" s="39"/>
      <c r="R142" s="39"/>
      <c r="S142" s="239"/>
      <c r="AE142" s="174"/>
    </row>
    <row r="143" ht="15.75" customHeight="1">
      <c r="C143" s="98"/>
      <c r="D143" s="98"/>
      <c r="E143" s="39"/>
      <c r="F143" s="39"/>
      <c r="G143" s="39"/>
      <c r="H143" s="39"/>
      <c r="I143" s="39"/>
      <c r="J143" s="39"/>
      <c r="K143" s="39"/>
      <c r="L143" s="39"/>
      <c r="M143" s="39"/>
      <c r="N143" s="39"/>
      <c r="O143" s="39"/>
      <c r="P143" s="39"/>
      <c r="Q143" s="39"/>
      <c r="R143" s="39"/>
      <c r="S143" s="239"/>
      <c r="AE143" s="174"/>
    </row>
    <row r="144" ht="15.75" customHeight="1">
      <c r="C144" s="98"/>
      <c r="D144" s="98"/>
      <c r="E144" s="39"/>
      <c r="F144" s="39"/>
      <c r="G144" s="39"/>
      <c r="H144" s="39"/>
      <c r="I144" s="39"/>
      <c r="J144" s="39"/>
      <c r="K144" s="39"/>
      <c r="L144" s="39"/>
      <c r="M144" s="39"/>
      <c r="N144" s="39"/>
      <c r="O144" s="39"/>
      <c r="P144" s="39"/>
      <c r="Q144" s="39"/>
      <c r="R144" s="39"/>
      <c r="S144" s="239"/>
      <c r="AE144" s="174"/>
    </row>
    <row r="145" ht="15.75" customHeight="1">
      <c r="C145" s="98"/>
      <c r="D145" s="98"/>
      <c r="E145" s="39"/>
      <c r="F145" s="39"/>
      <c r="G145" s="39"/>
      <c r="H145" s="39"/>
      <c r="I145" s="39"/>
      <c r="J145" s="39"/>
      <c r="K145" s="39"/>
      <c r="L145" s="39"/>
      <c r="M145" s="39"/>
      <c r="N145" s="39"/>
      <c r="O145" s="39"/>
      <c r="P145" s="39"/>
      <c r="Q145" s="39"/>
      <c r="R145" s="39"/>
      <c r="S145" s="239"/>
      <c r="AE145" s="174"/>
    </row>
    <row r="146" ht="15.75" customHeight="1">
      <c r="C146" s="98"/>
      <c r="D146" s="98"/>
      <c r="E146" s="39"/>
      <c r="F146" s="39"/>
      <c r="G146" s="39"/>
      <c r="H146" s="39"/>
      <c r="I146" s="39"/>
      <c r="J146" s="39"/>
      <c r="K146" s="39"/>
      <c r="L146" s="39"/>
      <c r="M146" s="39"/>
      <c r="N146" s="39"/>
      <c r="O146" s="39"/>
      <c r="P146" s="39"/>
      <c r="Q146" s="39"/>
      <c r="R146" s="39"/>
      <c r="S146" s="239"/>
      <c r="AE146" s="174"/>
    </row>
    <row r="147" ht="15.75" customHeight="1">
      <c r="C147" s="98"/>
      <c r="D147" s="98"/>
      <c r="E147" s="39"/>
      <c r="F147" s="39"/>
      <c r="G147" s="39"/>
      <c r="H147" s="39"/>
      <c r="I147" s="39"/>
      <c r="J147" s="39"/>
      <c r="K147" s="39"/>
      <c r="L147" s="39"/>
      <c r="M147" s="39"/>
      <c r="N147" s="39"/>
      <c r="O147" s="39"/>
      <c r="P147" s="39"/>
      <c r="Q147" s="39"/>
      <c r="R147" s="39"/>
      <c r="S147" s="239"/>
      <c r="AE147" s="174"/>
    </row>
    <row r="148" ht="15.75" customHeight="1">
      <c r="C148" s="98"/>
      <c r="D148" s="98"/>
      <c r="E148" s="39"/>
      <c r="F148" s="39"/>
      <c r="G148" s="39"/>
      <c r="H148" s="39"/>
      <c r="I148" s="39"/>
      <c r="J148" s="39"/>
      <c r="K148" s="39"/>
      <c r="L148" s="39"/>
      <c r="M148" s="39"/>
      <c r="N148" s="39"/>
      <c r="O148" s="39"/>
      <c r="P148" s="39"/>
      <c r="Q148" s="39"/>
      <c r="R148" s="39"/>
      <c r="S148" s="239"/>
      <c r="AE148" s="174"/>
    </row>
    <row r="149" ht="15.75" customHeight="1">
      <c r="C149" s="98"/>
      <c r="D149" s="98"/>
      <c r="E149" s="39"/>
      <c r="F149" s="39"/>
      <c r="G149" s="39"/>
      <c r="H149" s="39"/>
      <c r="I149" s="39"/>
      <c r="J149" s="39"/>
      <c r="K149" s="39"/>
      <c r="L149" s="39"/>
      <c r="M149" s="39"/>
      <c r="N149" s="39"/>
      <c r="O149" s="39"/>
      <c r="P149" s="39"/>
      <c r="Q149" s="39"/>
      <c r="R149" s="39"/>
      <c r="S149" s="239"/>
      <c r="AE149" s="174"/>
    </row>
    <row r="150" ht="15.75" customHeight="1">
      <c r="C150" s="98"/>
      <c r="D150" s="98"/>
      <c r="E150" s="39"/>
      <c r="F150" s="39"/>
      <c r="G150" s="39"/>
      <c r="H150" s="39"/>
      <c r="I150" s="39"/>
      <c r="J150" s="39"/>
      <c r="K150" s="39"/>
      <c r="L150" s="39"/>
      <c r="M150" s="39"/>
      <c r="N150" s="39"/>
      <c r="O150" s="39"/>
      <c r="P150" s="39"/>
      <c r="Q150" s="39"/>
      <c r="R150" s="39"/>
      <c r="S150" s="239"/>
      <c r="AE150" s="174"/>
    </row>
    <row r="151" ht="15.75" customHeight="1">
      <c r="C151" s="98"/>
      <c r="D151" s="98"/>
      <c r="E151" s="39"/>
      <c r="F151" s="39"/>
      <c r="G151" s="39"/>
      <c r="H151" s="39"/>
      <c r="I151" s="39"/>
      <c r="J151" s="39"/>
      <c r="K151" s="39"/>
      <c r="L151" s="39"/>
      <c r="M151" s="39"/>
      <c r="N151" s="39"/>
      <c r="O151" s="39"/>
      <c r="P151" s="39"/>
      <c r="Q151" s="39"/>
      <c r="R151" s="39"/>
      <c r="S151" s="239"/>
      <c r="AE151" s="174"/>
    </row>
    <row r="152" ht="15.75" customHeight="1">
      <c r="C152" s="98"/>
      <c r="D152" s="98"/>
      <c r="E152" s="39"/>
      <c r="F152" s="39"/>
      <c r="G152" s="39"/>
      <c r="H152" s="39"/>
      <c r="I152" s="39"/>
      <c r="J152" s="39"/>
      <c r="K152" s="39"/>
      <c r="L152" s="39"/>
      <c r="M152" s="39"/>
      <c r="N152" s="39"/>
      <c r="O152" s="39"/>
      <c r="P152" s="39"/>
      <c r="Q152" s="39"/>
      <c r="R152" s="39"/>
      <c r="S152" s="239"/>
      <c r="AE152" s="174"/>
    </row>
    <row r="153" ht="15.75" customHeight="1">
      <c r="C153" s="98"/>
      <c r="D153" s="98"/>
      <c r="E153" s="39"/>
      <c r="F153" s="39"/>
      <c r="G153" s="39"/>
      <c r="H153" s="39"/>
      <c r="I153" s="39"/>
      <c r="J153" s="39"/>
      <c r="K153" s="39"/>
      <c r="L153" s="39"/>
      <c r="M153" s="39"/>
      <c r="N153" s="39"/>
      <c r="O153" s="39"/>
      <c r="P153" s="39"/>
      <c r="Q153" s="39"/>
      <c r="R153" s="39"/>
      <c r="S153" s="239"/>
      <c r="AE153" s="174"/>
    </row>
    <row r="154" ht="15.75" customHeight="1">
      <c r="C154" s="98"/>
      <c r="D154" s="98"/>
      <c r="E154" s="39"/>
      <c r="F154" s="39"/>
      <c r="G154" s="39"/>
      <c r="H154" s="39"/>
      <c r="I154" s="39"/>
      <c r="J154" s="39"/>
      <c r="K154" s="39"/>
      <c r="L154" s="39"/>
      <c r="M154" s="39"/>
      <c r="N154" s="39"/>
      <c r="O154" s="39"/>
      <c r="P154" s="39"/>
      <c r="Q154" s="39"/>
      <c r="R154" s="39"/>
      <c r="S154" s="239"/>
      <c r="AE154" s="174"/>
    </row>
    <row r="155" ht="15.75" customHeight="1">
      <c r="C155" s="98"/>
      <c r="D155" s="98"/>
      <c r="E155" s="39"/>
      <c r="F155" s="39"/>
      <c r="G155" s="39"/>
      <c r="H155" s="39"/>
      <c r="I155" s="39"/>
      <c r="J155" s="39"/>
      <c r="K155" s="39"/>
      <c r="L155" s="39"/>
      <c r="M155" s="39"/>
      <c r="N155" s="39"/>
      <c r="O155" s="39"/>
      <c r="P155" s="39"/>
      <c r="Q155" s="39"/>
      <c r="R155" s="39"/>
      <c r="S155" s="239"/>
      <c r="AE155" s="174"/>
    </row>
    <row r="156" ht="15.75" customHeight="1">
      <c r="C156" s="98"/>
      <c r="D156" s="98"/>
      <c r="E156" s="39"/>
      <c r="F156" s="39"/>
      <c r="G156" s="39"/>
      <c r="H156" s="39"/>
      <c r="I156" s="39"/>
      <c r="J156" s="39"/>
      <c r="K156" s="39"/>
      <c r="L156" s="39"/>
      <c r="M156" s="39"/>
      <c r="N156" s="39"/>
      <c r="O156" s="39"/>
      <c r="P156" s="39"/>
      <c r="Q156" s="39"/>
      <c r="R156" s="39"/>
      <c r="S156" s="239"/>
      <c r="AE156" s="174"/>
    </row>
    <row r="157" ht="15.75" customHeight="1">
      <c r="C157" s="98"/>
      <c r="D157" s="98"/>
      <c r="E157" s="39"/>
      <c r="F157" s="39"/>
      <c r="G157" s="39"/>
      <c r="H157" s="39"/>
      <c r="I157" s="39"/>
      <c r="J157" s="39"/>
      <c r="K157" s="39"/>
      <c r="L157" s="39"/>
      <c r="M157" s="39"/>
      <c r="N157" s="39"/>
      <c r="O157" s="39"/>
      <c r="P157" s="39"/>
      <c r="Q157" s="39"/>
      <c r="R157" s="39"/>
      <c r="S157" s="239"/>
      <c r="AE157" s="174"/>
    </row>
    <row r="158" ht="15.75" customHeight="1">
      <c r="C158" s="98"/>
      <c r="D158" s="98"/>
      <c r="E158" s="39"/>
      <c r="F158" s="39"/>
      <c r="G158" s="39"/>
      <c r="H158" s="39"/>
      <c r="I158" s="39"/>
      <c r="J158" s="39"/>
      <c r="K158" s="39"/>
      <c r="L158" s="39"/>
      <c r="M158" s="39"/>
      <c r="N158" s="39"/>
      <c r="O158" s="39"/>
      <c r="P158" s="39"/>
      <c r="Q158" s="39"/>
      <c r="R158" s="39"/>
      <c r="S158" s="239"/>
      <c r="AE158" s="174"/>
    </row>
    <row r="159" ht="15.75" customHeight="1">
      <c r="C159" s="98"/>
      <c r="D159" s="98"/>
      <c r="E159" s="39"/>
      <c r="F159" s="39"/>
      <c r="G159" s="39"/>
      <c r="H159" s="39"/>
      <c r="I159" s="39"/>
      <c r="J159" s="39"/>
      <c r="K159" s="39"/>
      <c r="L159" s="39"/>
      <c r="M159" s="39"/>
      <c r="N159" s="39"/>
      <c r="O159" s="39"/>
      <c r="P159" s="39"/>
      <c r="Q159" s="39"/>
      <c r="R159" s="39"/>
      <c r="S159" s="239"/>
      <c r="AE159" s="174"/>
    </row>
    <row r="160" ht="15.75" customHeight="1">
      <c r="C160" s="98"/>
      <c r="D160" s="98"/>
      <c r="E160" s="39"/>
      <c r="F160" s="39"/>
      <c r="G160" s="39"/>
      <c r="H160" s="39"/>
      <c r="I160" s="39"/>
      <c r="J160" s="39"/>
      <c r="K160" s="39"/>
      <c r="L160" s="39"/>
      <c r="M160" s="39"/>
      <c r="N160" s="39"/>
      <c r="O160" s="39"/>
      <c r="P160" s="39"/>
      <c r="Q160" s="39"/>
      <c r="R160" s="39"/>
      <c r="S160" s="239"/>
      <c r="AE160" s="174"/>
    </row>
    <row r="161" ht="15.75" customHeight="1">
      <c r="C161" s="98"/>
      <c r="D161" s="98"/>
      <c r="E161" s="39"/>
      <c r="F161" s="39"/>
      <c r="G161" s="39"/>
      <c r="H161" s="39"/>
      <c r="I161" s="39"/>
      <c r="J161" s="39"/>
      <c r="K161" s="39"/>
      <c r="L161" s="39"/>
      <c r="M161" s="39"/>
      <c r="N161" s="39"/>
      <c r="O161" s="39"/>
      <c r="P161" s="39"/>
      <c r="Q161" s="39"/>
      <c r="R161" s="39"/>
      <c r="S161" s="239"/>
      <c r="AE161" s="174"/>
    </row>
    <row r="162" ht="15.75" customHeight="1">
      <c r="C162" s="98"/>
      <c r="D162" s="98"/>
      <c r="E162" s="39"/>
      <c r="F162" s="39"/>
      <c r="G162" s="39"/>
      <c r="H162" s="39"/>
      <c r="I162" s="39"/>
      <c r="J162" s="39"/>
      <c r="K162" s="39"/>
      <c r="L162" s="39"/>
      <c r="M162" s="39"/>
      <c r="N162" s="39"/>
      <c r="O162" s="39"/>
      <c r="P162" s="39"/>
      <c r="Q162" s="39"/>
      <c r="R162" s="39"/>
      <c r="S162" s="239"/>
      <c r="AE162" s="174"/>
    </row>
    <row r="163" ht="15.75" customHeight="1">
      <c r="C163" s="98"/>
      <c r="D163" s="98"/>
      <c r="E163" s="39"/>
      <c r="F163" s="39"/>
      <c r="G163" s="39"/>
      <c r="H163" s="39"/>
      <c r="I163" s="39"/>
      <c r="J163" s="39"/>
      <c r="K163" s="39"/>
      <c r="L163" s="39"/>
      <c r="M163" s="39"/>
      <c r="N163" s="39"/>
      <c r="O163" s="39"/>
      <c r="P163" s="39"/>
      <c r="Q163" s="39"/>
      <c r="R163" s="39"/>
      <c r="S163" s="239"/>
      <c r="AE163" s="174"/>
    </row>
    <row r="164" ht="15.75" customHeight="1">
      <c r="C164" s="98"/>
      <c r="D164" s="98"/>
      <c r="E164" s="39"/>
      <c r="F164" s="39"/>
      <c r="G164" s="39"/>
      <c r="H164" s="39"/>
      <c r="I164" s="39"/>
      <c r="J164" s="39"/>
      <c r="K164" s="39"/>
      <c r="L164" s="39"/>
      <c r="M164" s="39"/>
      <c r="N164" s="39"/>
      <c r="O164" s="39"/>
      <c r="P164" s="39"/>
      <c r="Q164" s="39"/>
      <c r="R164" s="39"/>
      <c r="S164" s="239"/>
      <c r="AE164" s="174"/>
    </row>
    <row r="165" ht="15.75" customHeight="1">
      <c r="C165" s="98"/>
      <c r="D165" s="98"/>
      <c r="E165" s="39"/>
      <c r="F165" s="39"/>
      <c r="G165" s="39"/>
      <c r="H165" s="39"/>
      <c r="I165" s="39"/>
      <c r="J165" s="39"/>
      <c r="K165" s="39"/>
      <c r="L165" s="39"/>
      <c r="M165" s="39"/>
      <c r="N165" s="39"/>
      <c r="O165" s="39"/>
      <c r="P165" s="39"/>
      <c r="Q165" s="39"/>
      <c r="R165" s="39"/>
      <c r="S165" s="239"/>
      <c r="AE165" s="174"/>
    </row>
    <row r="166" ht="15.75" customHeight="1">
      <c r="C166" s="98"/>
      <c r="D166" s="98"/>
      <c r="E166" s="39"/>
      <c r="F166" s="39"/>
      <c r="G166" s="39"/>
      <c r="H166" s="39"/>
      <c r="I166" s="39"/>
      <c r="J166" s="39"/>
      <c r="K166" s="39"/>
      <c r="L166" s="39"/>
      <c r="M166" s="39"/>
      <c r="N166" s="39"/>
      <c r="O166" s="39"/>
      <c r="P166" s="39"/>
      <c r="Q166" s="39"/>
      <c r="R166" s="39"/>
      <c r="S166" s="239"/>
      <c r="AE166" s="174"/>
    </row>
    <row r="167" ht="15.75" customHeight="1">
      <c r="C167" s="98"/>
      <c r="D167" s="98"/>
      <c r="E167" s="39"/>
      <c r="F167" s="39"/>
      <c r="G167" s="39"/>
      <c r="H167" s="39"/>
      <c r="I167" s="39"/>
      <c r="J167" s="39"/>
      <c r="K167" s="39"/>
      <c r="L167" s="39"/>
      <c r="M167" s="39"/>
      <c r="N167" s="39"/>
      <c r="O167" s="39"/>
      <c r="P167" s="39"/>
      <c r="Q167" s="39"/>
      <c r="R167" s="39"/>
      <c r="S167" s="239"/>
      <c r="AE167" s="174"/>
    </row>
    <row r="168" ht="15.75" customHeight="1">
      <c r="C168" s="98"/>
      <c r="D168" s="98"/>
      <c r="E168" s="39"/>
      <c r="F168" s="39"/>
      <c r="G168" s="39"/>
      <c r="H168" s="39"/>
      <c r="I168" s="39"/>
      <c r="J168" s="39"/>
      <c r="K168" s="39"/>
      <c r="L168" s="39"/>
      <c r="M168" s="39"/>
      <c r="N168" s="39"/>
      <c r="O168" s="39"/>
      <c r="P168" s="39"/>
      <c r="Q168" s="39"/>
      <c r="R168" s="39"/>
      <c r="S168" s="239"/>
      <c r="AE168" s="174"/>
    </row>
    <row r="169" ht="15.75" customHeight="1">
      <c r="C169" s="98"/>
      <c r="D169" s="98"/>
      <c r="E169" s="39"/>
      <c r="F169" s="39"/>
      <c r="G169" s="39"/>
      <c r="H169" s="39"/>
      <c r="I169" s="39"/>
      <c r="J169" s="39"/>
      <c r="K169" s="39"/>
      <c r="L169" s="39"/>
      <c r="M169" s="39"/>
      <c r="N169" s="39"/>
      <c r="O169" s="39"/>
      <c r="P169" s="39"/>
      <c r="Q169" s="39"/>
      <c r="R169" s="39"/>
      <c r="S169" s="239"/>
      <c r="AE169" s="174"/>
    </row>
    <row r="170" ht="15.75" customHeight="1">
      <c r="C170" s="98"/>
      <c r="D170" s="98"/>
      <c r="E170" s="39"/>
      <c r="F170" s="39"/>
      <c r="G170" s="39"/>
      <c r="H170" s="39"/>
      <c r="I170" s="39"/>
      <c r="J170" s="39"/>
      <c r="K170" s="39"/>
      <c r="L170" s="39"/>
      <c r="M170" s="39"/>
      <c r="N170" s="39"/>
      <c r="O170" s="39"/>
      <c r="P170" s="39"/>
      <c r="Q170" s="39"/>
      <c r="R170" s="39"/>
      <c r="S170" s="239"/>
      <c r="AE170" s="174"/>
    </row>
    <row r="171" ht="15.75" customHeight="1">
      <c r="C171" s="98"/>
      <c r="D171" s="98"/>
      <c r="E171" s="39"/>
      <c r="F171" s="39"/>
      <c r="G171" s="39"/>
      <c r="H171" s="39"/>
      <c r="I171" s="39"/>
      <c r="J171" s="39"/>
      <c r="K171" s="39"/>
      <c r="L171" s="39"/>
      <c r="M171" s="39"/>
      <c r="N171" s="39"/>
      <c r="O171" s="39"/>
      <c r="P171" s="39"/>
      <c r="Q171" s="39"/>
      <c r="R171" s="39"/>
      <c r="S171" s="239"/>
      <c r="AE171" s="174"/>
    </row>
    <row r="172" ht="15.75" customHeight="1">
      <c r="C172" s="98"/>
      <c r="D172" s="98"/>
      <c r="E172" s="39"/>
      <c r="F172" s="39"/>
      <c r="G172" s="39"/>
      <c r="H172" s="39"/>
      <c r="I172" s="39"/>
      <c r="J172" s="39"/>
      <c r="K172" s="39"/>
      <c r="L172" s="39"/>
      <c r="M172" s="39"/>
      <c r="N172" s="39"/>
      <c r="O172" s="39"/>
      <c r="P172" s="39"/>
      <c r="Q172" s="39"/>
      <c r="R172" s="39"/>
      <c r="S172" s="239"/>
      <c r="AE172" s="174"/>
    </row>
    <row r="173" ht="15.75" customHeight="1">
      <c r="C173" s="98"/>
      <c r="D173" s="98"/>
      <c r="E173" s="39"/>
      <c r="F173" s="39"/>
      <c r="G173" s="39"/>
      <c r="H173" s="39"/>
      <c r="I173" s="39"/>
      <c r="J173" s="39"/>
      <c r="K173" s="39"/>
      <c r="L173" s="39"/>
      <c r="M173" s="39"/>
      <c r="N173" s="39"/>
      <c r="O173" s="39"/>
      <c r="P173" s="39"/>
      <c r="Q173" s="39"/>
      <c r="R173" s="39"/>
      <c r="S173" s="239"/>
      <c r="AE173" s="174"/>
    </row>
    <row r="174" ht="15.75" customHeight="1">
      <c r="C174" s="98"/>
      <c r="D174" s="98"/>
      <c r="E174" s="39"/>
      <c r="F174" s="39"/>
      <c r="G174" s="39"/>
      <c r="H174" s="39"/>
      <c r="I174" s="39"/>
      <c r="J174" s="39"/>
      <c r="K174" s="39"/>
      <c r="L174" s="39"/>
      <c r="M174" s="39"/>
      <c r="N174" s="39"/>
      <c r="O174" s="39"/>
      <c r="P174" s="39"/>
      <c r="Q174" s="39"/>
      <c r="R174" s="39"/>
      <c r="S174" s="239"/>
      <c r="AE174" s="174"/>
    </row>
    <row r="175" ht="15.75" customHeight="1">
      <c r="C175" s="98"/>
      <c r="D175" s="98"/>
      <c r="E175" s="39"/>
      <c r="F175" s="39"/>
      <c r="G175" s="39"/>
      <c r="H175" s="39"/>
      <c r="I175" s="39"/>
      <c r="J175" s="39"/>
      <c r="K175" s="39"/>
      <c r="L175" s="39"/>
      <c r="M175" s="39"/>
      <c r="N175" s="39"/>
      <c r="O175" s="39"/>
      <c r="P175" s="39"/>
      <c r="Q175" s="39"/>
      <c r="R175" s="39"/>
      <c r="S175" s="239"/>
      <c r="AE175" s="174"/>
    </row>
    <row r="176" ht="15.75" customHeight="1">
      <c r="C176" s="98"/>
      <c r="D176" s="98"/>
      <c r="E176" s="39"/>
      <c r="F176" s="39"/>
      <c r="G176" s="39"/>
      <c r="H176" s="39"/>
      <c r="I176" s="39"/>
      <c r="J176" s="39"/>
      <c r="K176" s="39"/>
      <c r="L176" s="39"/>
      <c r="M176" s="39"/>
      <c r="N176" s="39"/>
      <c r="O176" s="39"/>
      <c r="P176" s="39"/>
      <c r="Q176" s="39"/>
      <c r="R176" s="39"/>
      <c r="S176" s="239"/>
      <c r="AE176" s="174"/>
    </row>
    <row r="177" ht="15.75" customHeight="1">
      <c r="C177" s="98"/>
      <c r="D177" s="98"/>
      <c r="E177" s="39"/>
      <c r="F177" s="39"/>
      <c r="G177" s="39"/>
      <c r="H177" s="39"/>
      <c r="I177" s="39"/>
      <c r="J177" s="39"/>
      <c r="K177" s="39"/>
      <c r="L177" s="39"/>
      <c r="M177" s="39"/>
      <c r="N177" s="39"/>
      <c r="O177" s="39"/>
      <c r="P177" s="39"/>
      <c r="Q177" s="39"/>
      <c r="R177" s="39"/>
      <c r="S177" s="239"/>
      <c r="AE177" s="174"/>
    </row>
    <row r="178" ht="15.75" customHeight="1">
      <c r="C178" s="98"/>
      <c r="D178" s="98"/>
      <c r="E178" s="39"/>
      <c r="F178" s="39"/>
      <c r="G178" s="39"/>
      <c r="H178" s="39"/>
      <c r="I178" s="39"/>
      <c r="J178" s="39"/>
      <c r="K178" s="39"/>
      <c r="L178" s="39"/>
      <c r="M178" s="39"/>
      <c r="N178" s="39"/>
      <c r="O178" s="39"/>
      <c r="P178" s="39"/>
      <c r="Q178" s="39"/>
      <c r="R178" s="39"/>
      <c r="S178" s="239"/>
      <c r="AE178" s="174"/>
    </row>
    <row r="179" ht="15.75" customHeight="1">
      <c r="C179" s="98"/>
      <c r="D179" s="98"/>
      <c r="E179" s="39"/>
      <c r="F179" s="39"/>
      <c r="G179" s="39"/>
      <c r="H179" s="39"/>
      <c r="I179" s="39"/>
      <c r="J179" s="39"/>
      <c r="K179" s="39"/>
      <c r="L179" s="39"/>
      <c r="M179" s="39"/>
      <c r="N179" s="39"/>
      <c r="O179" s="39"/>
      <c r="P179" s="39"/>
      <c r="Q179" s="39"/>
      <c r="R179" s="39"/>
      <c r="S179" s="239"/>
      <c r="AE179" s="174"/>
    </row>
    <row r="180" ht="15.75" customHeight="1">
      <c r="C180" s="98"/>
      <c r="D180" s="98"/>
      <c r="E180" s="39"/>
      <c r="F180" s="39"/>
      <c r="G180" s="39"/>
      <c r="H180" s="39"/>
      <c r="I180" s="39"/>
      <c r="J180" s="39"/>
      <c r="K180" s="39"/>
      <c r="L180" s="39"/>
      <c r="M180" s="39"/>
      <c r="N180" s="39"/>
      <c r="O180" s="39"/>
      <c r="P180" s="39"/>
      <c r="Q180" s="39"/>
      <c r="R180" s="39"/>
      <c r="S180" s="239"/>
      <c r="AE180" s="174"/>
    </row>
    <row r="181" ht="15.75" customHeight="1">
      <c r="C181" s="98"/>
      <c r="D181" s="98"/>
      <c r="E181" s="39"/>
      <c r="F181" s="39"/>
      <c r="G181" s="39"/>
      <c r="H181" s="39"/>
      <c r="I181" s="39"/>
      <c r="J181" s="39"/>
      <c r="K181" s="39"/>
      <c r="L181" s="39"/>
      <c r="M181" s="39"/>
      <c r="N181" s="39"/>
      <c r="O181" s="39"/>
      <c r="P181" s="39"/>
      <c r="Q181" s="39"/>
      <c r="R181" s="39"/>
      <c r="S181" s="239"/>
      <c r="AE181" s="174"/>
    </row>
    <row r="182" ht="15.75" customHeight="1">
      <c r="C182" s="98"/>
      <c r="D182" s="98"/>
      <c r="E182" s="39"/>
      <c r="F182" s="39"/>
      <c r="G182" s="39"/>
      <c r="H182" s="39"/>
      <c r="I182" s="39"/>
      <c r="J182" s="39"/>
      <c r="K182" s="39"/>
      <c r="L182" s="39"/>
      <c r="M182" s="39"/>
      <c r="N182" s="39"/>
      <c r="O182" s="39"/>
      <c r="P182" s="39"/>
      <c r="Q182" s="39"/>
      <c r="R182" s="39"/>
      <c r="S182" s="239"/>
      <c r="AE182" s="174"/>
    </row>
    <row r="183" ht="15.75" customHeight="1">
      <c r="C183" s="98"/>
      <c r="D183" s="98"/>
      <c r="E183" s="39"/>
      <c r="F183" s="39"/>
      <c r="G183" s="39"/>
      <c r="H183" s="39"/>
      <c r="I183" s="39"/>
      <c r="J183" s="39"/>
      <c r="K183" s="39"/>
      <c r="L183" s="39"/>
      <c r="M183" s="39"/>
      <c r="N183" s="39"/>
      <c r="O183" s="39"/>
      <c r="P183" s="39"/>
      <c r="Q183" s="39"/>
      <c r="R183" s="39"/>
      <c r="S183" s="239"/>
      <c r="AE183" s="174"/>
    </row>
    <row r="184" ht="15.75" customHeight="1">
      <c r="C184" s="98"/>
      <c r="D184" s="98"/>
      <c r="E184" s="39"/>
      <c r="F184" s="39"/>
      <c r="G184" s="39"/>
      <c r="H184" s="39"/>
      <c r="I184" s="39"/>
      <c r="J184" s="39"/>
      <c r="K184" s="39"/>
      <c r="L184" s="39"/>
      <c r="M184" s="39"/>
      <c r="N184" s="39"/>
      <c r="O184" s="39"/>
      <c r="P184" s="39"/>
      <c r="Q184" s="39"/>
      <c r="R184" s="39"/>
      <c r="S184" s="239"/>
      <c r="AE184" s="174"/>
    </row>
    <row r="185" ht="15.75" customHeight="1">
      <c r="C185" s="98"/>
      <c r="D185" s="98"/>
      <c r="E185" s="39"/>
      <c r="F185" s="39"/>
      <c r="G185" s="39"/>
      <c r="H185" s="39"/>
      <c r="I185" s="39"/>
      <c r="J185" s="39"/>
      <c r="K185" s="39"/>
      <c r="L185" s="39"/>
      <c r="M185" s="39"/>
      <c r="N185" s="39"/>
      <c r="O185" s="39"/>
      <c r="P185" s="39"/>
      <c r="Q185" s="39"/>
      <c r="R185" s="39"/>
      <c r="S185" s="239"/>
      <c r="AE185" s="174"/>
    </row>
    <row r="186" ht="15.75" customHeight="1">
      <c r="C186" s="98"/>
      <c r="D186" s="98"/>
      <c r="E186" s="39"/>
      <c r="F186" s="39"/>
      <c r="G186" s="39"/>
      <c r="H186" s="39"/>
      <c r="I186" s="39"/>
      <c r="J186" s="39"/>
      <c r="K186" s="39"/>
      <c r="L186" s="39"/>
      <c r="M186" s="39"/>
      <c r="N186" s="39"/>
      <c r="O186" s="39"/>
      <c r="P186" s="39"/>
      <c r="Q186" s="39"/>
      <c r="R186" s="39"/>
      <c r="S186" s="239"/>
      <c r="AE186" s="174"/>
    </row>
    <row r="187" ht="15.75" customHeight="1">
      <c r="C187" s="98"/>
      <c r="D187" s="98"/>
      <c r="E187" s="39"/>
      <c r="F187" s="39"/>
      <c r="G187" s="39"/>
      <c r="H187" s="39"/>
      <c r="I187" s="39"/>
      <c r="J187" s="39"/>
      <c r="K187" s="39"/>
      <c r="L187" s="39"/>
      <c r="M187" s="39"/>
      <c r="N187" s="39"/>
      <c r="O187" s="39"/>
      <c r="P187" s="39"/>
      <c r="Q187" s="39"/>
      <c r="R187" s="39"/>
      <c r="S187" s="239"/>
      <c r="AE187" s="174"/>
    </row>
    <row r="188" ht="15.75" customHeight="1">
      <c r="C188" s="98"/>
      <c r="D188" s="98"/>
      <c r="E188" s="39"/>
      <c r="F188" s="39"/>
      <c r="G188" s="39"/>
      <c r="H188" s="39"/>
      <c r="I188" s="39"/>
      <c r="J188" s="39"/>
      <c r="K188" s="39"/>
      <c r="L188" s="39"/>
      <c r="M188" s="39"/>
      <c r="N188" s="39"/>
      <c r="O188" s="39"/>
      <c r="P188" s="39"/>
      <c r="Q188" s="39"/>
      <c r="R188" s="39"/>
      <c r="S188" s="239"/>
      <c r="AE188" s="174"/>
    </row>
    <row r="189" ht="15.75" customHeight="1">
      <c r="C189" s="98"/>
      <c r="D189" s="98"/>
      <c r="E189" s="39"/>
      <c r="F189" s="39"/>
      <c r="G189" s="39"/>
      <c r="H189" s="39"/>
      <c r="I189" s="39"/>
      <c r="J189" s="39"/>
      <c r="K189" s="39"/>
      <c r="L189" s="39"/>
      <c r="M189" s="39"/>
      <c r="N189" s="39"/>
      <c r="O189" s="39"/>
      <c r="P189" s="39"/>
      <c r="Q189" s="39"/>
      <c r="R189" s="39"/>
      <c r="S189" s="239"/>
      <c r="AE189" s="174"/>
    </row>
    <row r="190" ht="15.75" customHeight="1">
      <c r="C190" s="98"/>
      <c r="D190" s="98"/>
      <c r="E190" s="39"/>
      <c r="F190" s="39"/>
      <c r="G190" s="39"/>
      <c r="H190" s="39"/>
      <c r="I190" s="39"/>
      <c r="J190" s="39"/>
      <c r="K190" s="39"/>
      <c r="L190" s="39"/>
      <c r="M190" s="39"/>
      <c r="N190" s="39"/>
      <c r="O190" s="39"/>
      <c r="P190" s="39"/>
      <c r="Q190" s="39"/>
      <c r="R190" s="39"/>
      <c r="S190" s="239"/>
      <c r="AE190" s="174"/>
    </row>
    <row r="191" ht="15.75" customHeight="1">
      <c r="C191" s="98"/>
      <c r="D191" s="98"/>
      <c r="E191" s="39"/>
      <c r="F191" s="39"/>
      <c r="G191" s="39"/>
      <c r="H191" s="39"/>
      <c r="I191" s="39"/>
      <c r="J191" s="39"/>
      <c r="K191" s="39"/>
      <c r="L191" s="39"/>
      <c r="M191" s="39"/>
      <c r="N191" s="39"/>
      <c r="O191" s="39"/>
      <c r="P191" s="39"/>
      <c r="Q191" s="39"/>
      <c r="R191" s="39"/>
      <c r="S191" s="239"/>
      <c r="AE191" s="174"/>
    </row>
    <row r="192" ht="15.75" customHeight="1">
      <c r="C192" s="98"/>
      <c r="D192" s="98"/>
      <c r="E192" s="39"/>
      <c r="F192" s="39"/>
      <c r="G192" s="39"/>
      <c r="H192" s="39"/>
      <c r="I192" s="39"/>
      <c r="J192" s="39"/>
      <c r="K192" s="39"/>
      <c r="L192" s="39"/>
      <c r="M192" s="39"/>
      <c r="N192" s="39"/>
      <c r="O192" s="39"/>
      <c r="P192" s="39"/>
      <c r="Q192" s="39"/>
      <c r="R192" s="39"/>
      <c r="S192" s="239"/>
      <c r="AE192" s="174"/>
    </row>
    <row r="193" ht="15.75" customHeight="1">
      <c r="C193" s="98"/>
      <c r="D193" s="98"/>
      <c r="E193" s="39"/>
      <c r="F193" s="39"/>
      <c r="G193" s="39"/>
      <c r="H193" s="39"/>
      <c r="I193" s="39"/>
      <c r="J193" s="39"/>
      <c r="K193" s="39"/>
      <c r="L193" s="39"/>
      <c r="M193" s="39"/>
      <c r="N193" s="39"/>
      <c r="O193" s="39"/>
      <c r="P193" s="39"/>
      <c r="Q193" s="39"/>
      <c r="R193" s="39"/>
      <c r="S193" s="239"/>
      <c r="AE193" s="174"/>
    </row>
    <row r="194" ht="15.75" customHeight="1">
      <c r="C194" s="98"/>
      <c r="D194" s="98"/>
      <c r="E194" s="39"/>
      <c r="F194" s="39"/>
      <c r="G194" s="39"/>
      <c r="H194" s="39"/>
      <c r="I194" s="39"/>
      <c r="J194" s="39"/>
      <c r="K194" s="39"/>
      <c r="L194" s="39"/>
      <c r="M194" s="39"/>
      <c r="N194" s="39"/>
      <c r="O194" s="39"/>
      <c r="P194" s="39"/>
      <c r="Q194" s="39"/>
      <c r="R194" s="39"/>
      <c r="S194" s="239"/>
      <c r="AE194" s="174"/>
    </row>
    <row r="195" ht="15.75" customHeight="1">
      <c r="C195" s="98"/>
      <c r="D195" s="98"/>
      <c r="E195" s="39"/>
      <c r="F195" s="39"/>
      <c r="G195" s="39"/>
      <c r="H195" s="39"/>
      <c r="I195" s="39"/>
      <c r="J195" s="39"/>
      <c r="K195" s="39"/>
      <c r="L195" s="39"/>
      <c r="M195" s="39"/>
      <c r="N195" s="39"/>
      <c r="O195" s="39"/>
      <c r="P195" s="39"/>
      <c r="Q195" s="39"/>
      <c r="R195" s="39"/>
      <c r="S195" s="239"/>
      <c r="AE195" s="174"/>
    </row>
    <row r="196" ht="15.75" customHeight="1">
      <c r="C196" s="98"/>
      <c r="D196" s="98"/>
      <c r="E196" s="39"/>
      <c r="F196" s="39"/>
      <c r="G196" s="39"/>
      <c r="H196" s="39"/>
      <c r="I196" s="39"/>
      <c r="J196" s="39"/>
      <c r="K196" s="39"/>
      <c r="L196" s="39"/>
      <c r="M196" s="39"/>
      <c r="N196" s="39"/>
      <c r="O196" s="39"/>
      <c r="P196" s="39"/>
      <c r="Q196" s="39"/>
      <c r="R196" s="39"/>
      <c r="S196" s="239"/>
      <c r="AE196" s="174"/>
    </row>
    <row r="197" ht="15.75" customHeight="1">
      <c r="C197" s="98"/>
      <c r="D197" s="98"/>
      <c r="E197" s="39"/>
      <c r="F197" s="39"/>
      <c r="G197" s="39"/>
      <c r="H197" s="39"/>
      <c r="I197" s="39"/>
      <c r="J197" s="39"/>
      <c r="K197" s="39"/>
      <c r="L197" s="39"/>
      <c r="M197" s="39"/>
      <c r="N197" s="39"/>
      <c r="O197" s="39"/>
      <c r="P197" s="39"/>
      <c r="Q197" s="39"/>
      <c r="R197" s="39"/>
      <c r="S197" s="239"/>
      <c r="AE197" s="174"/>
    </row>
    <row r="198" ht="15.75" customHeight="1">
      <c r="C198" s="98"/>
      <c r="D198" s="98"/>
      <c r="E198" s="39"/>
      <c r="F198" s="39"/>
      <c r="G198" s="39"/>
      <c r="H198" s="39"/>
      <c r="I198" s="39"/>
      <c r="J198" s="39"/>
      <c r="K198" s="39"/>
      <c r="L198" s="39"/>
      <c r="M198" s="39"/>
      <c r="N198" s="39"/>
      <c r="O198" s="39"/>
      <c r="P198" s="39"/>
      <c r="Q198" s="39"/>
      <c r="R198" s="39"/>
      <c r="S198" s="239"/>
      <c r="AE198" s="174"/>
    </row>
    <row r="199" ht="15.75" customHeight="1">
      <c r="C199" s="98"/>
      <c r="D199" s="98"/>
      <c r="E199" s="39"/>
      <c r="F199" s="39"/>
      <c r="G199" s="39"/>
      <c r="H199" s="39"/>
      <c r="I199" s="39"/>
      <c r="J199" s="39"/>
      <c r="K199" s="39"/>
      <c r="L199" s="39"/>
      <c r="M199" s="39"/>
      <c r="N199" s="39"/>
      <c r="O199" s="39"/>
      <c r="P199" s="39"/>
      <c r="Q199" s="39"/>
      <c r="R199" s="39"/>
      <c r="S199" s="239"/>
      <c r="AE199" s="174"/>
    </row>
    <row r="200" ht="15.75" customHeight="1">
      <c r="C200" s="98"/>
      <c r="D200" s="98"/>
      <c r="E200" s="39"/>
      <c r="F200" s="39"/>
      <c r="G200" s="39"/>
      <c r="H200" s="39"/>
      <c r="I200" s="39"/>
      <c r="J200" s="39"/>
      <c r="K200" s="39"/>
      <c r="L200" s="39"/>
      <c r="M200" s="39"/>
      <c r="N200" s="39"/>
      <c r="O200" s="39"/>
      <c r="P200" s="39"/>
      <c r="Q200" s="39"/>
      <c r="R200" s="39"/>
      <c r="S200" s="239"/>
      <c r="AE200" s="174"/>
    </row>
    <row r="201" ht="15.75" customHeight="1">
      <c r="C201" s="98"/>
      <c r="D201" s="98"/>
      <c r="E201" s="39"/>
      <c r="F201" s="39"/>
      <c r="G201" s="39"/>
      <c r="H201" s="39"/>
      <c r="I201" s="39"/>
      <c r="J201" s="39"/>
      <c r="K201" s="39"/>
      <c r="L201" s="39"/>
      <c r="M201" s="39"/>
      <c r="N201" s="39"/>
      <c r="O201" s="39"/>
      <c r="P201" s="39"/>
      <c r="Q201" s="39"/>
      <c r="R201" s="39"/>
      <c r="S201" s="239"/>
      <c r="AE201" s="174"/>
    </row>
    <row r="202" ht="15.75" customHeight="1">
      <c r="C202" s="98"/>
      <c r="D202" s="98"/>
      <c r="E202" s="39"/>
      <c r="F202" s="39"/>
      <c r="G202" s="39"/>
      <c r="H202" s="39"/>
      <c r="I202" s="39"/>
      <c r="J202" s="39"/>
      <c r="K202" s="39"/>
      <c r="L202" s="39"/>
      <c r="M202" s="39"/>
      <c r="N202" s="39"/>
      <c r="O202" s="39"/>
      <c r="P202" s="39"/>
      <c r="Q202" s="39"/>
      <c r="R202" s="39"/>
      <c r="S202" s="239"/>
      <c r="AE202" s="174"/>
    </row>
    <row r="203" ht="15.75" customHeight="1">
      <c r="C203" s="98"/>
      <c r="D203" s="98"/>
      <c r="E203" s="39"/>
      <c r="F203" s="39"/>
      <c r="G203" s="39"/>
      <c r="H203" s="39"/>
      <c r="I203" s="39"/>
      <c r="J203" s="39"/>
      <c r="K203" s="39"/>
      <c r="L203" s="39"/>
      <c r="M203" s="39"/>
      <c r="N203" s="39"/>
      <c r="O203" s="39"/>
      <c r="P203" s="39"/>
      <c r="Q203" s="39"/>
      <c r="R203" s="39"/>
      <c r="S203" s="239"/>
      <c r="AE203" s="174"/>
    </row>
    <row r="204" ht="15.75" customHeight="1">
      <c r="C204" s="98"/>
      <c r="D204" s="98"/>
      <c r="E204" s="39"/>
      <c r="F204" s="39"/>
      <c r="G204" s="39"/>
      <c r="H204" s="39"/>
      <c r="I204" s="39"/>
      <c r="J204" s="39"/>
      <c r="K204" s="39"/>
      <c r="L204" s="39"/>
      <c r="M204" s="39"/>
      <c r="N204" s="39"/>
      <c r="O204" s="39"/>
      <c r="P204" s="39"/>
      <c r="Q204" s="39"/>
      <c r="R204" s="39"/>
      <c r="S204" s="239"/>
      <c r="AE204" s="174"/>
    </row>
    <row r="205" ht="15.75" customHeight="1">
      <c r="C205" s="98"/>
      <c r="D205" s="98"/>
      <c r="E205" s="39"/>
      <c r="F205" s="39"/>
      <c r="G205" s="39"/>
      <c r="H205" s="39"/>
      <c r="I205" s="39"/>
      <c r="J205" s="39"/>
      <c r="K205" s="39"/>
      <c r="L205" s="39"/>
      <c r="M205" s="39"/>
      <c r="N205" s="39"/>
      <c r="O205" s="39"/>
      <c r="P205" s="39"/>
      <c r="Q205" s="39"/>
      <c r="R205" s="39"/>
      <c r="S205" s="239"/>
      <c r="AE205" s="174"/>
    </row>
    <row r="206" ht="15.75" customHeight="1">
      <c r="C206" s="98"/>
      <c r="D206" s="98"/>
      <c r="E206" s="39"/>
      <c r="F206" s="39"/>
      <c r="G206" s="39"/>
      <c r="H206" s="39"/>
      <c r="I206" s="39"/>
      <c r="J206" s="39"/>
      <c r="K206" s="39"/>
      <c r="L206" s="39"/>
      <c r="M206" s="39"/>
      <c r="N206" s="39"/>
      <c r="O206" s="39"/>
      <c r="P206" s="39"/>
      <c r="Q206" s="39"/>
      <c r="R206" s="39"/>
      <c r="S206" s="239"/>
      <c r="AE206" s="174"/>
    </row>
    <row r="207" ht="15.75" customHeight="1">
      <c r="C207" s="98"/>
      <c r="D207" s="98"/>
      <c r="E207" s="39"/>
      <c r="F207" s="39"/>
      <c r="G207" s="39"/>
      <c r="H207" s="39"/>
      <c r="I207" s="39"/>
      <c r="J207" s="39"/>
      <c r="K207" s="39"/>
      <c r="L207" s="39"/>
      <c r="M207" s="39"/>
      <c r="N207" s="39"/>
      <c r="O207" s="39"/>
      <c r="P207" s="39"/>
      <c r="Q207" s="39"/>
      <c r="R207" s="39"/>
      <c r="S207" s="239"/>
      <c r="AE207" s="174"/>
    </row>
    <row r="208" ht="15.75" customHeight="1">
      <c r="C208" s="98"/>
      <c r="D208" s="98"/>
      <c r="E208" s="39"/>
      <c r="F208" s="39"/>
      <c r="G208" s="39"/>
      <c r="H208" s="39"/>
      <c r="I208" s="39"/>
      <c r="J208" s="39"/>
      <c r="K208" s="39"/>
      <c r="L208" s="39"/>
      <c r="M208" s="39"/>
      <c r="N208" s="39"/>
      <c r="O208" s="39"/>
      <c r="P208" s="39"/>
      <c r="Q208" s="39"/>
      <c r="R208" s="39"/>
      <c r="S208" s="239"/>
      <c r="AE208" s="174"/>
    </row>
    <row r="209" ht="15.75" customHeight="1">
      <c r="C209" s="98"/>
      <c r="D209" s="98"/>
      <c r="E209" s="39"/>
      <c r="F209" s="39"/>
      <c r="G209" s="39"/>
      <c r="H209" s="39"/>
      <c r="I209" s="39"/>
      <c r="J209" s="39"/>
      <c r="K209" s="39"/>
      <c r="L209" s="39"/>
      <c r="M209" s="39"/>
      <c r="N209" s="39"/>
      <c r="O209" s="39"/>
      <c r="P209" s="39"/>
      <c r="Q209" s="39"/>
      <c r="R209" s="39"/>
      <c r="S209" s="239"/>
      <c r="AE209" s="174"/>
    </row>
    <row r="210" ht="15.75" customHeight="1">
      <c r="C210" s="98"/>
      <c r="D210" s="98"/>
      <c r="E210" s="39"/>
      <c r="F210" s="39"/>
      <c r="G210" s="39"/>
      <c r="H210" s="39"/>
      <c r="I210" s="39"/>
      <c r="J210" s="39"/>
      <c r="K210" s="39"/>
      <c r="L210" s="39"/>
      <c r="M210" s="39"/>
      <c r="N210" s="39"/>
      <c r="O210" s="39"/>
      <c r="P210" s="39"/>
      <c r="Q210" s="39"/>
      <c r="R210" s="39"/>
      <c r="S210" s="239"/>
      <c r="AE210" s="174"/>
    </row>
    <row r="211" ht="15.75" customHeight="1">
      <c r="C211" s="98"/>
      <c r="D211" s="98"/>
      <c r="E211" s="39"/>
      <c r="F211" s="39"/>
      <c r="G211" s="39"/>
      <c r="H211" s="39"/>
      <c r="I211" s="39"/>
      <c r="J211" s="39"/>
      <c r="K211" s="39"/>
      <c r="L211" s="39"/>
      <c r="M211" s="39"/>
      <c r="N211" s="39"/>
      <c r="O211" s="39"/>
      <c r="P211" s="39"/>
      <c r="Q211" s="39"/>
      <c r="R211" s="39"/>
      <c r="S211" s="239"/>
      <c r="AE211" s="174"/>
    </row>
    <row r="212" ht="15.75" customHeight="1">
      <c r="C212" s="98"/>
      <c r="D212" s="98"/>
      <c r="E212" s="39"/>
      <c r="F212" s="39"/>
      <c r="G212" s="39"/>
      <c r="H212" s="39"/>
      <c r="I212" s="39"/>
      <c r="J212" s="39"/>
      <c r="K212" s="39"/>
      <c r="L212" s="39"/>
      <c r="M212" s="39"/>
      <c r="N212" s="39"/>
      <c r="O212" s="39"/>
      <c r="P212" s="39"/>
      <c r="Q212" s="39"/>
      <c r="R212" s="39"/>
      <c r="S212" s="239"/>
      <c r="AE212" s="174"/>
    </row>
    <row r="213" ht="15.75" customHeight="1">
      <c r="C213" s="98"/>
      <c r="D213" s="98"/>
      <c r="E213" s="39"/>
      <c r="F213" s="39"/>
      <c r="G213" s="39"/>
      <c r="H213" s="39"/>
      <c r="I213" s="39"/>
      <c r="J213" s="39"/>
      <c r="K213" s="39"/>
      <c r="L213" s="39"/>
      <c r="M213" s="39"/>
      <c r="N213" s="39"/>
      <c r="O213" s="39"/>
      <c r="P213" s="39"/>
      <c r="Q213" s="39"/>
      <c r="R213" s="39"/>
      <c r="S213" s="239"/>
      <c r="AE213" s="174"/>
    </row>
    <row r="214" ht="15.75" customHeight="1">
      <c r="C214" s="98"/>
      <c r="D214" s="98"/>
      <c r="E214" s="39"/>
      <c r="F214" s="39"/>
      <c r="G214" s="39"/>
      <c r="H214" s="39"/>
      <c r="I214" s="39"/>
      <c r="J214" s="39"/>
      <c r="K214" s="39"/>
      <c r="L214" s="39"/>
      <c r="M214" s="39"/>
      <c r="N214" s="39"/>
      <c r="O214" s="39"/>
      <c r="P214" s="39"/>
      <c r="Q214" s="39"/>
      <c r="R214" s="39"/>
      <c r="S214" s="239"/>
      <c r="AE214" s="174"/>
    </row>
    <row r="215" ht="15.75" customHeight="1">
      <c r="C215" s="98"/>
      <c r="D215" s="98"/>
      <c r="E215" s="39"/>
      <c r="F215" s="39"/>
      <c r="G215" s="39"/>
      <c r="H215" s="39"/>
      <c r="I215" s="39"/>
      <c r="J215" s="39"/>
      <c r="K215" s="39"/>
      <c r="L215" s="39"/>
      <c r="M215" s="39"/>
      <c r="N215" s="39"/>
      <c r="O215" s="39"/>
      <c r="P215" s="39"/>
      <c r="Q215" s="39"/>
      <c r="R215" s="39"/>
      <c r="S215" s="239"/>
      <c r="AE215" s="174"/>
    </row>
    <row r="216" ht="15.75" customHeight="1">
      <c r="C216" s="98"/>
      <c r="D216" s="98"/>
      <c r="E216" s="39"/>
      <c r="F216" s="39"/>
      <c r="G216" s="39"/>
      <c r="H216" s="39"/>
      <c r="I216" s="39"/>
      <c r="J216" s="39"/>
      <c r="K216" s="39"/>
      <c r="L216" s="39"/>
      <c r="M216" s="39"/>
      <c r="N216" s="39"/>
      <c r="O216" s="39"/>
      <c r="P216" s="39"/>
      <c r="Q216" s="39"/>
      <c r="R216" s="39"/>
      <c r="S216" s="239"/>
      <c r="AE216" s="174"/>
    </row>
    <row r="217" ht="15.75" customHeight="1">
      <c r="C217" s="98"/>
      <c r="D217" s="98"/>
      <c r="E217" s="39"/>
      <c r="F217" s="39"/>
      <c r="G217" s="39"/>
      <c r="H217" s="39"/>
      <c r="I217" s="39"/>
      <c r="J217" s="39"/>
      <c r="K217" s="39"/>
      <c r="L217" s="39"/>
      <c r="M217" s="39"/>
      <c r="N217" s="39"/>
      <c r="O217" s="39"/>
      <c r="P217" s="39"/>
      <c r="Q217" s="39"/>
      <c r="R217" s="39"/>
      <c r="S217" s="239"/>
      <c r="AE217" s="174"/>
    </row>
    <row r="218" ht="15.75" customHeight="1">
      <c r="C218" s="98"/>
      <c r="D218" s="98"/>
      <c r="E218" s="39"/>
      <c r="F218" s="39"/>
      <c r="G218" s="39"/>
      <c r="H218" s="39"/>
      <c r="I218" s="39"/>
      <c r="J218" s="39"/>
      <c r="K218" s="39"/>
      <c r="L218" s="39"/>
      <c r="M218" s="39"/>
      <c r="N218" s="39"/>
      <c r="O218" s="39"/>
      <c r="P218" s="39"/>
      <c r="Q218" s="39"/>
      <c r="R218" s="39"/>
      <c r="S218" s="239"/>
      <c r="AE218" s="174"/>
    </row>
    <row r="219" ht="15.75" customHeight="1">
      <c r="C219" s="98"/>
      <c r="D219" s="98"/>
      <c r="E219" s="39"/>
      <c r="F219" s="39"/>
      <c r="G219" s="39"/>
      <c r="H219" s="39"/>
      <c r="I219" s="39"/>
      <c r="J219" s="39"/>
      <c r="K219" s="39"/>
      <c r="L219" s="39"/>
      <c r="M219" s="39"/>
      <c r="N219" s="39"/>
      <c r="O219" s="39"/>
      <c r="P219" s="39"/>
      <c r="Q219" s="39"/>
      <c r="R219" s="39"/>
      <c r="S219" s="239"/>
      <c r="AE219" s="174"/>
    </row>
    <row r="220" ht="15.75" customHeight="1">
      <c r="C220" s="98"/>
      <c r="D220" s="98"/>
      <c r="E220" s="39"/>
      <c r="F220" s="39"/>
      <c r="G220" s="39"/>
      <c r="H220" s="39"/>
      <c r="I220" s="39"/>
      <c r="J220" s="39"/>
      <c r="K220" s="39"/>
      <c r="L220" s="39"/>
      <c r="M220" s="39"/>
      <c r="N220" s="39"/>
      <c r="O220" s="39"/>
      <c r="P220" s="39"/>
      <c r="Q220" s="39"/>
      <c r="R220" s="39"/>
      <c r="S220" s="239"/>
      <c r="AE220" s="174"/>
    </row>
    <row r="221" ht="15.75" customHeight="1">
      <c r="C221" s="98"/>
      <c r="D221" s="98"/>
      <c r="E221" s="39"/>
      <c r="F221" s="39"/>
      <c r="G221" s="39"/>
      <c r="H221" s="39"/>
      <c r="I221" s="39"/>
      <c r="J221" s="39"/>
      <c r="K221" s="39"/>
      <c r="L221" s="39"/>
      <c r="M221" s="39"/>
      <c r="N221" s="39"/>
      <c r="O221" s="39"/>
      <c r="P221" s="39"/>
      <c r="Q221" s="39"/>
      <c r="R221" s="39"/>
      <c r="S221" s="239"/>
      <c r="AE221" s="174"/>
    </row>
    <row r="222" ht="15.75" customHeight="1">
      <c r="C222" s="98"/>
      <c r="D222" s="98"/>
      <c r="E222" s="39"/>
      <c r="F222" s="39"/>
      <c r="G222" s="39"/>
      <c r="H222" s="39"/>
      <c r="I222" s="39"/>
      <c r="J222" s="39"/>
      <c r="K222" s="39"/>
      <c r="L222" s="39"/>
      <c r="M222" s="39"/>
      <c r="N222" s="39"/>
      <c r="O222" s="39"/>
      <c r="P222" s="39"/>
      <c r="Q222" s="39"/>
      <c r="R222" s="39"/>
      <c r="S222" s="239"/>
      <c r="AE222" s="174"/>
    </row>
    <row r="223" ht="15.75" customHeight="1">
      <c r="C223" s="98"/>
      <c r="D223" s="98"/>
      <c r="E223" s="39"/>
      <c r="F223" s="39"/>
      <c r="G223" s="39"/>
      <c r="H223" s="39"/>
      <c r="I223" s="39"/>
      <c r="J223" s="39"/>
      <c r="K223" s="39"/>
      <c r="L223" s="39"/>
      <c r="M223" s="39"/>
      <c r="N223" s="39"/>
      <c r="O223" s="39"/>
      <c r="P223" s="39"/>
      <c r="Q223" s="39"/>
      <c r="R223" s="39"/>
      <c r="S223" s="239"/>
      <c r="AE223" s="174"/>
    </row>
    <row r="224" ht="15.75" customHeight="1">
      <c r="C224" s="98"/>
      <c r="D224" s="98"/>
      <c r="E224" s="39"/>
      <c r="F224" s="39"/>
      <c r="G224" s="39"/>
      <c r="H224" s="39"/>
      <c r="I224" s="39"/>
      <c r="J224" s="39"/>
      <c r="K224" s="39"/>
      <c r="L224" s="39"/>
      <c r="M224" s="39"/>
      <c r="N224" s="39"/>
      <c r="O224" s="39"/>
      <c r="P224" s="39"/>
      <c r="Q224" s="39"/>
      <c r="R224" s="39"/>
      <c r="S224" s="239"/>
      <c r="AE224" s="174"/>
    </row>
    <row r="225" ht="15.75" customHeight="1">
      <c r="C225" s="98"/>
      <c r="D225" s="98"/>
      <c r="E225" s="39"/>
      <c r="F225" s="39"/>
      <c r="G225" s="39"/>
      <c r="H225" s="39"/>
      <c r="I225" s="39"/>
      <c r="J225" s="39"/>
      <c r="K225" s="39"/>
      <c r="L225" s="39"/>
      <c r="M225" s="39"/>
      <c r="N225" s="39"/>
      <c r="O225" s="39"/>
      <c r="P225" s="39"/>
      <c r="Q225" s="39"/>
      <c r="R225" s="39"/>
      <c r="S225" s="239"/>
      <c r="AE225" s="174"/>
    </row>
    <row r="226" ht="15.75" customHeight="1">
      <c r="C226" s="98"/>
      <c r="D226" s="98"/>
      <c r="E226" s="39"/>
      <c r="F226" s="39"/>
      <c r="G226" s="39"/>
      <c r="H226" s="39"/>
      <c r="I226" s="39"/>
      <c r="J226" s="39"/>
      <c r="K226" s="39"/>
      <c r="L226" s="39"/>
      <c r="M226" s="39"/>
      <c r="N226" s="39"/>
      <c r="O226" s="39"/>
      <c r="P226" s="39"/>
      <c r="Q226" s="39"/>
      <c r="R226" s="39"/>
      <c r="S226" s="239"/>
      <c r="AE226" s="174"/>
    </row>
    <row r="227" ht="15.75" customHeight="1">
      <c r="C227" s="98"/>
      <c r="D227" s="98"/>
      <c r="E227" s="39"/>
      <c r="F227" s="39"/>
      <c r="G227" s="39"/>
      <c r="H227" s="39"/>
      <c r="I227" s="39"/>
      <c r="J227" s="39"/>
      <c r="K227" s="39"/>
      <c r="L227" s="39"/>
      <c r="M227" s="39"/>
      <c r="N227" s="39"/>
      <c r="O227" s="39"/>
      <c r="P227" s="39"/>
      <c r="Q227" s="39"/>
      <c r="R227" s="39"/>
      <c r="S227" s="239"/>
      <c r="AE227" s="174"/>
    </row>
    <row r="228" ht="15.75" customHeight="1">
      <c r="C228" s="98"/>
      <c r="D228" s="98"/>
      <c r="E228" s="39"/>
      <c r="F228" s="39"/>
      <c r="G228" s="39"/>
      <c r="H228" s="39"/>
      <c r="I228" s="39"/>
      <c r="J228" s="39"/>
      <c r="K228" s="39"/>
      <c r="L228" s="39"/>
      <c r="M228" s="39"/>
      <c r="N228" s="39"/>
      <c r="O228" s="39"/>
      <c r="P228" s="39"/>
      <c r="Q228" s="39"/>
      <c r="R228" s="39"/>
      <c r="S228" s="239"/>
      <c r="AE228" s="174"/>
    </row>
    <row r="229" ht="15.75" customHeight="1">
      <c r="S229" s="239"/>
      <c r="AE229" s="174"/>
    </row>
    <row r="230" ht="15.75" customHeight="1">
      <c r="S230" s="239"/>
      <c r="AE230" s="174"/>
    </row>
    <row r="231" ht="15.75" customHeight="1">
      <c r="S231" s="239"/>
      <c r="AE231" s="174"/>
    </row>
    <row r="232" ht="15.75" customHeight="1">
      <c r="S232" s="239"/>
      <c r="AE232" s="174"/>
    </row>
    <row r="233" ht="15.75" customHeight="1">
      <c r="S233" s="239"/>
      <c r="AE233" s="174"/>
    </row>
    <row r="234" ht="15.75" customHeight="1">
      <c r="S234" s="239"/>
      <c r="AE234" s="174"/>
    </row>
    <row r="235" ht="15.75" customHeight="1">
      <c r="S235" s="239"/>
      <c r="AE235" s="174"/>
    </row>
    <row r="236" ht="15.75" customHeight="1">
      <c r="S236" s="239"/>
      <c r="AE236" s="174"/>
    </row>
    <row r="237" ht="15.75" customHeight="1">
      <c r="S237" s="239"/>
      <c r="AE237" s="174"/>
    </row>
    <row r="238" ht="15.75" customHeight="1">
      <c r="S238" s="239"/>
      <c r="AE238" s="174"/>
    </row>
    <row r="239" ht="15.75" customHeight="1">
      <c r="S239" s="239"/>
      <c r="AE239" s="174"/>
    </row>
    <row r="240" ht="15.75" customHeight="1">
      <c r="S240" s="239"/>
      <c r="AE240" s="174"/>
    </row>
    <row r="241" ht="15.75" customHeight="1">
      <c r="S241" s="239"/>
      <c r="AE241" s="174"/>
    </row>
    <row r="242" ht="15.75" customHeight="1">
      <c r="S242" s="239"/>
      <c r="AE242" s="174"/>
    </row>
    <row r="243" ht="15.75" customHeight="1">
      <c r="S243" s="239"/>
      <c r="AE243" s="174"/>
    </row>
    <row r="244" ht="15.75" customHeight="1">
      <c r="S244" s="239"/>
      <c r="AE244" s="174"/>
    </row>
    <row r="245" ht="15.75" customHeight="1">
      <c r="S245" s="239"/>
      <c r="AE245" s="174"/>
    </row>
    <row r="246" ht="15.75" customHeight="1">
      <c r="S246" s="239"/>
      <c r="AE246" s="174"/>
    </row>
    <row r="247" ht="15.75" customHeight="1">
      <c r="S247" s="239"/>
      <c r="AE247" s="174"/>
    </row>
    <row r="248" ht="15.75" customHeight="1">
      <c r="S248" s="239"/>
      <c r="AE248" s="174"/>
    </row>
    <row r="249" ht="15.75" customHeight="1">
      <c r="S249" s="239"/>
      <c r="AE249" s="174"/>
    </row>
    <row r="250" ht="15.75" customHeight="1">
      <c r="S250" s="239"/>
      <c r="AE250" s="174"/>
    </row>
    <row r="251" ht="15.75" customHeight="1">
      <c r="S251" s="239"/>
      <c r="AE251" s="174"/>
    </row>
    <row r="252" ht="15.75" customHeight="1">
      <c r="S252" s="239"/>
      <c r="AE252" s="174"/>
    </row>
    <row r="253" ht="15.75" customHeight="1">
      <c r="S253" s="239"/>
      <c r="AE253" s="174"/>
    </row>
    <row r="254" ht="15.75" customHeight="1">
      <c r="S254" s="239"/>
      <c r="AE254" s="174"/>
    </row>
    <row r="255" ht="15.75" customHeight="1">
      <c r="S255" s="239"/>
      <c r="AE255" s="174"/>
    </row>
    <row r="256" ht="15.75" customHeight="1">
      <c r="S256" s="239"/>
      <c r="AE256" s="174"/>
    </row>
    <row r="257" ht="15.75" customHeight="1">
      <c r="S257" s="239"/>
      <c r="AE257" s="174"/>
    </row>
    <row r="258" ht="15.75" customHeight="1">
      <c r="S258" s="239"/>
      <c r="AE258" s="174"/>
    </row>
    <row r="259" ht="15.75" customHeight="1">
      <c r="S259" s="239"/>
      <c r="AE259" s="174"/>
    </row>
    <row r="260" ht="15.75" customHeight="1">
      <c r="S260" s="239"/>
      <c r="AE260" s="174"/>
    </row>
    <row r="261" ht="15.75" customHeight="1">
      <c r="S261" s="239"/>
      <c r="AE261" s="174"/>
    </row>
    <row r="262" ht="15.75" customHeight="1">
      <c r="S262" s="239"/>
      <c r="AE262" s="174"/>
    </row>
    <row r="263" ht="15.75" customHeight="1">
      <c r="S263" s="239"/>
      <c r="AE263" s="174"/>
    </row>
    <row r="264" ht="15.75" customHeight="1">
      <c r="S264" s="239"/>
      <c r="AE264" s="174"/>
    </row>
    <row r="265" ht="15.75" customHeight="1">
      <c r="S265" s="239"/>
      <c r="AE265" s="174"/>
    </row>
    <row r="266" ht="15.75" customHeight="1">
      <c r="S266" s="239"/>
      <c r="AE266" s="174"/>
    </row>
    <row r="267" ht="15.75" customHeight="1">
      <c r="S267" s="239"/>
      <c r="AE267" s="174"/>
    </row>
    <row r="268" ht="15.75" customHeight="1">
      <c r="S268" s="239"/>
      <c r="AE268" s="174"/>
    </row>
    <row r="269" ht="15.75" customHeight="1">
      <c r="S269" s="239"/>
      <c r="AE269" s="174"/>
    </row>
    <row r="270" ht="15.75" customHeight="1">
      <c r="S270" s="239"/>
      <c r="AE270" s="174"/>
    </row>
    <row r="271" ht="15.75" customHeight="1">
      <c r="S271" s="239"/>
      <c r="AE271" s="174"/>
    </row>
    <row r="272" ht="15.75" customHeight="1">
      <c r="S272" s="239"/>
      <c r="AE272" s="174"/>
    </row>
    <row r="273" ht="15.75" customHeight="1">
      <c r="S273" s="239"/>
      <c r="AE273" s="174"/>
    </row>
    <row r="274" ht="15.75" customHeight="1">
      <c r="S274" s="239"/>
      <c r="AE274" s="174"/>
    </row>
    <row r="275" ht="15.75" customHeight="1">
      <c r="S275" s="239"/>
      <c r="AE275" s="174"/>
    </row>
    <row r="276" ht="15.75" customHeight="1">
      <c r="S276" s="239"/>
      <c r="AE276" s="174"/>
    </row>
    <row r="277" ht="15.75" customHeight="1">
      <c r="S277" s="239"/>
      <c r="AE277" s="174"/>
    </row>
    <row r="278" ht="15.75" customHeight="1">
      <c r="S278" s="239"/>
      <c r="AE278" s="174"/>
    </row>
    <row r="279" ht="15.75" customHeight="1">
      <c r="S279" s="239"/>
      <c r="AE279" s="174"/>
    </row>
    <row r="280" ht="15.75" customHeight="1">
      <c r="S280" s="239"/>
      <c r="AE280" s="174"/>
    </row>
    <row r="281" ht="15.75" customHeight="1">
      <c r="S281" s="239"/>
      <c r="AE281" s="174"/>
    </row>
    <row r="282" ht="15.75" customHeight="1">
      <c r="S282" s="239"/>
      <c r="AE282" s="174"/>
    </row>
    <row r="283" ht="15.75" customHeight="1">
      <c r="S283" s="239"/>
      <c r="AE283" s="174"/>
    </row>
    <row r="284" ht="15.75" customHeight="1">
      <c r="S284" s="239"/>
      <c r="AE284" s="174"/>
    </row>
    <row r="285" ht="15.75" customHeight="1">
      <c r="S285" s="239"/>
      <c r="AE285" s="174"/>
    </row>
    <row r="286" ht="15.75" customHeight="1">
      <c r="S286" s="239"/>
      <c r="AE286" s="174"/>
    </row>
    <row r="287" ht="15.75" customHeight="1">
      <c r="S287" s="239"/>
      <c r="AE287" s="174"/>
    </row>
    <row r="288" ht="15.75" customHeight="1">
      <c r="S288" s="239"/>
      <c r="AE288" s="174"/>
    </row>
    <row r="289" ht="15.75" customHeight="1">
      <c r="S289" s="239"/>
      <c r="AE289" s="174"/>
    </row>
    <row r="290" ht="15.75" customHeight="1">
      <c r="S290" s="239"/>
      <c r="AE290" s="174"/>
    </row>
    <row r="291" ht="15.75" customHeight="1">
      <c r="S291" s="239"/>
      <c r="AE291" s="174"/>
    </row>
    <row r="292" ht="15.75" customHeight="1">
      <c r="S292" s="239"/>
      <c r="AE292" s="174"/>
    </row>
    <row r="293" ht="15.75" customHeight="1">
      <c r="S293" s="239"/>
      <c r="AE293" s="174"/>
    </row>
    <row r="294" ht="15.75" customHeight="1">
      <c r="S294" s="239"/>
      <c r="AE294" s="174"/>
    </row>
    <row r="295" ht="15.75" customHeight="1">
      <c r="S295" s="239"/>
      <c r="AE295" s="174"/>
    </row>
    <row r="296" ht="15.75" customHeight="1">
      <c r="S296" s="239"/>
      <c r="AE296" s="174"/>
    </row>
    <row r="297" ht="15.75" customHeight="1">
      <c r="S297" s="239"/>
      <c r="AE297" s="174"/>
    </row>
    <row r="298" ht="15.75" customHeight="1">
      <c r="S298" s="239"/>
      <c r="AE298" s="174"/>
    </row>
    <row r="299" ht="15.75" customHeight="1">
      <c r="S299" s="239"/>
      <c r="AE299" s="174"/>
    </row>
    <row r="300" ht="15.75" customHeight="1">
      <c r="S300" s="239"/>
      <c r="AE300" s="174"/>
    </row>
    <row r="301" ht="15.75" customHeight="1">
      <c r="S301" s="239"/>
      <c r="AE301" s="174"/>
    </row>
    <row r="302" ht="15.75" customHeight="1">
      <c r="S302" s="239"/>
      <c r="AE302" s="174"/>
    </row>
    <row r="303" ht="15.75" customHeight="1">
      <c r="S303" s="239"/>
      <c r="AE303" s="174"/>
    </row>
    <row r="304" ht="15.75" customHeight="1">
      <c r="S304" s="239"/>
      <c r="AE304" s="174"/>
    </row>
    <row r="305" ht="15.75" customHeight="1">
      <c r="S305" s="239"/>
      <c r="AE305" s="174"/>
    </row>
    <row r="306" ht="15.75" customHeight="1">
      <c r="S306" s="239"/>
      <c r="AE306" s="174"/>
    </row>
    <row r="307" ht="15.75" customHeight="1">
      <c r="S307" s="239"/>
      <c r="AE307" s="174"/>
    </row>
    <row r="308" ht="15.75" customHeight="1">
      <c r="S308" s="239"/>
      <c r="AE308" s="174"/>
    </row>
    <row r="309" ht="15.75" customHeight="1">
      <c r="S309" s="239"/>
      <c r="AE309" s="174"/>
    </row>
    <row r="310" ht="15.75" customHeight="1">
      <c r="S310" s="239"/>
      <c r="AE310" s="174"/>
    </row>
    <row r="311" ht="15.75" customHeight="1">
      <c r="S311" s="239"/>
      <c r="AE311" s="174"/>
    </row>
    <row r="312" ht="15.75" customHeight="1">
      <c r="S312" s="239"/>
      <c r="AE312" s="174"/>
    </row>
    <row r="313" ht="15.75" customHeight="1">
      <c r="S313" s="239"/>
      <c r="AE313" s="174"/>
    </row>
    <row r="314" ht="15.75" customHeight="1">
      <c r="S314" s="239"/>
      <c r="AE314" s="174"/>
    </row>
    <row r="315" ht="15.75" customHeight="1">
      <c r="S315" s="239"/>
      <c r="AE315" s="174"/>
    </row>
    <row r="316" ht="15.75" customHeight="1">
      <c r="S316" s="239"/>
      <c r="AE316" s="174"/>
    </row>
    <row r="317" ht="15.75" customHeight="1">
      <c r="S317" s="239"/>
      <c r="AE317" s="174"/>
    </row>
    <row r="318" ht="15.75" customHeight="1">
      <c r="S318" s="239"/>
      <c r="AE318" s="174"/>
    </row>
    <row r="319" ht="15.75" customHeight="1">
      <c r="S319" s="239"/>
      <c r="AE319" s="174"/>
    </row>
    <row r="320" ht="15.75" customHeight="1">
      <c r="S320" s="239"/>
      <c r="AE320" s="174"/>
    </row>
    <row r="321" ht="15.75" customHeight="1">
      <c r="S321" s="239"/>
      <c r="AE321" s="174"/>
    </row>
    <row r="322" ht="15.75" customHeight="1">
      <c r="S322" s="239"/>
      <c r="AE322" s="174"/>
    </row>
    <row r="323" ht="15.75" customHeight="1">
      <c r="S323" s="239"/>
      <c r="AE323" s="174"/>
    </row>
    <row r="324" ht="15.75" customHeight="1">
      <c r="S324" s="239"/>
      <c r="AE324" s="174"/>
    </row>
    <row r="325" ht="15.75" customHeight="1">
      <c r="S325" s="239"/>
      <c r="AE325" s="174"/>
    </row>
    <row r="326" ht="15.75" customHeight="1">
      <c r="S326" s="239"/>
      <c r="AE326" s="174"/>
    </row>
    <row r="327" ht="15.75" customHeight="1">
      <c r="S327" s="239"/>
      <c r="AE327" s="174"/>
    </row>
    <row r="328" ht="15.75" customHeight="1">
      <c r="S328" s="239"/>
      <c r="AE328" s="174"/>
    </row>
    <row r="329" ht="15.75" customHeight="1">
      <c r="S329" s="239"/>
      <c r="AE329" s="174"/>
    </row>
    <row r="330" ht="15.75" customHeight="1">
      <c r="S330" s="239"/>
      <c r="AE330" s="174"/>
    </row>
    <row r="331" ht="15.75" customHeight="1">
      <c r="S331" s="239"/>
      <c r="AE331" s="174"/>
    </row>
    <row r="332" ht="15.75" customHeight="1">
      <c r="S332" s="239"/>
      <c r="AE332" s="174"/>
    </row>
    <row r="333" ht="15.75" customHeight="1">
      <c r="S333" s="239"/>
      <c r="AE333" s="174"/>
    </row>
    <row r="334" ht="15.75" customHeight="1">
      <c r="S334" s="239"/>
      <c r="AE334" s="174"/>
    </row>
    <row r="335" ht="15.75" customHeight="1">
      <c r="S335" s="239"/>
      <c r="AE335" s="174"/>
    </row>
    <row r="336" ht="15.75" customHeight="1">
      <c r="S336" s="239"/>
      <c r="AE336" s="174"/>
    </row>
    <row r="337" ht="15.75" customHeight="1">
      <c r="S337" s="239"/>
      <c r="AE337" s="174"/>
    </row>
    <row r="338" ht="15.75" customHeight="1">
      <c r="S338" s="239"/>
      <c r="AE338" s="174"/>
    </row>
    <row r="339" ht="15.75" customHeight="1">
      <c r="S339" s="239"/>
      <c r="AE339" s="174"/>
    </row>
    <row r="340" ht="15.75" customHeight="1">
      <c r="S340" s="239"/>
      <c r="AE340" s="174"/>
    </row>
    <row r="341" ht="15.75" customHeight="1">
      <c r="S341" s="239"/>
      <c r="AE341" s="174"/>
    </row>
    <row r="342" ht="15.75" customHeight="1">
      <c r="S342" s="239"/>
      <c r="AE342" s="174"/>
    </row>
    <row r="343" ht="15.75" customHeight="1">
      <c r="S343" s="239"/>
      <c r="AE343" s="174"/>
    </row>
    <row r="344" ht="15.75" customHeight="1">
      <c r="S344" s="239"/>
      <c r="AE344" s="174"/>
    </row>
    <row r="345" ht="15.75" customHeight="1">
      <c r="S345" s="239"/>
      <c r="AE345" s="174"/>
    </row>
    <row r="346" ht="15.75" customHeight="1">
      <c r="S346" s="239"/>
      <c r="AE346" s="174"/>
    </row>
    <row r="347" ht="15.75" customHeight="1">
      <c r="S347" s="239"/>
      <c r="AE347" s="174"/>
    </row>
    <row r="348" ht="15.75" customHeight="1">
      <c r="S348" s="239"/>
      <c r="AE348" s="174"/>
    </row>
    <row r="349" ht="15.75" customHeight="1">
      <c r="S349" s="239"/>
      <c r="AE349" s="174"/>
    </row>
    <row r="350" ht="15.75" customHeight="1">
      <c r="S350" s="239"/>
      <c r="AE350" s="174"/>
    </row>
    <row r="351" ht="15.75" customHeight="1">
      <c r="S351" s="239"/>
      <c r="AE351" s="174"/>
    </row>
    <row r="352" ht="15.75" customHeight="1">
      <c r="S352" s="239"/>
      <c r="AE352" s="174"/>
    </row>
    <row r="353" ht="15.75" customHeight="1">
      <c r="S353" s="239"/>
      <c r="AE353" s="174"/>
    </row>
    <row r="354" ht="15.75" customHeight="1">
      <c r="S354" s="239"/>
      <c r="AE354" s="174"/>
    </row>
    <row r="355" ht="15.75" customHeight="1">
      <c r="S355" s="239"/>
      <c r="AE355" s="174"/>
    </row>
    <row r="356" ht="15.75" customHeight="1">
      <c r="S356" s="239"/>
      <c r="AE356" s="174"/>
    </row>
    <row r="357" ht="15.75" customHeight="1">
      <c r="S357" s="239"/>
      <c r="AE357" s="174"/>
    </row>
    <row r="358" ht="15.75" customHeight="1">
      <c r="S358" s="239"/>
      <c r="AE358" s="174"/>
    </row>
    <row r="359" ht="15.75" customHeight="1">
      <c r="S359" s="239"/>
      <c r="AE359" s="174"/>
    </row>
    <row r="360" ht="15.75" customHeight="1">
      <c r="S360" s="239"/>
      <c r="AE360" s="174"/>
    </row>
    <row r="361" ht="15.75" customHeight="1">
      <c r="S361" s="239"/>
      <c r="AE361" s="174"/>
    </row>
    <row r="362" ht="15.75" customHeight="1">
      <c r="S362" s="239"/>
      <c r="AE362" s="174"/>
    </row>
    <row r="363" ht="15.75" customHeight="1">
      <c r="S363" s="239"/>
      <c r="AE363" s="174"/>
    </row>
    <row r="364" ht="15.75" customHeight="1">
      <c r="S364" s="239"/>
      <c r="AE364" s="174"/>
    </row>
    <row r="365" ht="15.75" customHeight="1">
      <c r="S365" s="239"/>
      <c r="AE365" s="174"/>
    </row>
    <row r="366" ht="15.75" customHeight="1">
      <c r="S366" s="239"/>
      <c r="AE366" s="174"/>
    </row>
    <row r="367" ht="15.75" customHeight="1">
      <c r="S367" s="239"/>
      <c r="AE367" s="174"/>
    </row>
    <row r="368" ht="15.75" customHeight="1">
      <c r="S368" s="239"/>
      <c r="AE368" s="174"/>
    </row>
    <row r="369" ht="15.75" customHeight="1">
      <c r="S369" s="239"/>
      <c r="AE369" s="174"/>
    </row>
    <row r="370" ht="15.75" customHeight="1">
      <c r="S370" s="239"/>
      <c r="AE370" s="174"/>
    </row>
    <row r="371" ht="15.75" customHeight="1">
      <c r="S371" s="239"/>
      <c r="AE371" s="174"/>
    </row>
    <row r="372" ht="15.75" customHeight="1">
      <c r="S372" s="239"/>
      <c r="AE372" s="174"/>
    </row>
    <row r="373" ht="15.75" customHeight="1">
      <c r="S373" s="239"/>
      <c r="AE373" s="174"/>
    </row>
    <row r="374" ht="15.75" customHeight="1">
      <c r="S374" s="239"/>
      <c r="AE374" s="174"/>
    </row>
    <row r="375" ht="15.75" customHeight="1">
      <c r="S375" s="239"/>
      <c r="AE375" s="174"/>
    </row>
    <row r="376" ht="15.75" customHeight="1">
      <c r="S376" s="239"/>
      <c r="AE376" s="174"/>
    </row>
    <row r="377" ht="15.75" customHeight="1">
      <c r="S377" s="239"/>
      <c r="AE377" s="174"/>
    </row>
    <row r="378" ht="15.75" customHeight="1">
      <c r="S378" s="239"/>
      <c r="AE378" s="174"/>
    </row>
    <row r="379" ht="15.75" customHeight="1">
      <c r="S379" s="239"/>
      <c r="AE379" s="174"/>
    </row>
    <row r="380" ht="15.75" customHeight="1">
      <c r="S380" s="239"/>
      <c r="AE380" s="174"/>
    </row>
    <row r="381" ht="15.75" customHeight="1">
      <c r="S381" s="239"/>
      <c r="AE381" s="174"/>
    </row>
    <row r="382" ht="15.75" customHeight="1">
      <c r="S382" s="239"/>
      <c r="AE382" s="174"/>
    </row>
    <row r="383" ht="15.75" customHeight="1">
      <c r="S383" s="239"/>
      <c r="AE383" s="174"/>
    </row>
    <row r="384" ht="15.75" customHeight="1">
      <c r="S384" s="239"/>
      <c r="AE384" s="174"/>
    </row>
    <row r="385" ht="15.75" customHeight="1">
      <c r="S385" s="239"/>
      <c r="AE385" s="174"/>
    </row>
    <row r="386" ht="15.75" customHeight="1">
      <c r="S386" s="239"/>
      <c r="AE386" s="174"/>
    </row>
    <row r="387" ht="15.75" customHeight="1">
      <c r="S387" s="239"/>
      <c r="AE387" s="174"/>
    </row>
    <row r="388" ht="15.75" customHeight="1">
      <c r="S388" s="239"/>
      <c r="AE388" s="174"/>
    </row>
    <row r="389" ht="15.75" customHeight="1">
      <c r="S389" s="239"/>
      <c r="AE389" s="174"/>
    </row>
    <row r="390" ht="15.75" customHeight="1">
      <c r="S390" s="239"/>
      <c r="AE390" s="174"/>
    </row>
    <row r="391" ht="15.75" customHeight="1">
      <c r="S391" s="239"/>
      <c r="AE391" s="174"/>
    </row>
    <row r="392" ht="15.75" customHeight="1">
      <c r="S392" s="239"/>
      <c r="AE392" s="174"/>
    </row>
    <row r="393" ht="15.75" customHeight="1">
      <c r="S393" s="239"/>
      <c r="AE393" s="174"/>
    </row>
    <row r="394" ht="15.75" customHeight="1">
      <c r="S394" s="239"/>
      <c r="AE394" s="174"/>
    </row>
    <row r="395" ht="15.75" customHeight="1">
      <c r="S395" s="239"/>
      <c r="AE395" s="174"/>
    </row>
    <row r="396" ht="15.75" customHeight="1">
      <c r="S396" s="239"/>
      <c r="AE396" s="174"/>
    </row>
    <row r="397" ht="15.75" customHeight="1">
      <c r="S397" s="239"/>
      <c r="AE397" s="174"/>
    </row>
    <row r="398" ht="15.75" customHeight="1">
      <c r="S398" s="239"/>
      <c r="AE398" s="174"/>
    </row>
    <row r="399" ht="15.75" customHeight="1">
      <c r="S399" s="239"/>
      <c r="AE399" s="174"/>
    </row>
    <row r="400" ht="15.75" customHeight="1">
      <c r="S400" s="239"/>
      <c r="AE400" s="174"/>
    </row>
    <row r="401" ht="15.75" customHeight="1">
      <c r="S401" s="239"/>
      <c r="AE401" s="174"/>
    </row>
    <row r="402" ht="15.75" customHeight="1">
      <c r="S402" s="239"/>
      <c r="AE402" s="174"/>
    </row>
    <row r="403" ht="15.75" customHeight="1">
      <c r="S403" s="239"/>
      <c r="AE403" s="174"/>
    </row>
    <row r="404" ht="15.75" customHeight="1">
      <c r="S404" s="239"/>
      <c r="AE404" s="174"/>
    </row>
    <row r="405" ht="15.75" customHeight="1">
      <c r="S405" s="239"/>
      <c r="AE405" s="174"/>
    </row>
    <row r="406" ht="15.75" customHeight="1">
      <c r="S406" s="239"/>
      <c r="AE406" s="174"/>
    </row>
    <row r="407" ht="15.75" customHeight="1">
      <c r="S407" s="239"/>
      <c r="AE407" s="174"/>
    </row>
    <row r="408" ht="15.75" customHeight="1">
      <c r="S408" s="239"/>
      <c r="AE408" s="174"/>
    </row>
    <row r="409" ht="15.75" customHeight="1">
      <c r="S409" s="239"/>
      <c r="AE409" s="174"/>
    </row>
    <row r="410" ht="15.75" customHeight="1">
      <c r="S410" s="239"/>
      <c r="AE410" s="174"/>
    </row>
    <row r="411" ht="15.75" customHeight="1">
      <c r="S411" s="239"/>
      <c r="AE411" s="174"/>
    </row>
    <row r="412" ht="15.75" customHeight="1">
      <c r="S412" s="239"/>
      <c r="AE412" s="174"/>
    </row>
    <row r="413" ht="15.75" customHeight="1">
      <c r="S413" s="239"/>
      <c r="AE413" s="174"/>
    </row>
    <row r="414" ht="15.75" customHeight="1">
      <c r="S414" s="239"/>
      <c r="AE414" s="174"/>
    </row>
    <row r="415" ht="15.75" customHeight="1">
      <c r="S415" s="239"/>
      <c r="AE415" s="174"/>
    </row>
    <row r="416" ht="15.75" customHeight="1">
      <c r="S416" s="239"/>
      <c r="AE416" s="174"/>
    </row>
    <row r="417" ht="15.75" customHeight="1">
      <c r="S417" s="239"/>
      <c r="AE417" s="174"/>
    </row>
    <row r="418" ht="15.75" customHeight="1">
      <c r="S418" s="239"/>
      <c r="AE418" s="174"/>
    </row>
    <row r="419" ht="15.75" customHeight="1">
      <c r="S419" s="239"/>
      <c r="AE419" s="174"/>
    </row>
    <row r="420" ht="15.75" customHeight="1">
      <c r="S420" s="239"/>
      <c r="AE420" s="174"/>
    </row>
    <row r="421" ht="15.75" customHeight="1">
      <c r="S421" s="239"/>
      <c r="AE421" s="174"/>
    </row>
    <row r="422" ht="15.75" customHeight="1">
      <c r="S422" s="239"/>
      <c r="AE422" s="174"/>
    </row>
    <row r="423" ht="15.75" customHeight="1">
      <c r="S423" s="239"/>
      <c r="AE423" s="174"/>
    </row>
    <row r="424" ht="15.75" customHeight="1">
      <c r="S424" s="239"/>
      <c r="AE424" s="174"/>
    </row>
    <row r="425" ht="15.75" customHeight="1">
      <c r="S425" s="239"/>
      <c r="AE425" s="174"/>
    </row>
    <row r="426" ht="15.75" customHeight="1">
      <c r="S426" s="239"/>
      <c r="AE426" s="174"/>
    </row>
    <row r="427" ht="15.75" customHeight="1">
      <c r="S427" s="239"/>
      <c r="AE427" s="174"/>
    </row>
    <row r="428" ht="15.75" customHeight="1">
      <c r="S428" s="239"/>
      <c r="AE428" s="174"/>
    </row>
    <row r="429" ht="15.75" customHeight="1">
      <c r="S429" s="239"/>
      <c r="AE429" s="174"/>
    </row>
    <row r="430" ht="15.75" customHeight="1">
      <c r="S430" s="239"/>
      <c r="AE430" s="174"/>
    </row>
    <row r="431" ht="15.75" customHeight="1">
      <c r="S431" s="239"/>
      <c r="AE431" s="174"/>
    </row>
    <row r="432" ht="15.75" customHeight="1">
      <c r="S432" s="239"/>
      <c r="AE432" s="174"/>
    </row>
    <row r="433" ht="15.75" customHeight="1">
      <c r="S433" s="239"/>
      <c r="AE433" s="174"/>
    </row>
    <row r="434" ht="15.75" customHeight="1">
      <c r="S434" s="239"/>
      <c r="AE434" s="174"/>
    </row>
    <row r="435" ht="15.75" customHeight="1">
      <c r="S435" s="239"/>
      <c r="AE435" s="174"/>
    </row>
    <row r="436" ht="15.75" customHeight="1">
      <c r="S436" s="239"/>
      <c r="AE436" s="174"/>
    </row>
    <row r="437" ht="15.75" customHeight="1">
      <c r="S437" s="239"/>
      <c r="AE437" s="174"/>
    </row>
    <row r="438" ht="15.75" customHeight="1">
      <c r="S438" s="239"/>
      <c r="AE438" s="174"/>
    </row>
    <row r="439" ht="15.75" customHeight="1">
      <c r="S439" s="239"/>
      <c r="AE439" s="174"/>
    </row>
    <row r="440" ht="15.75" customHeight="1">
      <c r="S440" s="239"/>
      <c r="AE440" s="174"/>
    </row>
    <row r="441" ht="15.75" customHeight="1">
      <c r="S441" s="239"/>
      <c r="AE441" s="174"/>
    </row>
    <row r="442" ht="15.75" customHeight="1">
      <c r="S442" s="239"/>
      <c r="AE442" s="174"/>
    </row>
    <row r="443" ht="15.75" customHeight="1">
      <c r="S443" s="239"/>
      <c r="AE443" s="174"/>
    </row>
    <row r="444" ht="15.75" customHeight="1">
      <c r="S444" s="239"/>
      <c r="AE444" s="174"/>
    </row>
    <row r="445" ht="15.75" customHeight="1">
      <c r="S445" s="239"/>
      <c r="AE445" s="174"/>
    </row>
    <row r="446" ht="15.75" customHeight="1">
      <c r="S446" s="239"/>
      <c r="AE446" s="174"/>
    </row>
    <row r="447" ht="15.75" customHeight="1">
      <c r="S447" s="239"/>
      <c r="AE447" s="174"/>
    </row>
    <row r="448" ht="15.75" customHeight="1">
      <c r="S448" s="239"/>
      <c r="AE448" s="174"/>
    </row>
    <row r="449" ht="15.75" customHeight="1">
      <c r="S449" s="239"/>
      <c r="AE449" s="174"/>
    </row>
    <row r="450" ht="15.75" customHeight="1">
      <c r="S450" s="239"/>
      <c r="AE450" s="174"/>
    </row>
    <row r="451" ht="15.75" customHeight="1">
      <c r="S451" s="239"/>
      <c r="AE451" s="174"/>
    </row>
    <row r="452" ht="15.75" customHeight="1">
      <c r="S452" s="239"/>
      <c r="AE452" s="174"/>
    </row>
    <row r="453" ht="15.75" customHeight="1">
      <c r="S453" s="239"/>
      <c r="AE453" s="174"/>
    </row>
    <row r="454" ht="15.75" customHeight="1">
      <c r="S454" s="239"/>
      <c r="AE454" s="174"/>
    </row>
    <row r="455" ht="15.75" customHeight="1">
      <c r="S455" s="239"/>
      <c r="AE455" s="174"/>
    </row>
    <row r="456" ht="15.75" customHeight="1">
      <c r="S456" s="239"/>
      <c r="AE456" s="174"/>
    </row>
    <row r="457" ht="15.75" customHeight="1">
      <c r="S457" s="239"/>
      <c r="AE457" s="174"/>
    </row>
    <row r="458" ht="15.75" customHeight="1">
      <c r="S458" s="239"/>
      <c r="AE458" s="174"/>
    </row>
    <row r="459" ht="15.75" customHeight="1">
      <c r="S459" s="239"/>
      <c r="AE459" s="174"/>
    </row>
    <row r="460" ht="15.75" customHeight="1">
      <c r="S460" s="239"/>
      <c r="AE460" s="174"/>
    </row>
    <row r="461" ht="15.75" customHeight="1">
      <c r="S461" s="239"/>
      <c r="AE461" s="174"/>
    </row>
    <row r="462" ht="15.75" customHeight="1">
      <c r="S462" s="239"/>
      <c r="AE462" s="174"/>
    </row>
    <row r="463" ht="15.75" customHeight="1">
      <c r="S463" s="239"/>
      <c r="AE463" s="174"/>
    </row>
    <row r="464" ht="15.75" customHeight="1">
      <c r="S464" s="239"/>
      <c r="AE464" s="174"/>
    </row>
    <row r="465" ht="15.75" customHeight="1">
      <c r="S465" s="239"/>
      <c r="AE465" s="174"/>
    </row>
    <row r="466" ht="15.75" customHeight="1">
      <c r="S466" s="239"/>
      <c r="AE466" s="174"/>
    </row>
    <row r="467" ht="15.75" customHeight="1">
      <c r="S467" s="239"/>
      <c r="AE467" s="174"/>
    </row>
    <row r="468" ht="15.75" customHeight="1">
      <c r="S468" s="239"/>
      <c r="AE468" s="174"/>
    </row>
    <row r="469" ht="15.75" customHeight="1">
      <c r="S469" s="239"/>
      <c r="AE469" s="174"/>
    </row>
    <row r="470" ht="15.75" customHeight="1">
      <c r="S470" s="239"/>
      <c r="AE470" s="174"/>
    </row>
    <row r="471" ht="15.75" customHeight="1">
      <c r="S471" s="239"/>
      <c r="AE471" s="174"/>
    </row>
    <row r="472" ht="15.75" customHeight="1">
      <c r="S472" s="239"/>
      <c r="AE472" s="174"/>
    </row>
    <row r="473" ht="15.75" customHeight="1">
      <c r="S473" s="239"/>
      <c r="AE473" s="174"/>
    </row>
    <row r="474" ht="15.75" customHeight="1">
      <c r="S474" s="239"/>
      <c r="AE474" s="174"/>
    </row>
    <row r="475" ht="15.75" customHeight="1">
      <c r="S475" s="239"/>
      <c r="AE475" s="174"/>
    </row>
    <row r="476" ht="15.75" customHeight="1">
      <c r="S476" s="239"/>
      <c r="AE476" s="174"/>
    </row>
    <row r="477" ht="15.75" customHeight="1">
      <c r="S477" s="239"/>
      <c r="AE477" s="174"/>
    </row>
    <row r="478" ht="15.75" customHeight="1">
      <c r="S478" s="239"/>
      <c r="AE478" s="174"/>
    </row>
    <row r="479" ht="15.75" customHeight="1">
      <c r="S479" s="239"/>
      <c r="AE479" s="174"/>
    </row>
    <row r="480" ht="15.75" customHeight="1">
      <c r="S480" s="239"/>
      <c r="AE480" s="174"/>
    </row>
    <row r="481" ht="15.75" customHeight="1">
      <c r="S481" s="239"/>
      <c r="AE481" s="174"/>
    </row>
    <row r="482" ht="15.75" customHeight="1">
      <c r="S482" s="239"/>
      <c r="AE482" s="174"/>
    </row>
    <row r="483" ht="15.75" customHeight="1">
      <c r="S483" s="239"/>
      <c r="AE483" s="174"/>
    </row>
    <row r="484" ht="15.75" customHeight="1">
      <c r="S484" s="239"/>
      <c r="AE484" s="174"/>
    </row>
    <row r="485" ht="15.75" customHeight="1">
      <c r="S485" s="239"/>
      <c r="AE485" s="174"/>
    </row>
    <row r="486" ht="15.75" customHeight="1">
      <c r="S486" s="239"/>
      <c r="AE486" s="174"/>
    </row>
    <row r="487" ht="15.75" customHeight="1">
      <c r="S487" s="239"/>
      <c r="AE487" s="174"/>
    </row>
    <row r="488" ht="15.75" customHeight="1">
      <c r="S488" s="239"/>
      <c r="AE488" s="174"/>
    </row>
    <row r="489" ht="15.75" customHeight="1">
      <c r="S489" s="239"/>
      <c r="AE489" s="174"/>
    </row>
    <row r="490" ht="15.75" customHeight="1">
      <c r="S490" s="239"/>
      <c r="AE490" s="174"/>
    </row>
    <row r="491" ht="15.75" customHeight="1">
      <c r="S491" s="239"/>
      <c r="AE491" s="174"/>
    </row>
    <row r="492" ht="15.75" customHeight="1">
      <c r="S492" s="239"/>
      <c r="AE492" s="174"/>
    </row>
    <row r="493" ht="15.75" customHeight="1">
      <c r="S493" s="239"/>
      <c r="AE493" s="174"/>
    </row>
    <row r="494" ht="15.75" customHeight="1">
      <c r="S494" s="239"/>
      <c r="AE494" s="174"/>
    </row>
    <row r="495" ht="15.75" customHeight="1">
      <c r="S495" s="239"/>
      <c r="AE495" s="174"/>
    </row>
    <row r="496" ht="15.75" customHeight="1">
      <c r="S496" s="239"/>
      <c r="AE496" s="174"/>
    </row>
    <row r="497" ht="15.75" customHeight="1">
      <c r="S497" s="239"/>
      <c r="AE497" s="174"/>
    </row>
    <row r="498" ht="15.75" customHeight="1">
      <c r="S498" s="239"/>
      <c r="AE498" s="174"/>
    </row>
    <row r="499" ht="15.75" customHeight="1">
      <c r="S499" s="239"/>
      <c r="AE499" s="174"/>
    </row>
    <row r="500" ht="15.75" customHeight="1">
      <c r="S500" s="239"/>
      <c r="AE500" s="174"/>
    </row>
    <row r="501" ht="15.75" customHeight="1">
      <c r="S501" s="239"/>
      <c r="AE501" s="174"/>
    </row>
    <row r="502" ht="15.75" customHeight="1">
      <c r="S502" s="239"/>
      <c r="AE502" s="174"/>
    </row>
    <row r="503" ht="15.75" customHeight="1">
      <c r="S503" s="239"/>
      <c r="AE503" s="174"/>
    </row>
    <row r="504" ht="15.75" customHeight="1">
      <c r="S504" s="239"/>
      <c r="AE504" s="174"/>
    </row>
    <row r="505" ht="15.75" customHeight="1">
      <c r="S505" s="239"/>
      <c r="AE505" s="174"/>
    </row>
    <row r="506" ht="15.75" customHeight="1">
      <c r="S506" s="239"/>
      <c r="AE506" s="174"/>
    </row>
    <row r="507" ht="15.75" customHeight="1">
      <c r="S507" s="239"/>
      <c r="AE507" s="174"/>
    </row>
    <row r="508" ht="15.75" customHeight="1">
      <c r="S508" s="239"/>
      <c r="AE508" s="174"/>
    </row>
    <row r="509" ht="15.75" customHeight="1">
      <c r="S509" s="239"/>
      <c r="AE509" s="174"/>
    </row>
    <row r="510" ht="15.75" customHeight="1">
      <c r="S510" s="239"/>
      <c r="AE510" s="174"/>
    </row>
    <row r="511" ht="15.75" customHeight="1">
      <c r="S511" s="239"/>
      <c r="AE511" s="174"/>
    </row>
    <row r="512" ht="15.75" customHeight="1">
      <c r="S512" s="239"/>
      <c r="AE512" s="174"/>
    </row>
    <row r="513" ht="15.75" customHeight="1">
      <c r="S513" s="239"/>
      <c r="AE513" s="174"/>
    </row>
    <row r="514" ht="15.75" customHeight="1">
      <c r="S514" s="239"/>
      <c r="AE514" s="174"/>
    </row>
    <row r="515" ht="15.75" customHeight="1">
      <c r="S515" s="239"/>
      <c r="AE515" s="174"/>
    </row>
    <row r="516" ht="15.75" customHeight="1">
      <c r="S516" s="239"/>
      <c r="AE516" s="174"/>
    </row>
    <row r="517" ht="15.75" customHeight="1">
      <c r="S517" s="239"/>
      <c r="AE517" s="174"/>
    </row>
    <row r="518" ht="15.75" customHeight="1">
      <c r="S518" s="239"/>
      <c r="AE518" s="174"/>
    </row>
    <row r="519" ht="15.75" customHeight="1">
      <c r="S519" s="239"/>
      <c r="AE519" s="174"/>
    </row>
    <row r="520" ht="15.75" customHeight="1">
      <c r="S520" s="239"/>
      <c r="AE520" s="174"/>
    </row>
    <row r="521" ht="15.75" customHeight="1">
      <c r="S521" s="239"/>
      <c r="AE521" s="174"/>
    </row>
    <row r="522" ht="15.75" customHeight="1">
      <c r="S522" s="239"/>
      <c r="AE522" s="174"/>
    </row>
    <row r="523" ht="15.75" customHeight="1">
      <c r="S523" s="239"/>
      <c r="AE523" s="174"/>
    </row>
    <row r="524" ht="15.75" customHeight="1">
      <c r="S524" s="239"/>
      <c r="AE524" s="174"/>
    </row>
    <row r="525" ht="15.75" customHeight="1">
      <c r="S525" s="239"/>
      <c r="AE525" s="174"/>
    </row>
    <row r="526" ht="15.75" customHeight="1">
      <c r="S526" s="239"/>
      <c r="AE526" s="174"/>
    </row>
    <row r="527" ht="15.75" customHeight="1">
      <c r="S527" s="239"/>
      <c r="AE527" s="174"/>
    </row>
    <row r="528" ht="15.75" customHeight="1">
      <c r="S528" s="239"/>
      <c r="AE528" s="174"/>
    </row>
    <row r="529" ht="15.75" customHeight="1">
      <c r="S529" s="239"/>
      <c r="AE529" s="174"/>
    </row>
    <row r="530" ht="15.75" customHeight="1">
      <c r="S530" s="239"/>
      <c r="AE530" s="174"/>
    </row>
    <row r="531" ht="15.75" customHeight="1">
      <c r="S531" s="239"/>
      <c r="AE531" s="174"/>
    </row>
    <row r="532" ht="15.75" customHeight="1">
      <c r="S532" s="239"/>
      <c r="AE532" s="174"/>
    </row>
    <row r="533" ht="15.75" customHeight="1">
      <c r="S533" s="239"/>
      <c r="AE533" s="174"/>
    </row>
    <row r="534" ht="15.75" customHeight="1">
      <c r="S534" s="239"/>
      <c r="AE534" s="174"/>
    </row>
    <row r="535" ht="15.75" customHeight="1">
      <c r="S535" s="239"/>
      <c r="AE535" s="174"/>
    </row>
    <row r="536" ht="15.75" customHeight="1">
      <c r="S536" s="239"/>
      <c r="AE536" s="174"/>
    </row>
    <row r="537" ht="15.75" customHeight="1">
      <c r="S537" s="239"/>
      <c r="AE537" s="174"/>
    </row>
    <row r="538" ht="15.75" customHeight="1">
      <c r="S538" s="239"/>
      <c r="AE538" s="174"/>
    </row>
    <row r="539" ht="15.75" customHeight="1">
      <c r="S539" s="239"/>
      <c r="AE539" s="174"/>
    </row>
    <row r="540" ht="15.75" customHeight="1">
      <c r="S540" s="239"/>
      <c r="AE540" s="174"/>
    </row>
    <row r="541" ht="15.75" customHeight="1">
      <c r="S541" s="239"/>
      <c r="AE541" s="174"/>
    </row>
    <row r="542" ht="15.75" customHeight="1">
      <c r="S542" s="239"/>
      <c r="AE542" s="174"/>
    </row>
    <row r="543" ht="15.75" customHeight="1">
      <c r="S543" s="239"/>
      <c r="AE543" s="174"/>
    </row>
    <row r="544" ht="15.75" customHeight="1">
      <c r="S544" s="239"/>
      <c r="AE544" s="174"/>
    </row>
    <row r="545" ht="15.75" customHeight="1">
      <c r="S545" s="239"/>
      <c r="AE545" s="174"/>
    </row>
    <row r="546" ht="15.75" customHeight="1">
      <c r="S546" s="239"/>
      <c r="AE546" s="174"/>
    </row>
    <row r="547" ht="15.75" customHeight="1">
      <c r="S547" s="239"/>
      <c r="AE547" s="174"/>
    </row>
    <row r="548" ht="15.75" customHeight="1">
      <c r="S548" s="239"/>
      <c r="AE548" s="174"/>
    </row>
    <row r="549" ht="15.75" customHeight="1">
      <c r="S549" s="239"/>
      <c r="AE549" s="174"/>
    </row>
    <row r="550" ht="15.75" customHeight="1">
      <c r="S550" s="239"/>
      <c r="AE550" s="174"/>
    </row>
    <row r="551" ht="15.75" customHeight="1">
      <c r="S551" s="239"/>
      <c r="AE551" s="174"/>
    </row>
    <row r="552" ht="15.75" customHeight="1">
      <c r="S552" s="239"/>
      <c r="AE552" s="174"/>
    </row>
    <row r="553" ht="15.75" customHeight="1">
      <c r="S553" s="239"/>
      <c r="AE553" s="174"/>
    </row>
    <row r="554" ht="15.75" customHeight="1">
      <c r="S554" s="239"/>
      <c r="AE554" s="174"/>
    </row>
    <row r="555" ht="15.75" customHeight="1">
      <c r="S555" s="239"/>
      <c r="AE555" s="174"/>
    </row>
    <row r="556" ht="15.75" customHeight="1">
      <c r="S556" s="239"/>
      <c r="AE556" s="174"/>
    </row>
    <row r="557" ht="15.75" customHeight="1">
      <c r="S557" s="239"/>
      <c r="AE557" s="174"/>
    </row>
    <row r="558" ht="15.75" customHeight="1">
      <c r="S558" s="239"/>
      <c r="AE558" s="174"/>
    </row>
    <row r="559" ht="15.75" customHeight="1">
      <c r="S559" s="239"/>
      <c r="AE559" s="174"/>
    </row>
    <row r="560" ht="15.75" customHeight="1">
      <c r="S560" s="239"/>
      <c r="AE560" s="174"/>
    </row>
    <row r="561" ht="15.75" customHeight="1">
      <c r="S561" s="239"/>
      <c r="AE561" s="174"/>
    </row>
    <row r="562" ht="15.75" customHeight="1">
      <c r="S562" s="239"/>
      <c r="AE562" s="174"/>
    </row>
    <row r="563" ht="15.75" customHeight="1">
      <c r="S563" s="239"/>
      <c r="AE563" s="174"/>
    </row>
    <row r="564" ht="15.75" customHeight="1">
      <c r="S564" s="239"/>
      <c r="AE564" s="174"/>
    </row>
    <row r="565" ht="15.75" customHeight="1">
      <c r="S565" s="239"/>
      <c r="AE565" s="174"/>
    </row>
    <row r="566" ht="15.75" customHeight="1">
      <c r="S566" s="239"/>
      <c r="AE566" s="174"/>
    </row>
    <row r="567" ht="15.75" customHeight="1">
      <c r="S567" s="239"/>
      <c r="AE567" s="174"/>
    </row>
    <row r="568" ht="15.75" customHeight="1">
      <c r="S568" s="239"/>
      <c r="AE568" s="174"/>
    </row>
    <row r="569" ht="15.75" customHeight="1">
      <c r="S569" s="239"/>
      <c r="AE569" s="174"/>
    </row>
    <row r="570" ht="15.75" customHeight="1">
      <c r="S570" s="239"/>
      <c r="AE570" s="174"/>
    </row>
    <row r="571" ht="15.75" customHeight="1">
      <c r="S571" s="239"/>
      <c r="AE571" s="174"/>
    </row>
    <row r="572" ht="15.75" customHeight="1">
      <c r="S572" s="239"/>
      <c r="AE572" s="174"/>
    </row>
    <row r="573" ht="15.75" customHeight="1">
      <c r="S573" s="239"/>
      <c r="AE573" s="174"/>
    </row>
    <row r="574" ht="15.75" customHeight="1">
      <c r="S574" s="239"/>
      <c r="AE574" s="174"/>
    </row>
    <row r="575" ht="15.75" customHeight="1">
      <c r="S575" s="239"/>
      <c r="AE575" s="174"/>
    </row>
    <row r="576" ht="15.75" customHeight="1">
      <c r="S576" s="239"/>
      <c r="AE576" s="174"/>
    </row>
    <row r="577" ht="15.75" customHeight="1">
      <c r="S577" s="239"/>
      <c r="AE577" s="174"/>
    </row>
    <row r="578" ht="15.75" customHeight="1">
      <c r="S578" s="239"/>
      <c r="AE578" s="174"/>
    </row>
    <row r="579" ht="15.75" customHeight="1">
      <c r="S579" s="239"/>
      <c r="AE579" s="174"/>
    </row>
    <row r="580" ht="15.75" customHeight="1">
      <c r="S580" s="239"/>
      <c r="AE580" s="174"/>
    </row>
    <row r="581" ht="15.75" customHeight="1">
      <c r="S581" s="239"/>
      <c r="AE581" s="174"/>
    </row>
    <row r="582" ht="15.75" customHeight="1">
      <c r="S582" s="239"/>
      <c r="AE582" s="174"/>
    </row>
    <row r="583" ht="15.75" customHeight="1">
      <c r="S583" s="239"/>
      <c r="AE583" s="174"/>
    </row>
    <row r="584" ht="15.75" customHeight="1">
      <c r="S584" s="239"/>
      <c r="AE584" s="174"/>
    </row>
    <row r="585" ht="15.75" customHeight="1">
      <c r="S585" s="239"/>
      <c r="AE585" s="174"/>
    </row>
    <row r="586" ht="15.75" customHeight="1">
      <c r="S586" s="239"/>
      <c r="AE586" s="174"/>
    </row>
    <row r="587" ht="15.75" customHeight="1">
      <c r="S587" s="239"/>
      <c r="AE587" s="174"/>
    </row>
    <row r="588" ht="15.75" customHeight="1">
      <c r="S588" s="239"/>
      <c r="AE588" s="174"/>
    </row>
    <row r="589" ht="15.75" customHeight="1">
      <c r="S589" s="239"/>
      <c r="AE589" s="174"/>
    </row>
    <row r="590" ht="15.75" customHeight="1">
      <c r="S590" s="239"/>
      <c r="AE590" s="174"/>
    </row>
    <row r="591" ht="15.75" customHeight="1">
      <c r="S591" s="239"/>
      <c r="AE591" s="174"/>
    </row>
    <row r="592" ht="15.75" customHeight="1">
      <c r="S592" s="239"/>
      <c r="AE592" s="174"/>
    </row>
    <row r="593" ht="15.75" customHeight="1">
      <c r="S593" s="239"/>
      <c r="AE593" s="174"/>
    </row>
    <row r="594" ht="15.75" customHeight="1">
      <c r="S594" s="239"/>
      <c r="AE594" s="174"/>
    </row>
    <row r="595" ht="15.75" customHeight="1">
      <c r="S595" s="239"/>
      <c r="AE595" s="174"/>
    </row>
    <row r="596" ht="15.75" customHeight="1">
      <c r="S596" s="239"/>
      <c r="AE596" s="174"/>
    </row>
    <row r="597" ht="15.75" customHeight="1">
      <c r="S597" s="239"/>
      <c r="AE597" s="174"/>
    </row>
    <row r="598" ht="15.75" customHeight="1">
      <c r="S598" s="239"/>
      <c r="AE598" s="174"/>
    </row>
    <row r="599" ht="15.75" customHeight="1">
      <c r="S599" s="239"/>
      <c r="AE599" s="174"/>
    </row>
    <row r="600" ht="15.75" customHeight="1">
      <c r="S600" s="239"/>
      <c r="AE600" s="174"/>
    </row>
    <row r="601" ht="15.75" customHeight="1">
      <c r="S601" s="239"/>
      <c r="AE601" s="174"/>
    </row>
    <row r="602" ht="15.75" customHeight="1">
      <c r="S602" s="239"/>
      <c r="AE602" s="174"/>
    </row>
    <row r="603" ht="15.75" customHeight="1">
      <c r="S603" s="239"/>
      <c r="AE603" s="174"/>
    </row>
    <row r="604" ht="15.75" customHeight="1">
      <c r="S604" s="239"/>
      <c r="AE604" s="174"/>
    </row>
    <row r="605" ht="15.75" customHeight="1">
      <c r="S605" s="239"/>
      <c r="AE605" s="174"/>
    </row>
    <row r="606" ht="15.75" customHeight="1">
      <c r="S606" s="239"/>
      <c r="AE606" s="174"/>
    </row>
    <row r="607" ht="15.75" customHeight="1">
      <c r="S607" s="239"/>
      <c r="AE607" s="174"/>
    </row>
    <row r="608" ht="15.75" customHeight="1">
      <c r="S608" s="239"/>
      <c r="AE608" s="174"/>
    </row>
    <row r="609" ht="15.75" customHeight="1">
      <c r="S609" s="239"/>
      <c r="AE609" s="174"/>
    </row>
    <row r="610" ht="15.75" customHeight="1">
      <c r="S610" s="239"/>
      <c r="AE610" s="174"/>
    </row>
    <row r="611" ht="15.75" customHeight="1">
      <c r="S611" s="239"/>
      <c r="AE611" s="174"/>
    </row>
    <row r="612" ht="15.75" customHeight="1">
      <c r="S612" s="239"/>
      <c r="AE612" s="174"/>
    </row>
    <row r="613" ht="15.75" customHeight="1">
      <c r="S613" s="239"/>
      <c r="AE613" s="174"/>
    </row>
    <row r="614" ht="15.75" customHeight="1">
      <c r="S614" s="239"/>
      <c r="AE614" s="174"/>
    </row>
    <row r="615" ht="15.75" customHeight="1">
      <c r="S615" s="239"/>
      <c r="AE615" s="174"/>
    </row>
    <row r="616" ht="15.75" customHeight="1">
      <c r="S616" s="239"/>
      <c r="AE616" s="174"/>
    </row>
    <row r="617" ht="15.75" customHeight="1">
      <c r="S617" s="239"/>
      <c r="AE617" s="174"/>
    </row>
    <row r="618" ht="15.75" customHeight="1">
      <c r="S618" s="239"/>
      <c r="AE618" s="174"/>
    </row>
    <row r="619" ht="15.75" customHeight="1">
      <c r="S619" s="239"/>
      <c r="AE619" s="174"/>
    </row>
    <row r="620" ht="15.75" customHeight="1">
      <c r="S620" s="239"/>
      <c r="AE620" s="174"/>
    </row>
    <row r="621" ht="15.75" customHeight="1">
      <c r="S621" s="239"/>
      <c r="AE621" s="174"/>
    </row>
    <row r="622" ht="15.75" customHeight="1">
      <c r="S622" s="239"/>
      <c r="AE622" s="174"/>
    </row>
    <row r="623" ht="15.75" customHeight="1">
      <c r="S623" s="239"/>
      <c r="AE623" s="174"/>
    </row>
    <row r="624" ht="15.75" customHeight="1">
      <c r="S624" s="239"/>
      <c r="AE624" s="174"/>
    </row>
    <row r="625" ht="15.75" customHeight="1">
      <c r="S625" s="239"/>
      <c r="AE625" s="174"/>
    </row>
    <row r="626" ht="15.75" customHeight="1">
      <c r="S626" s="239"/>
      <c r="AE626" s="174"/>
    </row>
    <row r="627" ht="15.75" customHeight="1">
      <c r="S627" s="239"/>
      <c r="AE627" s="174"/>
    </row>
    <row r="628" ht="15.75" customHeight="1">
      <c r="S628" s="239"/>
      <c r="AE628" s="174"/>
    </row>
    <row r="629" ht="15.75" customHeight="1">
      <c r="S629" s="239"/>
      <c r="AE629" s="174"/>
    </row>
    <row r="630" ht="15.75" customHeight="1">
      <c r="S630" s="239"/>
      <c r="AE630" s="174"/>
    </row>
    <row r="631" ht="15.75" customHeight="1">
      <c r="S631" s="239"/>
      <c r="AE631" s="174"/>
    </row>
    <row r="632" ht="15.75" customHeight="1">
      <c r="S632" s="239"/>
      <c r="AE632" s="174"/>
    </row>
    <row r="633" ht="15.75" customHeight="1">
      <c r="S633" s="239"/>
      <c r="AE633" s="174"/>
    </row>
    <row r="634" ht="15.75" customHeight="1">
      <c r="S634" s="239"/>
      <c r="AE634" s="174"/>
    </row>
    <row r="635" ht="15.75" customHeight="1">
      <c r="S635" s="239"/>
      <c r="AE635" s="174"/>
    </row>
    <row r="636" ht="15.75" customHeight="1">
      <c r="S636" s="239"/>
      <c r="AE636" s="174"/>
    </row>
    <row r="637" ht="15.75" customHeight="1">
      <c r="S637" s="239"/>
      <c r="AE637" s="174"/>
    </row>
    <row r="638" ht="15.75" customHeight="1">
      <c r="S638" s="239"/>
      <c r="AE638" s="174"/>
    </row>
    <row r="639" ht="15.75" customHeight="1">
      <c r="S639" s="239"/>
      <c r="AE639" s="174"/>
    </row>
    <row r="640" ht="15.75" customHeight="1">
      <c r="S640" s="239"/>
      <c r="AE640" s="174"/>
    </row>
    <row r="641" ht="15.75" customHeight="1">
      <c r="S641" s="239"/>
      <c r="AE641" s="174"/>
    </row>
    <row r="642" ht="15.75" customHeight="1">
      <c r="S642" s="239"/>
      <c r="AE642" s="174"/>
    </row>
    <row r="643" ht="15.75" customHeight="1">
      <c r="S643" s="239"/>
      <c r="AE643" s="174"/>
    </row>
    <row r="644" ht="15.75" customHeight="1">
      <c r="S644" s="239"/>
      <c r="AE644" s="174"/>
    </row>
    <row r="645" ht="15.75" customHeight="1">
      <c r="S645" s="239"/>
      <c r="AE645" s="174"/>
    </row>
    <row r="646" ht="15.75" customHeight="1">
      <c r="S646" s="239"/>
      <c r="AE646" s="174"/>
    </row>
    <row r="647" ht="15.75" customHeight="1">
      <c r="S647" s="239"/>
      <c r="AE647" s="174"/>
    </row>
    <row r="648" ht="15.75" customHeight="1">
      <c r="S648" s="239"/>
      <c r="AE648" s="174"/>
    </row>
    <row r="649" ht="15.75" customHeight="1">
      <c r="S649" s="239"/>
      <c r="AE649" s="174"/>
    </row>
    <row r="650" ht="15.75" customHeight="1">
      <c r="S650" s="239"/>
      <c r="AE650" s="174"/>
    </row>
    <row r="651" ht="15.75" customHeight="1">
      <c r="S651" s="239"/>
      <c r="AE651" s="174"/>
    </row>
    <row r="652" ht="15.75" customHeight="1">
      <c r="S652" s="239"/>
      <c r="AE652" s="174"/>
    </row>
    <row r="653" ht="15.75" customHeight="1">
      <c r="S653" s="239"/>
      <c r="AE653" s="174"/>
    </row>
    <row r="654" ht="15.75" customHeight="1">
      <c r="S654" s="239"/>
      <c r="AE654" s="174"/>
    </row>
    <row r="655" ht="15.75" customHeight="1">
      <c r="S655" s="239"/>
      <c r="AE655" s="174"/>
    </row>
    <row r="656" ht="15.75" customHeight="1">
      <c r="S656" s="239"/>
      <c r="AE656" s="174"/>
    </row>
    <row r="657" ht="15.75" customHeight="1">
      <c r="S657" s="239"/>
      <c r="AE657" s="174"/>
    </row>
    <row r="658" ht="15.75" customHeight="1">
      <c r="S658" s="239"/>
      <c r="AE658" s="174"/>
    </row>
    <row r="659" ht="15.75" customHeight="1">
      <c r="S659" s="239"/>
      <c r="AE659" s="174"/>
    </row>
    <row r="660" ht="15.75" customHeight="1">
      <c r="S660" s="239"/>
      <c r="AE660" s="174"/>
    </row>
    <row r="661" ht="15.75" customHeight="1">
      <c r="S661" s="239"/>
      <c r="AE661" s="174"/>
    </row>
    <row r="662" ht="15.75" customHeight="1">
      <c r="S662" s="239"/>
      <c r="AE662" s="174"/>
    </row>
    <row r="663" ht="15.75" customHeight="1">
      <c r="S663" s="239"/>
      <c r="AE663" s="174"/>
    </row>
    <row r="664" ht="15.75" customHeight="1">
      <c r="S664" s="239"/>
      <c r="AE664" s="174"/>
    </row>
    <row r="665" ht="15.75" customHeight="1">
      <c r="S665" s="239"/>
      <c r="AE665" s="174"/>
    </row>
    <row r="666" ht="15.75" customHeight="1">
      <c r="S666" s="239"/>
      <c r="AE666" s="174"/>
    </row>
    <row r="667" ht="15.75" customHeight="1">
      <c r="S667" s="239"/>
      <c r="AE667" s="174"/>
    </row>
    <row r="668" ht="15.75" customHeight="1">
      <c r="S668" s="239"/>
      <c r="AE668" s="174"/>
    </row>
    <row r="669" ht="15.75" customHeight="1">
      <c r="S669" s="239"/>
      <c r="AE669" s="174"/>
    </row>
    <row r="670" ht="15.75" customHeight="1">
      <c r="S670" s="239"/>
      <c r="AE670" s="174"/>
    </row>
    <row r="671" ht="15.75" customHeight="1">
      <c r="S671" s="239"/>
      <c r="AE671" s="174"/>
    </row>
    <row r="672" ht="15.75" customHeight="1">
      <c r="S672" s="239"/>
      <c r="AE672" s="174"/>
    </row>
    <row r="673" ht="15.75" customHeight="1">
      <c r="S673" s="239"/>
      <c r="AE673" s="174"/>
    </row>
    <row r="674" ht="15.75" customHeight="1">
      <c r="S674" s="239"/>
      <c r="AE674" s="174"/>
    </row>
    <row r="675" ht="15.75" customHeight="1">
      <c r="S675" s="239"/>
      <c r="AE675" s="174"/>
    </row>
    <row r="676" ht="15.75" customHeight="1">
      <c r="S676" s="239"/>
      <c r="AE676" s="174"/>
    </row>
    <row r="677" ht="15.75" customHeight="1">
      <c r="S677" s="239"/>
      <c r="AE677" s="174"/>
    </row>
    <row r="678" ht="15.75" customHeight="1">
      <c r="S678" s="239"/>
      <c r="AE678" s="174"/>
    </row>
    <row r="679" ht="15.75" customHeight="1">
      <c r="S679" s="239"/>
      <c r="AE679" s="174"/>
    </row>
    <row r="680" ht="15.75" customHeight="1">
      <c r="S680" s="239"/>
      <c r="AE680" s="174"/>
    </row>
    <row r="681" ht="15.75" customHeight="1">
      <c r="S681" s="239"/>
      <c r="AE681" s="174"/>
    </row>
    <row r="682" ht="15.75" customHeight="1">
      <c r="S682" s="239"/>
      <c r="AE682" s="174"/>
    </row>
    <row r="683" ht="15.75" customHeight="1">
      <c r="S683" s="239"/>
      <c r="AE683" s="174"/>
    </row>
    <row r="684" ht="15.75" customHeight="1">
      <c r="S684" s="239"/>
      <c r="AE684" s="174"/>
    </row>
    <row r="685" ht="15.75" customHeight="1">
      <c r="S685" s="239"/>
      <c r="AE685" s="174"/>
    </row>
    <row r="686" ht="15.75" customHeight="1">
      <c r="S686" s="239"/>
      <c r="AE686" s="174"/>
    </row>
    <row r="687" ht="15.75" customHeight="1">
      <c r="S687" s="239"/>
      <c r="AE687" s="174"/>
    </row>
    <row r="688" ht="15.75" customHeight="1">
      <c r="S688" s="239"/>
      <c r="AE688" s="174"/>
    </row>
    <row r="689" ht="15.75" customHeight="1">
      <c r="S689" s="239"/>
      <c r="AE689" s="174"/>
    </row>
    <row r="690" ht="15.75" customHeight="1">
      <c r="S690" s="239"/>
      <c r="AE690" s="174"/>
    </row>
    <row r="691" ht="15.75" customHeight="1">
      <c r="S691" s="239"/>
      <c r="AE691" s="174"/>
    </row>
    <row r="692" ht="15.75" customHeight="1">
      <c r="S692" s="239"/>
      <c r="AE692" s="174"/>
    </row>
    <row r="693" ht="15.75" customHeight="1">
      <c r="S693" s="239"/>
      <c r="AE693" s="174"/>
    </row>
    <row r="694" ht="15.75" customHeight="1">
      <c r="S694" s="239"/>
      <c r="AE694" s="174"/>
    </row>
    <row r="695" ht="15.75" customHeight="1">
      <c r="S695" s="239"/>
      <c r="AE695" s="174"/>
    </row>
    <row r="696" ht="15.75" customHeight="1">
      <c r="S696" s="239"/>
      <c r="AE696" s="174"/>
    </row>
    <row r="697" ht="15.75" customHeight="1">
      <c r="S697" s="239"/>
      <c r="AE697" s="174"/>
    </row>
    <row r="698" ht="15.75" customHeight="1">
      <c r="S698" s="239"/>
      <c r="AE698" s="174"/>
    </row>
    <row r="699" ht="15.75" customHeight="1">
      <c r="S699" s="239"/>
      <c r="AE699" s="174"/>
    </row>
    <row r="700" ht="15.75" customHeight="1">
      <c r="S700" s="239"/>
      <c r="AE700" s="174"/>
    </row>
    <row r="701" ht="15.75" customHeight="1">
      <c r="S701" s="239"/>
      <c r="AE701" s="174"/>
    </row>
    <row r="702" ht="15.75" customHeight="1">
      <c r="S702" s="239"/>
      <c r="AE702" s="174"/>
    </row>
    <row r="703" ht="15.75" customHeight="1">
      <c r="S703" s="239"/>
      <c r="AE703" s="174"/>
    </row>
    <row r="704" ht="15.75" customHeight="1">
      <c r="S704" s="239"/>
      <c r="AE704" s="174"/>
    </row>
    <row r="705" ht="15.75" customHeight="1">
      <c r="S705" s="239"/>
      <c r="AE705" s="174"/>
    </row>
    <row r="706" ht="15.75" customHeight="1">
      <c r="S706" s="239"/>
      <c r="AE706" s="174"/>
    </row>
    <row r="707" ht="15.75" customHeight="1">
      <c r="S707" s="239"/>
      <c r="AE707" s="174"/>
    </row>
    <row r="708" ht="15.75" customHeight="1">
      <c r="S708" s="239"/>
      <c r="AE708" s="174"/>
    </row>
    <row r="709" ht="15.75" customHeight="1">
      <c r="S709" s="239"/>
      <c r="AE709" s="174"/>
    </row>
    <row r="710" ht="15.75" customHeight="1">
      <c r="S710" s="239"/>
      <c r="AE710" s="174"/>
    </row>
    <row r="711" ht="15.75" customHeight="1">
      <c r="S711" s="239"/>
      <c r="AE711" s="174"/>
    </row>
    <row r="712" ht="15.75" customHeight="1">
      <c r="S712" s="239"/>
      <c r="AE712" s="174"/>
    </row>
    <row r="713" ht="15.75" customHeight="1">
      <c r="S713" s="239"/>
      <c r="AE713" s="174"/>
    </row>
    <row r="714" ht="15.75" customHeight="1">
      <c r="S714" s="239"/>
      <c r="AE714" s="174"/>
    </row>
    <row r="715" ht="15.75" customHeight="1">
      <c r="S715" s="239"/>
      <c r="AE715" s="174"/>
    </row>
    <row r="716" ht="15.75" customHeight="1">
      <c r="S716" s="239"/>
      <c r="AE716" s="174"/>
    </row>
    <row r="717" ht="15.75" customHeight="1">
      <c r="S717" s="239"/>
      <c r="AE717" s="174"/>
    </row>
    <row r="718" ht="15.75" customHeight="1">
      <c r="S718" s="239"/>
      <c r="AE718" s="174"/>
    </row>
    <row r="719" ht="15.75" customHeight="1">
      <c r="S719" s="239"/>
      <c r="AE719" s="174"/>
    </row>
    <row r="720" ht="15.75" customHeight="1">
      <c r="S720" s="239"/>
      <c r="AE720" s="174"/>
    </row>
    <row r="721" ht="15.75" customHeight="1">
      <c r="S721" s="239"/>
      <c r="AE721" s="174"/>
    </row>
    <row r="722" ht="15.75" customHeight="1">
      <c r="S722" s="239"/>
      <c r="AE722" s="174"/>
    </row>
    <row r="723" ht="15.75" customHeight="1">
      <c r="S723" s="239"/>
      <c r="AE723" s="174"/>
    </row>
    <row r="724" ht="15.75" customHeight="1">
      <c r="S724" s="239"/>
      <c r="AE724" s="174"/>
    </row>
    <row r="725" ht="15.75" customHeight="1">
      <c r="S725" s="239"/>
      <c r="AE725" s="174"/>
    </row>
    <row r="726" ht="15.75" customHeight="1">
      <c r="S726" s="239"/>
      <c r="AE726" s="174"/>
    </row>
    <row r="727" ht="15.75" customHeight="1">
      <c r="S727" s="239"/>
      <c r="AE727" s="174"/>
    </row>
    <row r="728" ht="15.75" customHeight="1">
      <c r="S728" s="239"/>
      <c r="AE728" s="174"/>
    </row>
    <row r="729" ht="15.75" customHeight="1">
      <c r="S729" s="239"/>
      <c r="AE729" s="174"/>
    </row>
    <row r="730" ht="15.75" customHeight="1">
      <c r="S730" s="239"/>
      <c r="AE730" s="174"/>
    </row>
    <row r="731" ht="15.75" customHeight="1">
      <c r="S731" s="239"/>
      <c r="AE731" s="174"/>
    </row>
    <row r="732" ht="15.75" customHeight="1">
      <c r="S732" s="239"/>
      <c r="AE732" s="174"/>
    </row>
    <row r="733" ht="15.75" customHeight="1">
      <c r="S733" s="239"/>
      <c r="AE733" s="174"/>
    </row>
    <row r="734" ht="15.75" customHeight="1">
      <c r="S734" s="239"/>
      <c r="AE734" s="174"/>
    </row>
    <row r="735" ht="15.75" customHeight="1">
      <c r="S735" s="239"/>
      <c r="AE735" s="174"/>
    </row>
    <row r="736" ht="15.75" customHeight="1">
      <c r="S736" s="239"/>
      <c r="AE736" s="174"/>
    </row>
    <row r="737" ht="15.75" customHeight="1">
      <c r="S737" s="239"/>
      <c r="AE737" s="174"/>
    </row>
    <row r="738" ht="15.75" customHeight="1">
      <c r="S738" s="239"/>
      <c r="AE738" s="174"/>
    </row>
    <row r="739" ht="15.75" customHeight="1">
      <c r="S739" s="239"/>
      <c r="AE739" s="174"/>
    </row>
    <row r="740" ht="15.75" customHeight="1">
      <c r="S740" s="239"/>
      <c r="AE740" s="174"/>
    </row>
    <row r="741" ht="15.75" customHeight="1">
      <c r="S741" s="239"/>
      <c r="AE741" s="174"/>
    </row>
    <row r="742" ht="15.75" customHeight="1">
      <c r="S742" s="239"/>
      <c r="AE742" s="174"/>
    </row>
    <row r="743" ht="15.75" customHeight="1">
      <c r="S743" s="239"/>
      <c r="AE743" s="174"/>
    </row>
    <row r="744" ht="15.75" customHeight="1">
      <c r="S744" s="239"/>
      <c r="AE744" s="174"/>
    </row>
    <row r="745" ht="15.75" customHeight="1">
      <c r="S745" s="239"/>
      <c r="AE745" s="174"/>
    </row>
    <row r="746" ht="15.75" customHeight="1">
      <c r="S746" s="239"/>
      <c r="AE746" s="174"/>
    </row>
    <row r="747" ht="15.75" customHeight="1">
      <c r="S747" s="239"/>
      <c r="AE747" s="174"/>
    </row>
    <row r="748" ht="15.75" customHeight="1">
      <c r="S748" s="239"/>
      <c r="AE748" s="174"/>
    </row>
    <row r="749" ht="15.75" customHeight="1">
      <c r="S749" s="239"/>
      <c r="AE749" s="174"/>
    </row>
    <row r="750" ht="15.75" customHeight="1">
      <c r="S750" s="239"/>
      <c r="AE750" s="174"/>
    </row>
    <row r="751" ht="15.75" customHeight="1">
      <c r="S751" s="239"/>
      <c r="AE751" s="174"/>
    </row>
    <row r="752" ht="15.75" customHeight="1">
      <c r="S752" s="239"/>
      <c r="AE752" s="174"/>
    </row>
    <row r="753" ht="15.75" customHeight="1">
      <c r="S753" s="239"/>
      <c r="AE753" s="174"/>
    </row>
    <row r="754" ht="15.75" customHeight="1">
      <c r="S754" s="239"/>
      <c r="AE754" s="174"/>
    </row>
    <row r="755" ht="15.75" customHeight="1">
      <c r="S755" s="239"/>
      <c r="AE755" s="174"/>
    </row>
    <row r="756" ht="15.75" customHeight="1">
      <c r="S756" s="239"/>
      <c r="AE756" s="174"/>
    </row>
    <row r="757" ht="15.75" customHeight="1">
      <c r="S757" s="239"/>
      <c r="AE757" s="174"/>
    </row>
    <row r="758" ht="15.75" customHeight="1">
      <c r="S758" s="239"/>
      <c r="AE758" s="174"/>
    </row>
    <row r="759" ht="15.75" customHeight="1">
      <c r="S759" s="239"/>
      <c r="AE759" s="174"/>
    </row>
    <row r="760" ht="15.75" customHeight="1">
      <c r="S760" s="239"/>
      <c r="AE760" s="174"/>
    </row>
    <row r="761" ht="15.75" customHeight="1">
      <c r="S761" s="239"/>
      <c r="AE761" s="174"/>
    </row>
    <row r="762" ht="15.75" customHeight="1">
      <c r="S762" s="239"/>
      <c r="AE762" s="174"/>
    </row>
    <row r="763" ht="15.75" customHeight="1">
      <c r="S763" s="239"/>
      <c r="AE763" s="174"/>
    </row>
    <row r="764" ht="15.75" customHeight="1">
      <c r="S764" s="239"/>
      <c r="AE764" s="174"/>
    </row>
    <row r="765" ht="15.75" customHeight="1">
      <c r="S765" s="239"/>
      <c r="AE765" s="174"/>
    </row>
    <row r="766" ht="15.75" customHeight="1">
      <c r="S766" s="239"/>
      <c r="AE766" s="174"/>
    </row>
    <row r="767" ht="15.75" customHeight="1">
      <c r="S767" s="239"/>
      <c r="AE767" s="174"/>
    </row>
    <row r="768" ht="15.75" customHeight="1">
      <c r="S768" s="239"/>
      <c r="AE768" s="174"/>
    </row>
    <row r="769" ht="15.75" customHeight="1">
      <c r="S769" s="239"/>
      <c r="AE769" s="174"/>
    </row>
    <row r="770" ht="15.75" customHeight="1">
      <c r="S770" s="239"/>
      <c r="AE770" s="174"/>
    </row>
    <row r="771" ht="15.75" customHeight="1">
      <c r="S771" s="239"/>
      <c r="AE771" s="174"/>
    </row>
    <row r="772" ht="15.75" customHeight="1">
      <c r="S772" s="239"/>
      <c r="AE772" s="174"/>
    </row>
    <row r="773" ht="15.75" customHeight="1">
      <c r="S773" s="239"/>
      <c r="AE773" s="174"/>
    </row>
    <row r="774" ht="15.75" customHeight="1">
      <c r="S774" s="239"/>
      <c r="AE774" s="174"/>
    </row>
    <row r="775" ht="15.75" customHeight="1">
      <c r="S775" s="239"/>
      <c r="AE775" s="174"/>
    </row>
    <row r="776" ht="15.75" customHeight="1">
      <c r="S776" s="239"/>
      <c r="AE776" s="174"/>
    </row>
    <row r="777" ht="15.75" customHeight="1">
      <c r="S777" s="239"/>
      <c r="AE777" s="174"/>
    </row>
    <row r="778" ht="15.75" customHeight="1">
      <c r="S778" s="239"/>
      <c r="AE778" s="174"/>
    </row>
    <row r="779" ht="15.75" customHeight="1">
      <c r="S779" s="239"/>
      <c r="AE779" s="174"/>
    </row>
    <row r="780" ht="15.75" customHeight="1">
      <c r="S780" s="239"/>
      <c r="AE780" s="174"/>
    </row>
    <row r="781" ht="15.75" customHeight="1">
      <c r="S781" s="239"/>
      <c r="AE781" s="174"/>
    </row>
    <row r="782" ht="15.75" customHeight="1">
      <c r="S782" s="239"/>
      <c r="AE782" s="174"/>
    </row>
    <row r="783" ht="15.75" customHeight="1">
      <c r="S783" s="239"/>
      <c r="AE783" s="174"/>
    </row>
    <row r="784" ht="15.75" customHeight="1">
      <c r="S784" s="239"/>
      <c r="AE784" s="174"/>
    </row>
    <row r="785" ht="15.75" customHeight="1">
      <c r="S785" s="239"/>
      <c r="AE785" s="174"/>
    </row>
    <row r="786" ht="15.75" customHeight="1">
      <c r="S786" s="239"/>
      <c r="AE786" s="174"/>
    </row>
    <row r="787" ht="15.75" customHeight="1">
      <c r="S787" s="239"/>
      <c r="AE787" s="174"/>
    </row>
    <row r="788" ht="15.75" customHeight="1">
      <c r="S788" s="239"/>
      <c r="AE788" s="174"/>
    </row>
    <row r="789" ht="15.75" customHeight="1">
      <c r="S789" s="239"/>
      <c r="AE789" s="174"/>
    </row>
    <row r="790" ht="15.75" customHeight="1">
      <c r="S790" s="239"/>
      <c r="AE790" s="174"/>
    </row>
    <row r="791" ht="15.75" customHeight="1">
      <c r="S791" s="239"/>
      <c r="AE791" s="174"/>
    </row>
    <row r="792" ht="15.75" customHeight="1">
      <c r="S792" s="239"/>
      <c r="AE792" s="174"/>
    </row>
    <row r="793" ht="15.75" customHeight="1">
      <c r="S793" s="239"/>
      <c r="AE793" s="174"/>
    </row>
    <row r="794" ht="15.75" customHeight="1">
      <c r="S794" s="239"/>
      <c r="AE794" s="174"/>
    </row>
    <row r="795" ht="15.75" customHeight="1">
      <c r="S795" s="239"/>
      <c r="AE795" s="174"/>
    </row>
    <row r="796" ht="15.75" customHeight="1">
      <c r="S796" s="239"/>
      <c r="AE796" s="174"/>
    </row>
    <row r="797" ht="15.75" customHeight="1">
      <c r="S797" s="239"/>
      <c r="AE797" s="174"/>
    </row>
    <row r="798" ht="15.75" customHeight="1">
      <c r="S798" s="239"/>
      <c r="AE798" s="174"/>
    </row>
    <row r="799" ht="15.75" customHeight="1">
      <c r="S799" s="239"/>
      <c r="AE799" s="174"/>
    </row>
    <row r="800" ht="15.75" customHeight="1">
      <c r="S800" s="239"/>
      <c r="AE800" s="174"/>
    </row>
    <row r="801" ht="15.75" customHeight="1">
      <c r="S801" s="239"/>
      <c r="AE801" s="174"/>
    </row>
    <row r="802" ht="15.75" customHeight="1">
      <c r="S802" s="239"/>
      <c r="AE802" s="174"/>
    </row>
    <row r="803" ht="15.75" customHeight="1">
      <c r="S803" s="239"/>
      <c r="AE803" s="174"/>
    </row>
    <row r="804" ht="15.75" customHeight="1">
      <c r="S804" s="239"/>
      <c r="AE804" s="174"/>
    </row>
    <row r="805" ht="15.75" customHeight="1">
      <c r="S805" s="239"/>
      <c r="AE805" s="174"/>
    </row>
    <row r="806" ht="15.75" customHeight="1">
      <c r="S806" s="239"/>
      <c r="AE806" s="174"/>
    </row>
    <row r="807" ht="15.75" customHeight="1">
      <c r="S807" s="239"/>
      <c r="AE807" s="174"/>
    </row>
    <row r="808" ht="15.75" customHeight="1">
      <c r="S808" s="239"/>
      <c r="AE808" s="174"/>
    </row>
    <row r="809" ht="15.75" customHeight="1">
      <c r="S809" s="239"/>
      <c r="AE809" s="174"/>
    </row>
    <row r="810" ht="15.75" customHeight="1">
      <c r="S810" s="239"/>
      <c r="AE810" s="174"/>
    </row>
    <row r="811" ht="15.75" customHeight="1">
      <c r="S811" s="239"/>
      <c r="AE811" s="174"/>
    </row>
    <row r="812" ht="15.75" customHeight="1">
      <c r="S812" s="239"/>
      <c r="AE812" s="174"/>
    </row>
    <row r="813" ht="15.75" customHeight="1">
      <c r="S813" s="239"/>
      <c r="AE813" s="174"/>
    </row>
    <row r="814" ht="15.75" customHeight="1">
      <c r="S814" s="239"/>
      <c r="AE814" s="174"/>
    </row>
    <row r="815" ht="15.75" customHeight="1">
      <c r="S815" s="239"/>
      <c r="AE815" s="174"/>
    </row>
    <row r="816" ht="15.75" customHeight="1">
      <c r="S816" s="239"/>
      <c r="AE816" s="174"/>
    </row>
    <row r="817" ht="15.75" customHeight="1">
      <c r="S817" s="239"/>
      <c r="AE817" s="174"/>
    </row>
    <row r="818" ht="15.75" customHeight="1">
      <c r="S818" s="239"/>
      <c r="AE818" s="174"/>
    </row>
    <row r="819" ht="15.75" customHeight="1">
      <c r="S819" s="239"/>
      <c r="AE819" s="174"/>
    </row>
    <row r="820" ht="15.75" customHeight="1">
      <c r="S820" s="239"/>
      <c r="AE820" s="174"/>
    </row>
    <row r="821" ht="15.75" customHeight="1">
      <c r="S821" s="239"/>
      <c r="AE821" s="174"/>
    </row>
    <row r="822" ht="15.75" customHeight="1">
      <c r="S822" s="239"/>
      <c r="AE822" s="174"/>
    </row>
    <row r="823" ht="15.75" customHeight="1">
      <c r="S823" s="239"/>
      <c r="AE823" s="174"/>
    </row>
    <row r="824" ht="15.75" customHeight="1">
      <c r="S824" s="239"/>
      <c r="AE824" s="174"/>
    </row>
    <row r="825" ht="15.75" customHeight="1">
      <c r="S825" s="239"/>
      <c r="AE825" s="174"/>
    </row>
    <row r="826" ht="15.75" customHeight="1">
      <c r="S826" s="239"/>
      <c r="AE826" s="174"/>
    </row>
    <row r="827" ht="15.75" customHeight="1">
      <c r="S827" s="239"/>
      <c r="AE827" s="174"/>
    </row>
    <row r="828" ht="15.75" customHeight="1">
      <c r="S828" s="239"/>
      <c r="AE828" s="174"/>
    </row>
    <row r="829" ht="15.75" customHeight="1">
      <c r="S829" s="239"/>
      <c r="AE829" s="174"/>
    </row>
    <row r="830" ht="15.75" customHeight="1">
      <c r="S830" s="239"/>
      <c r="AE830" s="174"/>
    </row>
    <row r="831" ht="15.75" customHeight="1">
      <c r="S831" s="239"/>
      <c r="AE831" s="174"/>
    </row>
    <row r="832" ht="15.75" customHeight="1">
      <c r="S832" s="239"/>
      <c r="AE832" s="174"/>
    </row>
    <row r="833" ht="15.75" customHeight="1">
      <c r="S833" s="239"/>
      <c r="AE833" s="174"/>
    </row>
    <row r="834" ht="15.75" customHeight="1">
      <c r="S834" s="239"/>
      <c r="AE834" s="174"/>
    </row>
    <row r="835" ht="15.75" customHeight="1">
      <c r="S835" s="239"/>
      <c r="AE835" s="174"/>
    </row>
    <row r="836" ht="15.75" customHeight="1">
      <c r="S836" s="239"/>
      <c r="AE836" s="174"/>
    </row>
    <row r="837" ht="15.75" customHeight="1">
      <c r="S837" s="239"/>
      <c r="AE837" s="174"/>
    </row>
    <row r="838" ht="15.75" customHeight="1">
      <c r="S838" s="239"/>
      <c r="AE838" s="174"/>
    </row>
    <row r="839" ht="15.75" customHeight="1">
      <c r="S839" s="239"/>
      <c r="AE839" s="174"/>
    </row>
    <row r="840" ht="15.75" customHeight="1">
      <c r="S840" s="239"/>
      <c r="AE840" s="174"/>
    </row>
    <row r="841" ht="15.75" customHeight="1">
      <c r="S841" s="239"/>
      <c r="AE841" s="174"/>
    </row>
    <row r="842" ht="15.75" customHeight="1">
      <c r="S842" s="239"/>
      <c r="AE842" s="174"/>
    </row>
    <row r="843" ht="15.75" customHeight="1">
      <c r="S843" s="239"/>
      <c r="AE843" s="174"/>
    </row>
    <row r="844" ht="15.75" customHeight="1">
      <c r="S844" s="239"/>
      <c r="AE844" s="174"/>
    </row>
    <row r="845" ht="15.75" customHeight="1">
      <c r="S845" s="239"/>
      <c r="AE845" s="174"/>
    </row>
    <row r="846" ht="15.75" customHeight="1">
      <c r="S846" s="239"/>
      <c r="AE846" s="174"/>
    </row>
    <row r="847" ht="15.75" customHeight="1">
      <c r="S847" s="239"/>
      <c r="AE847" s="174"/>
    </row>
    <row r="848" ht="15.75" customHeight="1">
      <c r="S848" s="239"/>
      <c r="AE848" s="174"/>
    </row>
    <row r="849" ht="15.75" customHeight="1">
      <c r="S849" s="239"/>
      <c r="AE849" s="174"/>
    </row>
    <row r="850" ht="15.75" customHeight="1">
      <c r="S850" s="239"/>
      <c r="AE850" s="174"/>
    </row>
    <row r="851" ht="15.75" customHeight="1">
      <c r="S851" s="239"/>
      <c r="AE851" s="174"/>
    </row>
    <row r="852" ht="15.75" customHeight="1">
      <c r="S852" s="239"/>
      <c r="AE852" s="174"/>
    </row>
    <row r="853" ht="15.75" customHeight="1">
      <c r="S853" s="239"/>
      <c r="AE853" s="174"/>
    </row>
    <row r="854" ht="15.75" customHeight="1">
      <c r="S854" s="239"/>
      <c r="AE854" s="174"/>
    </row>
    <row r="855" ht="15.75" customHeight="1">
      <c r="S855" s="239"/>
      <c r="AE855" s="174"/>
    </row>
    <row r="856" ht="15.75" customHeight="1">
      <c r="S856" s="239"/>
      <c r="AE856" s="174"/>
    </row>
    <row r="857" ht="15.75" customHeight="1">
      <c r="S857" s="239"/>
      <c r="AE857" s="174"/>
    </row>
    <row r="858" ht="15.75" customHeight="1">
      <c r="S858" s="239"/>
      <c r="AE858" s="174"/>
    </row>
    <row r="859" ht="15.75" customHeight="1">
      <c r="S859" s="239"/>
      <c r="AE859" s="174"/>
    </row>
    <row r="860" ht="15.75" customHeight="1">
      <c r="S860" s="239"/>
      <c r="AE860" s="174"/>
    </row>
    <row r="861" ht="15.75" customHeight="1">
      <c r="S861" s="239"/>
      <c r="AE861" s="174"/>
    </row>
    <row r="862" ht="15.75" customHeight="1">
      <c r="S862" s="239"/>
      <c r="AE862" s="174"/>
    </row>
    <row r="863" ht="15.75" customHeight="1">
      <c r="S863" s="239"/>
      <c r="AE863" s="174"/>
    </row>
    <row r="864" ht="15.75" customHeight="1">
      <c r="S864" s="239"/>
      <c r="AE864" s="174"/>
    </row>
    <row r="865" ht="15.75" customHeight="1">
      <c r="S865" s="239"/>
      <c r="AE865" s="174"/>
    </row>
    <row r="866" ht="15.75" customHeight="1">
      <c r="S866" s="239"/>
      <c r="AE866" s="174"/>
    </row>
    <row r="867" ht="15.75" customHeight="1">
      <c r="S867" s="239"/>
      <c r="AE867" s="174"/>
    </row>
    <row r="868" ht="15.75" customHeight="1">
      <c r="S868" s="239"/>
      <c r="AE868" s="174"/>
    </row>
    <row r="869" ht="15.75" customHeight="1">
      <c r="S869" s="239"/>
      <c r="AE869" s="174"/>
    </row>
    <row r="870" ht="15.75" customHeight="1">
      <c r="S870" s="239"/>
      <c r="AE870" s="174"/>
    </row>
    <row r="871" ht="15.75" customHeight="1">
      <c r="S871" s="239"/>
      <c r="AE871" s="174"/>
    </row>
    <row r="872" ht="15.75" customHeight="1">
      <c r="S872" s="239"/>
      <c r="AE872" s="174"/>
    </row>
    <row r="873" ht="15.75" customHeight="1">
      <c r="S873" s="239"/>
      <c r="AE873" s="174"/>
    </row>
    <row r="874" ht="15.75" customHeight="1">
      <c r="S874" s="239"/>
      <c r="AE874" s="174"/>
    </row>
    <row r="875" ht="15.75" customHeight="1">
      <c r="S875" s="239"/>
      <c r="AE875" s="174"/>
    </row>
    <row r="876" ht="15.75" customHeight="1">
      <c r="S876" s="239"/>
      <c r="AE876" s="174"/>
    </row>
    <row r="877" ht="15.75" customHeight="1">
      <c r="S877" s="239"/>
      <c r="AE877" s="174"/>
    </row>
    <row r="878" ht="15.75" customHeight="1">
      <c r="S878" s="239"/>
      <c r="AE878" s="174"/>
    </row>
    <row r="879" ht="15.75" customHeight="1">
      <c r="S879" s="239"/>
      <c r="AE879" s="174"/>
    </row>
    <row r="880" ht="15.75" customHeight="1">
      <c r="S880" s="239"/>
      <c r="AE880" s="174"/>
    </row>
    <row r="881" ht="15.75" customHeight="1">
      <c r="S881" s="239"/>
      <c r="AE881" s="174"/>
    </row>
    <row r="882" ht="15.75" customHeight="1">
      <c r="S882" s="239"/>
      <c r="AE882" s="174"/>
    </row>
    <row r="883" ht="15.75" customHeight="1">
      <c r="S883" s="239"/>
      <c r="AE883" s="174"/>
    </row>
    <row r="884" ht="15.75" customHeight="1">
      <c r="S884" s="239"/>
      <c r="AE884" s="174"/>
    </row>
    <row r="885" ht="15.75" customHeight="1">
      <c r="S885" s="239"/>
      <c r="AE885" s="174"/>
    </row>
    <row r="886" ht="15.75" customHeight="1">
      <c r="S886" s="239"/>
      <c r="AE886" s="174"/>
    </row>
    <row r="887" ht="15.75" customHeight="1">
      <c r="S887" s="239"/>
      <c r="AE887" s="174"/>
    </row>
    <row r="888" ht="15.75" customHeight="1">
      <c r="S888" s="239"/>
      <c r="AE888" s="174"/>
    </row>
    <row r="889" ht="15.75" customHeight="1">
      <c r="S889" s="239"/>
      <c r="AE889" s="174"/>
    </row>
    <row r="890" ht="15.75" customHeight="1">
      <c r="S890" s="239"/>
      <c r="AE890" s="174"/>
    </row>
    <row r="891" ht="15.75" customHeight="1">
      <c r="S891" s="239"/>
      <c r="AE891" s="174"/>
    </row>
    <row r="892" ht="15.75" customHeight="1">
      <c r="S892" s="239"/>
      <c r="AE892" s="174"/>
    </row>
    <row r="893" ht="15.75" customHeight="1">
      <c r="S893" s="239"/>
      <c r="AE893" s="174"/>
    </row>
    <row r="894" ht="15.75" customHeight="1">
      <c r="S894" s="239"/>
      <c r="AE894" s="174"/>
    </row>
    <row r="895" ht="15.75" customHeight="1">
      <c r="S895" s="239"/>
      <c r="AE895" s="174"/>
    </row>
    <row r="896" ht="15.75" customHeight="1">
      <c r="S896" s="239"/>
      <c r="AE896" s="174"/>
    </row>
    <row r="897" ht="15.75" customHeight="1">
      <c r="S897" s="239"/>
      <c r="AE897" s="174"/>
    </row>
    <row r="898" ht="15.75" customHeight="1">
      <c r="S898" s="239"/>
      <c r="AE898" s="174"/>
    </row>
    <row r="899" ht="15.75" customHeight="1">
      <c r="S899" s="239"/>
      <c r="AE899" s="174"/>
    </row>
    <row r="900" ht="15.75" customHeight="1">
      <c r="S900" s="239"/>
      <c r="AE900" s="174"/>
    </row>
    <row r="901" ht="15.75" customHeight="1">
      <c r="S901" s="239"/>
      <c r="AE901" s="174"/>
    </row>
    <row r="902" ht="15.75" customHeight="1">
      <c r="S902" s="239"/>
      <c r="AE902" s="174"/>
    </row>
    <row r="903" ht="15.75" customHeight="1">
      <c r="S903" s="239"/>
      <c r="AE903" s="174"/>
    </row>
    <row r="904" ht="15.75" customHeight="1">
      <c r="S904" s="239"/>
      <c r="AE904" s="174"/>
    </row>
    <row r="905" ht="15.75" customHeight="1">
      <c r="S905" s="239"/>
      <c r="AE905" s="174"/>
    </row>
    <row r="906" ht="15.75" customHeight="1">
      <c r="S906" s="239"/>
      <c r="AE906" s="174"/>
    </row>
    <row r="907" ht="15.75" customHeight="1">
      <c r="S907" s="239"/>
      <c r="AE907" s="174"/>
    </row>
    <row r="908" ht="15.75" customHeight="1">
      <c r="S908" s="239"/>
      <c r="AE908" s="174"/>
    </row>
    <row r="909" ht="15.75" customHeight="1">
      <c r="S909" s="239"/>
      <c r="AE909" s="174"/>
    </row>
    <row r="910" ht="15.75" customHeight="1">
      <c r="S910" s="239"/>
      <c r="AE910" s="174"/>
    </row>
    <row r="911" ht="15.75" customHeight="1">
      <c r="S911" s="239"/>
      <c r="AE911" s="174"/>
    </row>
    <row r="912" ht="15.75" customHeight="1">
      <c r="S912" s="239"/>
      <c r="AE912" s="174"/>
    </row>
    <row r="913" ht="15.75" customHeight="1">
      <c r="S913" s="239"/>
      <c r="AE913" s="174"/>
    </row>
    <row r="914" ht="15.75" customHeight="1">
      <c r="S914" s="239"/>
      <c r="AE914" s="174"/>
    </row>
    <row r="915" ht="15.75" customHeight="1">
      <c r="S915" s="239"/>
      <c r="AE915" s="174"/>
    </row>
    <row r="916" ht="15.75" customHeight="1">
      <c r="S916" s="239"/>
      <c r="AE916" s="174"/>
    </row>
    <row r="917" ht="15.75" customHeight="1">
      <c r="S917" s="239"/>
      <c r="AE917" s="174"/>
    </row>
    <row r="918" ht="15.75" customHeight="1">
      <c r="S918" s="239"/>
      <c r="AE918" s="174"/>
    </row>
    <row r="919" ht="15.75" customHeight="1">
      <c r="S919" s="239"/>
      <c r="AE919" s="174"/>
    </row>
    <row r="920" ht="15.75" customHeight="1">
      <c r="S920" s="239"/>
      <c r="AE920" s="174"/>
    </row>
    <row r="921" ht="15.75" customHeight="1">
      <c r="S921" s="239"/>
      <c r="AE921" s="174"/>
    </row>
    <row r="922" ht="15.75" customHeight="1">
      <c r="S922" s="239"/>
      <c r="AE922" s="174"/>
    </row>
    <row r="923" ht="15.75" customHeight="1">
      <c r="S923" s="239"/>
      <c r="AE923" s="174"/>
    </row>
    <row r="924" ht="15.75" customHeight="1">
      <c r="S924" s="239"/>
      <c r="AE924" s="174"/>
    </row>
    <row r="925" ht="15.75" customHeight="1">
      <c r="S925" s="239"/>
      <c r="AE925" s="174"/>
    </row>
    <row r="926" ht="15.75" customHeight="1">
      <c r="S926" s="239"/>
      <c r="AE926" s="174"/>
    </row>
    <row r="927" ht="15.75" customHeight="1">
      <c r="S927" s="239"/>
      <c r="AE927" s="174"/>
    </row>
    <row r="928" ht="15.75" customHeight="1">
      <c r="S928" s="239"/>
      <c r="AE928" s="174"/>
    </row>
    <row r="929" ht="15.75" customHeight="1">
      <c r="S929" s="239"/>
      <c r="AE929" s="174"/>
    </row>
    <row r="930" ht="15.75" customHeight="1">
      <c r="S930" s="239"/>
      <c r="AE930" s="174"/>
    </row>
    <row r="931" ht="15.75" customHeight="1">
      <c r="S931" s="239"/>
      <c r="AE931" s="174"/>
    </row>
    <row r="932" ht="15.75" customHeight="1">
      <c r="S932" s="239"/>
      <c r="AE932" s="174"/>
    </row>
    <row r="933" ht="15.75" customHeight="1">
      <c r="S933" s="239"/>
      <c r="AE933" s="174"/>
    </row>
    <row r="934" ht="15.75" customHeight="1">
      <c r="S934" s="239"/>
      <c r="AE934" s="174"/>
    </row>
    <row r="935" ht="15.75" customHeight="1">
      <c r="S935" s="239"/>
      <c r="AE935" s="174"/>
    </row>
    <row r="936" ht="15.75" customHeight="1">
      <c r="S936" s="239"/>
      <c r="AE936" s="174"/>
    </row>
    <row r="937" ht="15.75" customHeight="1">
      <c r="S937" s="239"/>
      <c r="AE937" s="174"/>
    </row>
    <row r="938" ht="15.75" customHeight="1">
      <c r="S938" s="239"/>
      <c r="AE938" s="174"/>
    </row>
    <row r="939" ht="15.75" customHeight="1">
      <c r="S939" s="239"/>
      <c r="AE939" s="174"/>
    </row>
    <row r="940" ht="15.75" customHeight="1">
      <c r="S940" s="239"/>
      <c r="AE940" s="174"/>
    </row>
    <row r="941" ht="15.75" customHeight="1">
      <c r="S941" s="239"/>
      <c r="AE941" s="174"/>
    </row>
    <row r="942" ht="15.75" customHeight="1">
      <c r="S942" s="239"/>
      <c r="AE942" s="174"/>
    </row>
    <row r="943" ht="15.75" customHeight="1">
      <c r="S943" s="239"/>
      <c r="AE943" s="174"/>
    </row>
    <row r="944" ht="15.75" customHeight="1">
      <c r="S944" s="239"/>
      <c r="AE944" s="174"/>
    </row>
    <row r="945" ht="15.75" customHeight="1">
      <c r="S945" s="239"/>
      <c r="AE945" s="174"/>
    </row>
    <row r="946" ht="15.75" customHeight="1">
      <c r="S946" s="239"/>
      <c r="AE946" s="174"/>
    </row>
    <row r="947" ht="15.75" customHeight="1">
      <c r="S947" s="239"/>
      <c r="AE947" s="174"/>
    </row>
    <row r="948" ht="15.75" customHeight="1">
      <c r="S948" s="239"/>
      <c r="AE948" s="174"/>
    </row>
    <row r="949" ht="15.75" customHeight="1">
      <c r="S949" s="239"/>
      <c r="AE949" s="174"/>
    </row>
    <row r="950" ht="15.75" customHeight="1">
      <c r="S950" s="239"/>
      <c r="AE950" s="174"/>
    </row>
    <row r="951" ht="15.75" customHeight="1">
      <c r="S951" s="239"/>
      <c r="AE951" s="174"/>
    </row>
    <row r="952" ht="15.75" customHeight="1">
      <c r="S952" s="239"/>
      <c r="AE952" s="174"/>
    </row>
    <row r="953" ht="15.75" customHeight="1">
      <c r="S953" s="239"/>
      <c r="AE953" s="174"/>
    </row>
    <row r="954" ht="15.75" customHeight="1">
      <c r="S954" s="239"/>
      <c r="AE954" s="174"/>
    </row>
    <row r="955" ht="15.75" customHeight="1">
      <c r="S955" s="239"/>
      <c r="AE955" s="174"/>
    </row>
    <row r="956" ht="15.75" customHeight="1">
      <c r="S956" s="239"/>
      <c r="AE956" s="174"/>
    </row>
    <row r="957" ht="15.75" customHeight="1">
      <c r="S957" s="239"/>
      <c r="AE957" s="174"/>
    </row>
    <row r="958" ht="15.75" customHeight="1">
      <c r="S958" s="239"/>
      <c r="AE958" s="174"/>
    </row>
    <row r="959" ht="15.75" customHeight="1">
      <c r="S959" s="239"/>
      <c r="AE959" s="174"/>
    </row>
    <row r="960" ht="15.75" customHeight="1">
      <c r="S960" s="239"/>
      <c r="AE960" s="174"/>
    </row>
    <row r="961" ht="15.75" customHeight="1">
      <c r="S961" s="239"/>
      <c r="AE961" s="174"/>
    </row>
    <row r="962" ht="15.75" customHeight="1">
      <c r="S962" s="239"/>
      <c r="AE962" s="174"/>
    </row>
    <row r="963" ht="15.75" customHeight="1">
      <c r="S963" s="239"/>
      <c r="AE963" s="174"/>
    </row>
    <row r="964" ht="15.75" customHeight="1">
      <c r="S964" s="239"/>
      <c r="AE964" s="174"/>
    </row>
    <row r="965" ht="15.75" customHeight="1">
      <c r="S965" s="239"/>
      <c r="AE965" s="174"/>
    </row>
    <row r="966" ht="15.75" customHeight="1">
      <c r="S966" s="239"/>
      <c r="AE966" s="174"/>
    </row>
    <row r="967" ht="15.75" customHeight="1">
      <c r="S967" s="239"/>
      <c r="AE967" s="174"/>
    </row>
    <row r="968" ht="15.75" customHeight="1">
      <c r="S968" s="239"/>
      <c r="AE968" s="174"/>
    </row>
    <row r="969" ht="15.75" customHeight="1">
      <c r="S969" s="239"/>
      <c r="AE969" s="174"/>
    </row>
    <row r="970" ht="15.75" customHeight="1">
      <c r="S970" s="239"/>
      <c r="AE970" s="174"/>
    </row>
    <row r="971" ht="15.75" customHeight="1">
      <c r="S971" s="239"/>
      <c r="AE971" s="174"/>
    </row>
    <row r="972" ht="15.75" customHeight="1">
      <c r="S972" s="239"/>
      <c r="AE972" s="174"/>
    </row>
    <row r="973" ht="15.75" customHeight="1">
      <c r="S973" s="239"/>
      <c r="AE973" s="174"/>
    </row>
    <row r="974" ht="15.75" customHeight="1">
      <c r="S974" s="239"/>
      <c r="AE974" s="174"/>
    </row>
    <row r="975" ht="15.75" customHeight="1">
      <c r="S975" s="239"/>
      <c r="AE975" s="174"/>
    </row>
    <row r="976" ht="15.75" customHeight="1">
      <c r="S976" s="239"/>
      <c r="AE976" s="174"/>
    </row>
    <row r="977" ht="15.75" customHeight="1">
      <c r="S977" s="239"/>
      <c r="AE977" s="174"/>
    </row>
    <row r="978" ht="15.75" customHeight="1">
      <c r="S978" s="239"/>
      <c r="AE978" s="174"/>
    </row>
    <row r="979" ht="15.75" customHeight="1">
      <c r="S979" s="239"/>
      <c r="AE979" s="174"/>
    </row>
    <row r="980" ht="15.75" customHeight="1">
      <c r="S980" s="239"/>
      <c r="AE980" s="174"/>
    </row>
    <row r="981" ht="15.75" customHeight="1">
      <c r="S981" s="239"/>
      <c r="AE981" s="174"/>
    </row>
    <row r="982" ht="15.75" customHeight="1">
      <c r="S982" s="239"/>
      <c r="AE982" s="174"/>
    </row>
    <row r="983" ht="15.75" customHeight="1">
      <c r="S983" s="239"/>
      <c r="AE983" s="174"/>
    </row>
    <row r="984" ht="15.75" customHeight="1">
      <c r="S984" s="239"/>
      <c r="AE984" s="174"/>
    </row>
    <row r="985" ht="15.75" customHeight="1">
      <c r="S985" s="239"/>
      <c r="AE985" s="174"/>
    </row>
    <row r="986" ht="15.75" customHeight="1">
      <c r="S986" s="239"/>
      <c r="AE986" s="174"/>
    </row>
    <row r="987" ht="15.75" customHeight="1">
      <c r="S987" s="239"/>
      <c r="AE987" s="174"/>
    </row>
    <row r="988" ht="15.75" customHeight="1">
      <c r="S988" s="239"/>
      <c r="AE988" s="174"/>
    </row>
    <row r="989" ht="15.75" customHeight="1">
      <c r="S989" s="239"/>
      <c r="AE989" s="174"/>
    </row>
    <row r="990" ht="15.75" customHeight="1">
      <c r="S990" s="239"/>
      <c r="AE990" s="174"/>
    </row>
    <row r="991" ht="15.75" customHeight="1">
      <c r="S991" s="239"/>
      <c r="AE991" s="174"/>
    </row>
    <row r="992" ht="15.75" customHeight="1">
      <c r="S992" s="239"/>
      <c r="AE992" s="174"/>
    </row>
    <row r="993" ht="15.75" customHeight="1">
      <c r="S993" s="239"/>
      <c r="AE993" s="174"/>
    </row>
  </sheetData>
  <dataValidations>
    <dataValidation type="list" allowBlank="1" showErrorMessage="1" sqref="Z2:AD20">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7.88"/>
    <col customWidth="1" min="16" max="16" width="5.75"/>
    <col customWidth="1" min="17" max="17" width="6.25"/>
    <col customWidth="1" min="18" max="18" width="6.88"/>
    <col customWidth="1" min="19" max="19" width="8.5"/>
    <col customWidth="1" min="20" max="20" width="5.5"/>
    <col customWidth="1" min="21" max="21" width="11.25"/>
    <col customWidth="1" min="22" max="22" width="7.13"/>
    <col customWidth="1" min="24" max="24" width="13.63"/>
    <col customWidth="1" min="26" max="26" width="14.0"/>
    <col customWidth="1" min="30" max="30" width="11.5"/>
    <col customWidth="1" min="31" max="31" width="118.0"/>
  </cols>
  <sheetData>
    <row r="1" ht="15.75" customHeight="1">
      <c r="A1" s="121" t="s">
        <v>591</v>
      </c>
      <c r="B1" s="43" t="s">
        <v>61</v>
      </c>
      <c r="C1" s="56" t="s">
        <v>393</v>
      </c>
      <c r="D1" s="56" t="s">
        <v>83</v>
      </c>
      <c r="E1" s="72" t="s">
        <v>63</v>
      </c>
      <c r="F1" s="72" t="s">
        <v>83</v>
      </c>
      <c r="G1" s="72" t="s">
        <v>394</v>
      </c>
      <c r="H1" s="72" t="s">
        <v>83</v>
      </c>
      <c r="I1" s="72" t="s">
        <v>395</v>
      </c>
      <c r="J1" s="72" t="s">
        <v>83</v>
      </c>
      <c r="K1" s="73" t="s">
        <v>441</v>
      </c>
      <c r="L1" s="72" t="s">
        <v>83</v>
      </c>
      <c r="M1" s="72" t="s">
        <v>397</v>
      </c>
      <c r="N1" s="72" t="s">
        <v>83</v>
      </c>
      <c r="O1" s="73" t="s">
        <v>592</v>
      </c>
      <c r="P1" s="72" t="s">
        <v>83</v>
      </c>
      <c r="Q1" s="247" t="s">
        <v>57</v>
      </c>
      <c r="R1" s="248" t="s">
        <v>83</v>
      </c>
      <c r="S1" s="72" t="s">
        <v>399</v>
      </c>
      <c r="T1" s="43" t="s">
        <v>83</v>
      </c>
      <c r="U1" s="234" t="s">
        <v>398</v>
      </c>
      <c r="V1" s="43" t="s">
        <v>83</v>
      </c>
      <c r="W1" s="42"/>
      <c r="X1" s="43" t="s">
        <v>33</v>
      </c>
      <c r="Y1" s="43" t="s">
        <v>73</v>
      </c>
      <c r="Z1" s="43" t="s">
        <v>74</v>
      </c>
      <c r="AA1" s="42" t="s">
        <v>75</v>
      </c>
      <c r="AB1" s="42" t="s">
        <v>76</v>
      </c>
      <c r="AC1" s="42" t="s">
        <v>77</v>
      </c>
      <c r="AD1" s="42" t="s">
        <v>210</v>
      </c>
      <c r="AE1" s="96" t="s">
        <v>79</v>
      </c>
    </row>
    <row r="2" ht="15.75" customHeight="1">
      <c r="A2" s="42">
        <v>1.0</v>
      </c>
      <c r="B2" s="244" t="s">
        <v>593</v>
      </c>
      <c r="C2" s="88"/>
      <c r="D2" s="56" t="str">
        <f t="shared" ref="D2:D8" si="1">VLOOKUP(C2,$B$41:$C$49,2)</f>
        <v>U</v>
      </c>
      <c r="E2" s="72"/>
      <c r="F2" s="56" t="str">
        <f t="shared" ref="F2:F8" si="2">VLOOKUP(E2,$B$41:$C$49,2)</f>
        <v>U</v>
      </c>
      <c r="G2" s="72"/>
      <c r="H2" s="56" t="str">
        <f t="shared" ref="H2:H8" si="3">VLOOKUP(G2,$B$41:$C$49,2)</f>
        <v>U</v>
      </c>
      <c r="I2" s="72"/>
      <c r="J2" s="56" t="str">
        <f t="shared" ref="J2:J8" si="4">VLOOKUP(I2,$B$41:$C$49,2)</f>
        <v>U</v>
      </c>
      <c r="K2" s="73">
        <v>90.0</v>
      </c>
      <c r="L2" s="56" t="str">
        <f t="shared" ref="L2:L8" si="5">VLOOKUP(K2, $B$41:$C$49, 2, FALSE)</f>
        <v>A*</v>
      </c>
      <c r="M2" s="73">
        <v>57.0</v>
      </c>
      <c r="N2" s="56" t="str">
        <f t="shared" ref="N2:N8" si="6">VLOOKUP(M2,$B$41:$C$49,2)</f>
        <v>D</v>
      </c>
      <c r="O2" s="72"/>
      <c r="P2" s="56" t="str">
        <f t="shared" ref="P2:P8" si="7">VLOOKUP(O2,$B$41:$C$49,2)</f>
        <v>U</v>
      </c>
      <c r="Q2" s="72"/>
      <c r="R2" s="56" t="str">
        <f t="shared" ref="R2:R8" si="8">VLOOKUP(Q2,$B$41:$C$49,2)</f>
        <v>U</v>
      </c>
      <c r="S2" s="72"/>
      <c r="T2" s="56" t="str">
        <f t="shared" ref="T2:T8" si="9">VLOOKUP(S2,$B$41:$C$49,2)</f>
        <v>U</v>
      </c>
      <c r="U2" s="232">
        <v>70.0</v>
      </c>
      <c r="V2" s="56" t="str">
        <f t="shared" ref="V2:V8" si="10">VLOOKUP(U2,$B$41:$C$49,2)</f>
        <v>B</v>
      </c>
      <c r="W2" s="72"/>
      <c r="X2" s="233">
        <f t="shared" ref="X2:X8" si="11">AVERAGE(C2,E2,G2,I2,K2,M2,O2,Q2,S2,U2)</f>
        <v>72.33333333</v>
      </c>
      <c r="Y2" s="72" t="str">
        <f t="shared" ref="Y2:Y8" si="12">RANK(X2,$X$2:$X$30)</f>
        <v>#DIV/0!</v>
      </c>
      <c r="Z2" s="134" t="s">
        <v>87</v>
      </c>
      <c r="AA2" s="134" t="s">
        <v>85</v>
      </c>
      <c r="AB2" s="134" t="s">
        <v>85</v>
      </c>
      <c r="AC2" s="134" t="s">
        <v>87</v>
      </c>
      <c r="AD2" s="134" t="s">
        <v>87</v>
      </c>
      <c r="AE2" s="129" t="s">
        <v>594</v>
      </c>
    </row>
    <row r="3" ht="15.75" customHeight="1">
      <c r="A3" s="42">
        <v>2.0</v>
      </c>
      <c r="B3" s="176" t="s">
        <v>595</v>
      </c>
      <c r="C3" s="88"/>
      <c r="D3" s="56" t="str">
        <f t="shared" si="1"/>
        <v>U</v>
      </c>
      <c r="E3" s="73">
        <v>71.0</v>
      </c>
      <c r="F3" s="56" t="str">
        <f t="shared" si="2"/>
        <v>B</v>
      </c>
      <c r="G3" s="72"/>
      <c r="H3" s="56" t="str">
        <f t="shared" si="3"/>
        <v>U</v>
      </c>
      <c r="I3" s="73">
        <v>54.0</v>
      </c>
      <c r="J3" s="56" t="str">
        <f t="shared" si="4"/>
        <v>D</v>
      </c>
      <c r="K3" s="73" t="s">
        <v>596</v>
      </c>
      <c r="L3" s="56" t="str">
        <f t="shared" si="5"/>
        <v>#N/A</v>
      </c>
      <c r="M3" s="72"/>
      <c r="N3" s="56" t="str">
        <f t="shared" si="6"/>
        <v>U</v>
      </c>
      <c r="O3" s="72"/>
      <c r="P3" s="56" t="str">
        <f t="shared" si="7"/>
        <v>U</v>
      </c>
      <c r="Q3" s="73">
        <v>74.0</v>
      </c>
      <c r="R3" s="56" t="str">
        <f t="shared" si="8"/>
        <v>B</v>
      </c>
      <c r="S3" s="236"/>
      <c r="T3" s="56" t="str">
        <f t="shared" si="9"/>
        <v>U</v>
      </c>
      <c r="U3" s="42"/>
      <c r="V3" s="56" t="str">
        <f t="shared" si="10"/>
        <v>U</v>
      </c>
      <c r="W3" s="42"/>
      <c r="X3" s="233">
        <f t="shared" si="11"/>
        <v>66.33333333</v>
      </c>
      <c r="Y3" s="72" t="str">
        <f t="shared" si="12"/>
        <v>#DIV/0!</v>
      </c>
      <c r="Z3" s="134" t="s">
        <v>85</v>
      </c>
      <c r="AA3" s="134" t="s">
        <v>85</v>
      </c>
      <c r="AB3" s="134" t="s">
        <v>85</v>
      </c>
      <c r="AC3" s="134" t="s">
        <v>87</v>
      </c>
      <c r="AD3" s="134" t="s">
        <v>87</v>
      </c>
      <c r="AE3" s="129" t="s">
        <v>597</v>
      </c>
    </row>
    <row r="4" ht="15.75" customHeight="1">
      <c r="A4" s="42">
        <v>3.0</v>
      </c>
      <c r="B4" s="176" t="s">
        <v>598</v>
      </c>
      <c r="C4" s="63">
        <v>62.0</v>
      </c>
      <c r="D4" s="56" t="str">
        <f t="shared" si="1"/>
        <v>C</v>
      </c>
      <c r="E4" s="72"/>
      <c r="F4" s="56" t="str">
        <f t="shared" si="2"/>
        <v>U</v>
      </c>
      <c r="G4" s="72"/>
      <c r="H4" s="56" t="str">
        <f t="shared" si="3"/>
        <v>U</v>
      </c>
      <c r="I4" s="72"/>
      <c r="J4" s="56" t="str">
        <f t="shared" si="4"/>
        <v>U</v>
      </c>
      <c r="K4" s="72"/>
      <c r="L4" s="56" t="str">
        <f t="shared" si="5"/>
        <v>U</v>
      </c>
      <c r="M4" s="73">
        <v>74.0</v>
      </c>
      <c r="N4" s="56" t="str">
        <f t="shared" si="6"/>
        <v>B</v>
      </c>
      <c r="O4" s="73">
        <v>68.0</v>
      </c>
      <c r="P4" s="56" t="str">
        <f t="shared" si="7"/>
        <v>C</v>
      </c>
      <c r="Q4" s="72"/>
      <c r="R4" s="56" t="str">
        <f t="shared" si="8"/>
        <v>U</v>
      </c>
      <c r="S4" s="236"/>
      <c r="T4" s="56" t="str">
        <f t="shared" si="9"/>
        <v>U</v>
      </c>
      <c r="U4" s="42"/>
      <c r="V4" s="56" t="str">
        <f t="shared" si="10"/>
        <v>U</v>
      </c>
      <c r="W4" s="42"/>
      <c r="X4" s="233">
        <f t="shared" si="11"/>
        <v>68</v>
      </c>
      <c r="Y4" s="72" t="str">
        <f t="shared" si="12"/>
        <v>#DIV/0!</v>
      </c>
      <c r="Z4" s="134" t="s">
        <v>87</v>
      </c>
      <c r="AA4" s="134" t="s">
        <v>85</v>
      </c>
      <c r="AB4" s="134" t="s">
        <v>87</v>
      </c>
      <c r="AC4" s="134" t="s">
        <v>87</v>
      </c>
      <c r="AD4" s="134" t="s">
        <v>87</v>
      </c>
      <c r="AE4" s="129" t="s">
        <v>599</v>
      </c>
    </row>
    <row r="5" ht="15.75" customHeight="1">
      <c r="A5" s="42">
        <v>4.0</v>
      </c>
      <c r="B5" s="176" t="s">
        <v>600</v>
      </c>
      <c r="C5" s="88"/>
      <c r="D5" s="56" t="str">
        <f t="shared" si="1"/>
        <v>U</v>
      </c>
      <c r="E5" s="73">
        <v>85.0</v>
      </c>
      <c r="F5" s="56" t="str">
        <f t="shared" si="2"/>
        <v>A</v>
      </c>
      <c r="G5" s="73">
        <v>73.0</v>
      </c>
      <c r="H5" s="56" t="str">
        <f t="shared" si="3"/>
        <v>B</v>
      </c>
      <c r="I5" s="72"/>
      <c r="J5" s="56" t="str">
        <f t="shared" si="4"/>
        <v>U</v>
      </c>
      <c r="K5" s="72"/>
      <c r="L5" s="56" t="str">
        <f t="shared" si="5"/>
        <v>U</v>
      </c>
      <c r="M5" s="72"/>
      <c r="N5" s="56" t="str">
        <f t="shared" si="6"/>
        <v>U</v>
      </c>
      <c r="O5" s="72"/>
      <c r="P5" s="56" t="str">
        <f t="shared" si="7"/>
        <v>U</v>
      </c>
      <c r="Q5" s="72"/>
      <c r="R5" s="56" t="str">
        <f t="shared" si="8"/>
        <v>U</v>
      </c>
      <c r="S5" s="73">
        <v>56.0</v>
      </c>
      <c r="T5" s="56" t="str">
        <f t="shared" si="9"/>
        <v>D</v>
      </c>
      <c r="U5" s="42"/>
      <c r="V5" s="56" t="str">
        <f t="shared" si="10"/>
        <v>U</v>
      </c>
      <c r="W5" s="42"/>
      <c r="X5" s="233">
        <f t="shared" si="11"/>
        <v>71.33333333</v>
      </c>
      <c r="Y5" s="72" t="str">
        <f t="shared" si="12"/>
        <v>#DIV/0!</v>
      </c>
      <c r="Z5" s="134" t="s">
        <v>87</v>
      </c>
      <c r="AA5" s="134" t="s">
        <v>85</v>
      </c>
      <c r="AB5" s="134" t="s">
        <v>87</v>
      </c>
      <c r="AC5" s="134" t="s">
        <v>87</v>
      </c>
      <c r="AD5" s="134" t="s">
        <v>87</v>
      </c>
      <c r="AE5" s="129" t="s">
        <v>601</v>
      </c>
    </row>
    <row r="6" ht="15.75" customHeight="1">
      <c r="A6" s="42">
        <v>5.0</v>
      </c>
      <c r="B6" s="176" t="s">
        <v>602</v>
      </c>
      <c r="C6" s="88"/>
      <c r="D6" s="56" t="str">
        <f t="shared" si="1"/>
        <v>U</v>
      </c>
      <c r="E6" s="72"/>
      <c r="F6" s="56" t="str">
        <f t="shared" si="2"/>
        <v>U</v>
      </c>
      <c r="G6" s="73">
        <v>78.0</v>
      </c>
      <c r="H6" s="56" t="str">
        <f t="shared" si="3"/>
        <v>B</v>
      </c>
      <c r="I6" s="73">
        <v>70.0</v>
      </c>
      <c r="J6" s="56" t="str">
        <f t="shared" si="4"/>
        <v>B</v>
      </c>
      <c r="K6" s="72"/>
      <c r="L6" s="56" t="str">
        <f t="shared" si="5"/>
        <v>U</v>
      </c>
      <c r="M6" s="72"/>
      <c r="N6" s="56" t="str">
        <f t="shared" si="6"/>
        <v>U</v>
      </c>
      <c r="O6" s="72"/>
      <c r="P6" s="56" t="str">
        <f t="shared" si="7"/>
        <v>U</v>
      </c>
      <c r="Q6" s="72"/>
      <c r="R6" s="56" t="str">
        <f t="shared" si="8"/>
        <v>U</v>
      </c>
      <c r="S6" s="207">
        <v>63.0</v>
      </c>
      <c r="T6" s="56" t="str">
        <f t="shared" si="9"/>
        <v>C</v>
      </c>
      <c r="U6" s="42"/>
      <c r="V6" s="56" t="str">
        <f t="shared" si="10"/>
        <v>U</v>
      </c>
      <c r="W6" s="42"/>
      <c r="X6" s="233">
        <f t="shared" si="11"/>
        <v>70.33333333</v>
      </c>
      <c r="Y6" s="72" t="str">
        <f t="shared" si="12"/>
        <v>#DIV/0!</v>
      </c>
      <c r="Z6" s="134" t="s">
        <v>85</v>
      </c>
      <c r="AA6" s="134" t="s">
        <v>85</v>
      </c>
      <c r="AB6" s="134" t="s">
        <v>85</v>
      </c>
      <c r="AC6" s="134" t="s">
        <v>87</v>
      </c>
      <c r="AD6" s="134" t="s">
        <v>87</v>
      </c>
      <c r="AE6" s="129" t="s">
        <v>603</v>
      </c>
    </row>
    <row r="7" ht="15.75" customHeight="1">
      <c r="A7" s="42">
        <v>6.0</v>
      </c>
      <c r="B7" s="176" t="s">
        <v>604</v>
      </c>
      <c r="C7" s="63">
        <v>43.0</v>
      </c>
      <c r="D7" s="56" t="str">
        <f t="shared" si="1"/>
        <v>E</v>
      </c>
      <c r="E7" s="73">
        <v>50.0</v>
      </c>
      <c r="F7" s="56" t="str">
        <f t="shared" si="2"/>
        <v>D</v>
      </c>
      <c r="G7" s="72"/>
      <c r="H7" s="56" t="str">
        <f t="shared" si="3"/>
        <v>U</v>
      </c>
      <c r="I7" s="72"/>
      <c r="J7" s="56" t="str">
        <f t="shared" si="4"/>
        <v>U</v>
      </c>
      <c r="K7" s="72"/>
      <c r="L7" s="56" t="str">
        <f t="shared" si="5"/>
        <v>U</v>
      </c>
      <c r="M7" s="73">
        <v>33.0</v>
      </c>
      <c r="N7" s="56" t="str">
        <f t="shared" si="6"/>
        <v>F</v>
      </c>
      <c r="O7" s="72"/>
      <c r="P7" s="56" t="str">
        <f t="shared" si="7"/>
        <v>U</v>
      </c>
      <c r="Q7" s="72"/>
      <c r="R7" s="56" t="str">
        <f t="shared" si="8"/>
        <v>U</v>
      </c>
      <c r="S7" s="72"/>
      <c r="T7" s="56" t="str">
        <f t="shared" si="9"/>
        <v>U</v>
      </c>
      <c r="U7" s="42"/>
      <c r="V7" s="56" t="str">
        <f t="shared" si="10"/>
        <v>U</v>
      </c>
      <c r="W7" s="42"/>
      <c r="X7" s="233">
        <f t="shared" si="11"/>
        <v>42</v>
      </c>
      <c r="Y7" s="72" t="str">
        <f t="shared" si="12"/>
        <v>#DIV/0!</v>
      </c>
      <c r="Z7" s="134" t="s">
        <v>87</v>
      </c>
      <c r="AA7" s="134" t="s">
        <v>85</v>
      </c>
      <c r="AB7" s="134" t="s">
        <v>87</v>
      </c>
      <c r="AC7" s="134" t="s">
        <v>87</v>
      </c>
      <c r="AD7" s="134" t="s">
        <v>87</v>
      </c>
      <c r="AE7" s="129" t="s">
        <v>605</v>
      </c>
    </row>
    <row r="8" ht="15.75" customHeight="1">
      <c r="A8" s="42">
        <v>7.0</v>
      </c>
      <c r="B8" s="176" t="s">
        <v>606</v>
      </c>
      <c r="C8" s="88"/>
      <c r="D8" s="56" t="str">
        <f t="shared" si="1"/>
        <v>U</v>
      </c>
      <c r="E8" s="73">
        <v>52.0</v>
      </c>
      <c r="F8" s="56" t="str">
        <f t="shared" si="2"/>
        <v>D</v>
      </c>
      <c r="G8" s="73">
        <v>50.0</v>
      </c>
      <c r="H8" s="56" t="str">
        <f t="shared" si="3"/>
        <v>D</v>
      </c>
      <c r="I8" s="73">
        <v>62.0</v>
      </c>
      <c r="J8" s="56" t="str">
        <f t="shared" si="4"/>
        <v>C</v>
      </c>
      <c r="K8" s="72"/>
      <c r="L8" s="56" t="str">
        <f t="shared" si="5"/>
        <v>U</v>
      </c>
      <c r="M8" s="72"/>
      <c r="N8" s="56" t="str">
        <f t="shared" si="6"/>
        <v>U</v>
      </c>
      <c r="O8" s="72"/>
      <c r="P8" s="56" t="str">
        <f t="shared" si="7"/>
        <v>U</v>
      </c>
      <c r="Q8" s="72"/>
      <c r="R8" s="56" t="str">
        <f t="shared" si="8"/>
        <v>U</v>
      </c>
      <c r="S8" s="73">
        <v>50.0</v>
      </c>
      <c r="T8" s="56" t="str">
        <f t="shared" si="9"/>
        <v>D</v>
      </c>
      <c r="U8" s="42"/>
      <c r="V8" s="56" t="str">
        <f t="shared" si="10"/>
        <v>U</v>
      </c>
      <c r="W8" s="42"/>
      <c r="X8" s="233">
        <f t="shared" si="11"/>
        <v>53.5</v>
      </c>
      <c r="Y8" s="72" t="str">
        <f t="shared" si="12"/>
        <v>#DIV/0!</v>
      </c>
      <c r="Z8" s="134" t="s">
        <v>87</v>
      </c>
      <c r="AA8" s="134" t="s">
        <v>85</v>
      </c>
      <c r="AB8" s="134" t="s">
        <v>87</v>
      </c>
      <c r="AC8" s="134" t="s">
        <v>87</v>
      </c>
      <c r="AD8" s="134" t="s">
        <v>87</v>
      </c>
      <c r="AE8" s="129" t="s">
        <v>607</v>
      </c>
    </row>
    <row r="9" ht="15.75" customHeight="1">
      <c r="A9" s="42">
        <v>8.0</v>
      </c>
      <c r="B9" s="176"/>
      <c r="C9" s="88"/>
      <c r="D9" s="56"/>
      <c r="E9" s="72"/>
      <c r="F9" s="56"/>
      <c r="G9" s="72"/>
      <c r="H9" s="56"/>
      <c r="I9" s="72"/>
      <c r="J9" s="56"/>
      <c r="K9" s="72"/>
      <c r="L9" s="56"/>
      <c r="M9" s="72"/>
      <c r="N9" s="56"/>
      <c r="O9" s="72"/>
      <c r="P9" s="56"/>
      <c r="Q9" s="72"/>
      <c r="R9" s="56"/>
      <c r="S9" s="236"/>
      <c r="T9" s="56"/>
      <c r="U9" s="42"/>
      <c r="V9" s="56"/>
      <c r="W9" s="42"/>
      <c r="X9" s="233"/>
      <c r="Y9" s="72"/>
      <c r="Z9" s="176"/>
      <c r="AA9" s="176"/>
      <c r="AB9" s="176"/>
      <c r="AC9" s="176"/>
      <c r="AD9" s="176"/>
      <c r="AE9" s="192"/>
    </row>
    <row r="10" ht="18.75" customHeight="1">
      <c r="A10" s="42">
        <v>9.0</v>
      </c>
      <c r="B10" s="176"/>
      <c r="C10" s="88"/>
      <c r="D10" s="56"/>
      <c r="E10" s="72"/>
      <c r="F10" s="56"/>
      <c r="G10" s="72"/>
      <c r="H10" s="56"/>
      <c r="I10" s="72"/>
      <c r="J10" s="56"/>
      <c r="K10" s="72"/>
      <c r="L10" s="56"/>
      <c r="M10" s="72"/>
      <c r="N10" s="56"/>
      <c r="O10" s="72"/>
      <c r="P10" s="56"/>
      <c r="Q10" s="72"/>
      <c r="R10" s="56"/>
      <c r="S10" s="236"/>
      <c r="T10" s="56"/>
      <c r="U10" s="42"/>
      <c r="V10" s="56"/>
      <c r="W10" s="42"/>
      <c r="X10" s="233"/>
      <c r="Y10" s="72"/>
      <c r="Z10" s="176"/>
      <c r="AA10" s="176"/>
      <c r="AB10" s="176"/>
      <c r="AC10" s="176"/>
      <c r="AD10" s="176"/>
      <c r="AE10" s="193"/>
    </row>
    <row r="11" ht="24.0" customHeight="1">
      <c r="A11" s="42">
        <v>10.0</v>
      </c>
      <c r="B11" s="176"/>
      <c r="C11" s="88"/>
      <c r="D11" s="56"/>
      <c r="E11" s="72"/>
      <c r="F11" s="56"/>
      <c r="G11" s="72"/>
      <c r="H11" s="56"/>
      <c r="I11" s="72"/>
      <c r="J11" s="56"/>
      <c r="K11" s="72"/>
      <c r="L11" s="56"/>
      <c r="M11" s="72"/>
      <c r="N11" s="56"/>
      <c r="O11" s="72"/>
      <c r="P11" s="56"/>
      <c r="Q11" s="72"/>
      <c r="R11" s="56"/>
      <c r="S11" s="236"/>
      <c r="T11" s="56"/>
      <c r="U11" s="42"/>
      <c r="V11" s="56"/>
      <c r="W11" s="42"/>
      <c r="X11" s="233"/>
      <c r="Y11" s="72"/>
      <c r="Z11" s="176"/>
      <c r="AA11" s="176"/>
      <c r="AB11" s="176"/>
      <c r="AC11" s="176"/>
      <c r="AD11" s="176"/>
      <c r="AE11" s="193"/>
    </row>
    <row r="12" ht="23.25" customHeight="1">
      <c r="A12" s="42">
        <v>11.0</v>
      </c>
      <c r="B12" s="176"/>
      <c r="C12" s="88"/>
      <c r="D12" s="56"/>
      <c r="E12" s="72"/>
      <c r="F12" s="72"/>
      <c r="G12" s="72"/>
      <c r="H12" s="56"/>
      <c r="I12" s="72"/>
      <c r="J12" s="56"/>
      <c r="K12" s="72"/>
      <c r="L12" s="56"/>
      <c r="M12" s="72"/>
      <c r="N12" s="56"/>
      <c r="O12" s="72"/>
      <c r="P12" s="56"/>
      <c r="Q12" s="72"/>
      <c r="R12" s="56"/>
      <c r="S12" s="236"/>
      <c r="T12" s="56"/>
      <c r="U12" s="43"/>
      <c r="V12" s="56"/>
      <c r="W12" s="42"/>
      <c r="X12" s="233"/>
      <c r="Y12" s="72"/>
      <c r="Z12" s="176"/>
      <c r="AA12" s="176"/>
      <c r="AB12" s="176"/>
      <c r="AC12" s="176"/>
      <c r="AD12" s="176"/>
      <c r="AE12" s="193"/>
    </row>
    <row r="13" ht="27.75" customHeight="1">
      <c r="A13" s="42">
        <v>12.0</v>
      </c>
      <c r="B13" s="176"/>
      <c r="C13" s="88"/>
      <c r="D13" s="56"/>
      <c r="E13" s="72"/>
      <c r="F13" s="72"/>
      <c r="G13" s="72"/>
      <c r="H13" s="56"/>
      <c r="I13" s="72"/>
      <c r="J13" s="56"/>
      <c r="K13" s="72"/>
      <c r="L13" s="56"/>
      <c r="M13" s="72"/>
      <c r="N13" s="56"/>
      <c r="O13" s="72"/>
      <c r="P13" s="56"/>
      <c r="Q13" s="72"/>
      <c r="R13" s="56"/>
      <c r="S13" s="236"/>
      <c r="T13" s="56"/>
      <c r="U13" s="43"/>
      <c r="V13" s="56"/>
      <c r="W13" s="42"/>
      <c r="X13" s="233"/>
      <c r="Y13" s="72"/>
      <c r="Z13" s="176"/>
      <c r="AA13" s="176"/>
      <c r="AB13" s="176"/>
      <c r="AC13" s="176"/>
      <c r="AD13" s="176"/>
      <c r="AE13" s="193"/>
    </row>
    <row r="14" ht="29.25" customHeight="1">
      <c r="A14" s="42">
        <v>13.0</v>
      </c>
      <c r="B14" s="176"/>
      <c r="C14" s="88"/>
      <c r="D14" s="56"/>
      <c r="E14" s="72"/>
      <c r="F14" s="72"/>
      <c r="G14" s="72"/>
      <c r="H14" s="56"/>
      <c r="I14" s="56"/>
      <c r="J14" s="56"/>
      <c r="K14" s="72"/>
      <c r="L14" s="56"/>
      <c r="M14" s="72"/>
      <c r="N14" s="56"/>
      <c r="O14" s="72"/>
      <c r="P14" s="56"/>
      <c r="Q14" s="72"/>
      <c r="R14" s="56"/>
      <c r="S14" s="72"/>
      <c r="T14" s="56"/>
      <c r="U14" s="42"/>
      <c r="V14" s="56"/>
      <c r="W14" s="42"/>
      <c r="X14" s="233"/>
      <c r="Y14" s="72"/>
      <c r="Z14" s="176"/>
      <c r="AA14" s="176"/>
      <c r="AB14" s="176"/>
      <c r="AC14" s="176"/>
      <c r="AD14" s="176"/>
      <c r="AE14" s="193"/>
    </row>
    <row r="15" ht="28.5" customHeight="1">
      <c r="A15" s="42">
        <v>14.0</v>
      </c>
      <c r="B15" s="176"/>
      <c r="C15" s="88"/>
      <c r="D15" s="56"/>
      <c r="E15" s="72"/>
      <c r="F15" s="56"/>
      <c r="G15" s="72"/>
      <c r="H15" s="56"/>
      <c r="I15" s="72"/>
      <c r="J15" s="56"/>
      <c r="K15" s="72"/>
      <c r="L15" s="56"/>
      <c r="M15" s="72"/>
      <c r="N15" s="56"/>
      <c r="O15" s="72"/>
      <c r="P15" s="56"/>
      <c r="Q15" s="72"/>
      <c r="R15" s="56"/>
      <c r="S15" s="236"/>
      <c r="T15" s="56"/>
      <c r="U15" s="42"/>
      <c r="V15" s="56"/>
      <c r="W15" s="42"/>
      <c r="X15" s="233"/>
      <c r="Y15" s="72"/>
      <c r="Z15" s="176"/>
      <c r="AA15" s="176"/>
      <c r="AB15" s="176"/>
      <c r="AC15" s="176"/>
      <c r="AD15" s="176"/>
      <c r="AE15" s="193"/>
    </row>
    <row r="16" ht="24.75" customHeight="1">
      <c r="A16" s="42">
        <v>15.0</v>
      </c>
      <c r="B16" s="176"/>
      <c r="C16" s="88"/>
      <c r="D16" s="56"/>
      <c r="E16" s="72"/>
      <c r="F16" s="56"/>
      <c r="G16" s="72"/>
      <c r="H16" s="56"/>
      <c r="I16" s="72"/>
      <c r="J16" s="56"/>
      <c r="K16" s="72"/>
      <c r="L16" s="56"/>
      <c r="M16" s="72"/>
      <c r="N16" s="56"/>
      <c r="O16" s="72"/>
      <c r="P16" s="56"/>
      <c r="Q16" s="72"/>
      <c r="R16" s="56"/>
      <c r="S16" s="236"/>
      <c r="T16" s="56"/>
      <c r="U16" s="42"/>
      <c r="V16" s="56"/>
      <c r="W16" s="42"/>
      <c r="X16" s="233"/>
      <c r="Y16" s="72"/>
      <c r="Z16" s="176"/>
      <c r="AA16" s="176"/>
      <c r="AB16" s="176"/>
      <c r="AC16" s="176"/>
      <c r="AD16" s="176"/>
      <c r="AE16" s="193"/>
    </row>
    <row r="17" ht="21.0" customHeight="1">
      <c r="A17" s="42">
        <v>16.0</v>
      </c>
      <c r="B17" s="176"/>
      <c r="C17" s="88"/>
      <c r="D17" s="56"/>
      <c r="E17" s="72"/>
      <c r="F17" s="56"/>
      <c r="G17" s="72"/>
      <c r="H17" s="56"/>
      <c r="I17" s="72"/>
      <c r="J17" s="56"/>
      <c r="K17" s="72"/>
      <c r="L17" s="56"/>
      <c r="M17" s="72"/>
      <c r="N17" s="56"/>
      <c r="O17" s="72"/>
      <c r="P17" s="56"/>
      <c r="Q17" s="72"/>
      <c r="R17" s="56"/>
      <c r="S17" s="72"/>
      <c r="T17" s="56"/>
      <c r="U17" s="42"/>
      <c r="V17" s="56"/>
      <c r="W17" s="42"/>
      <c r="X17" s="233"/>
      <c r="Y17" s="72"/>
      <c r="Z17" s="176"/>
      <c r="AA17" s="176"/>
      <c r="AB17" s="176"/>
      <c r="AC17" s="176"/>
      <c r="AD17" s="176"/>
      <c r="AE17" s="193"/>
    </row>
    <row r="18" ht="18.0" customHeight="1">
      <c r="A18" s="42">
        <v>17.0</v>
      </c>
      <c r="B18" s="176"/>
      <c r="C18" s="88"/>
      <c r="D18" s="56"/>
      <c r="E18" s="72"/>
      <c r="F18" s="56"/>
      <c r="G18" s="72"/>
      <c r="H18" s="56"/>
      <c r="I18" s="72"/>
      <c r="J18" s="56"/>
      <c r="K18" s="72"/>
      <c r="L18" s="56"/>
      <c r="M18" s="72"/>
      <c r="N18" s="56"/>
      <c r="O18" s="72"/>
      <c r="P18" s="56"/>
      <c r="Q18" s="72"/>
      <c r="R18" s="56"/>
      <c r="S18" s="236"/>
      <c r="T18" s="56"/>
      <c r="U18" s="43"/>
      <c r="V18" s="56"/>
      <c r="W18" s="42"/>
      <c r="X18" s="233"/>
      <c r="Y18" s="72"/>
      <c r="Z18" s="176"/>
      <c r="AA18" s="176"/>
      <c r="AB18" s="176"/>
      <c r="AC18" s="176"/>
      <c r="AD18" s="176"/>
      <c r="AE18" s="193"/>
    </row>
    <row r="19" ht="22.5" customHeight="1">
      <c r="A19" s="42">
        <v>18.0</v>
      </c>
      <c r="B19" s="176"/>
      <c r="C19" s="88"/>
      <c r="D19" s="56"/>
      <c r="E19" s="72"/>
      <c r="F19" s="56"/>
      <c r="G19" s="72"/>
      <c r="H19" s="56"/>
      <c r="I19" s="72"/>
      <c r="J19" s="56"/>
      <c r="K19" s="72"/>
      <c r="L19" s="56"/>
      <c r="M19" s="72"/>
      <c r="N19" s="56"/>
      <c r="O19" s="72"/>
      <c r="P19" s="56"/>
      <c r="Q19" s="72"/>
      <c r="R19" s="56"/>
      <c r="S19" s="72"/>
      <c r="T19" s="56"/>
      <c r="U19" s="42"/>
      <c r="V19" s="56"/>
      <c r="W19" s="42"/>
      <c r="X19" s="233"/>
      <c r="Y19" s="72"/>
      <c r="Z19" s="176"/>
      <c r="AA19" s="176"/>
      <c r="AB19" s="176"/>
      <c r="AC19" s="176"/>
      <c r="AD19" s="176"/>
      <c r="AE19" s="193"/>
    </row>
    <row r="20" ht="41.25" customHeight="1">
      <c r="A20" s="42">
        <v>19.0</v>
      </c>
      <c r="B20" s="95"/>
      <c r="C20" s="88"/>
      <c r="D20" s="56"/>
      <c r="E20" s="72"/>
      <c r="F20" s="56"/>
      <c r="G20" s="72"/>
      <c r="H20" s="56"/>
      <c r="I20" s="72"/>
      <c r="J20" s="56"/>
      <c r="K20" s="72"/>
      <c r="L20" s="56"/>
      <c r="M20" s="72"/>
      <c r="N20" s="56"/>
      <c r="O20" s="72"/>
      <c r="P20" s="56"/>
      <c r="Q20" s="72"/>
      <c r="R20" s="56"/>
      <c r="S20" s="72"/>
      <c r="T20" s="56"/>
      <c r="U20" s="43"/>
      <c r="V20" s="56"/>
      <c r="W20" s="42"/>
      <c r="X20" s="233"/>
      <c r="Y20" s="72"/>
      <c r="Z20" s="176"/>
      <c r="AA20" s="176"/>
      <c r="AB20" s="176"/>
      <c r="AC20" s="176"/>
      <c r="AD20" s="176"/>
      <c r="AE20" s="193"/>
    </row>
    <row r="21" ht="64.5" customHeight="1">
      <c r="A21" s="42">
        <v>20.0</v>
      </c>
      <c r="B21" s="95"/>
      <c r="C21" s="88"/>
      <c r="D21" s="56" t="str">
        <f t="shared" ref="D21:D30" si="13">VLOOKUP(C21,$B$41:$C$49,2)</f>
        <v>U</v>
      </c>
      <c r="E21" s="72"/>
      <c r="F21" s="56" t="str">
        <f t="shared" ref="F21:F30" si="14">VLOOKUP(E21,$B$41:$C$49,2)</f>
        <v>U</v>
      </c>
      <c r="G21" s="72"/>
      <c r="H21" s="56" t="str">
        <f t="shared" ref="H21:H30" si="15">VLOOKUP(G21,$B$41:$C$49,2)</f>
        <v>U</v>
      </c>
      <c r="I21" s="72"/>
      <c r="J21" s="56" t="str">
        <f t="shared" ref="J21:J30" si="16">VLOOKUP(I21,$B$41:$C$49,2)</f>
        <v>U</v>
      </c>
      <c r="K21" s="72"/>
      <c r="L21" s="56" t="str">
        <f t="shared" ref="L21:L30" si="17">VLOOKUP(K21,$B$41:$C$49,2)</f>
        <v>U</v>
      </c>
      <c r="M21" s="72"/>
      <c r="N21" s="56" t="str">
        <f t="shared" ref="N21:N30" si="18">VLOOKUP(M21,$B$41:$C$49,2)</f>
        <v>U</v>
      </c>
      <c r="O21" s="72"/>
      <c r="P21" s="56" t="str">
        <f t="shared" ref="P21:P30" si="19">VLOOKUP(O21,$B$41:$C$49,2)</f>
        <v>U</v>
      </c>
      <c r="Q21" s="72"/>
      <c r="R21" s="56" t="str">
        <f t="shared" ref="R21:R30" si="20">VLOOKUP(Q21,$B$41:$C$49,2)</f>
        <v>U</v>
      </c>
      <c r="S21" s="236"/>
      <c r="T21" s="56" t="str">
        <f t="shared" ref="T21:T30" si="21">VLOOKUP(S21,$B$41:$C$49,2)</f>
        <v>U</v>
      </c>
      <c r="U21" s="43"/>
      <c r="V21" s="56" t="str">
        <f t="shared" ref="V21:V30" si="22">VLOOKUP(U21,$B$41:$C$49,2)</f>
        <v>U</v>
      </c>
      <c r="W21" s="42"/>
      <c r="X21" s="233" t="str">
        <f t="shared" ref="X21:X30" si="23">AVERAGE(C21,E21,G21,I21,K21,M21,O21,Q21,S21,U21)</f>
        <v>#DIV/0!</v>
      </c>
      <c r="Y21" s="72" t="str">
        <f t="shared" ref="Y21:Y30" si="24">RANK(X21,$X$2:$X$30)</f>
        <v>#DIV/0!</v>
      </c>
      <c r="Z21" s="176"/>
      <c r="AA21" s="176"/>
      <c r="AB21" s="176"/>
      <c r="AC21" s="176"/>
      <c r="AD21" s="176"/>
      <c r="AE21" s="193"/>
    </row>
    <row r="22" ht="73.5" customHeight="1">
      <c r="A22" s="42">
        <v>21.0</v>
      </c>
      <c r="B22" s="95"/>
      <c r="C22" s="88"/>
      <c r="D22" s="56" t="str">
        <f t="shared" si="13"/>
        <v>U</v>
      </c>
      <c r="E22" s="72"/>
      <c r="F22" s="56" t="str">
        <f t="shared" si="14"/>
        <v>U</v>
      </c>
      <c r="G22" s="72"/>
      <c r="H22" s="56" t="str">
        <f t="shared" si="15"/>
        <v>U</v>
      </c>
      <c r="I22" s="72"/>
      <c r="J22" s="56" t="str">
        <f t="shared" si="16"/>
        <v>U</v>
      </c>
      <c r="K22" s="72"/>
      <c r="L22" s="56" t="str">
        <f t="shared" si="17"/>
        <v>U</v>
      </c>
      <c r="M22" s="72"/>
      <c r="N22" s="56" t="str">
        <f t="shared" si="18"/>
        <v>U</v>
      </c>
      <c r="O22" s="72"/>
      <c r="P22" s="56" t="str">
        <f t="shared" si="19"/>
        <v>U</v>
      </c>
      <c r="Q22" s="72"/>
      <c r="R22" s="56" t="str">
        <f t="shared" si="20"/>
        <v>U</v>
      </c>
      <c r="S22" s="236"/>
      <c r="T22" s="56" t="str">
        <f t="shared" si="21"/>
        <v>U</v>
      </c>
      <c r="U22" s="43"/>
      <c r="V22" s="56" t="str">
        <f t="shared" si="22"/>
        <v>U</v>
      </c>
      <c r="W22" s="42"/>
      <c r="X22" s="233" t="str">
        <f t="shared" si="23"/>
        <v>#DIV/0!</v>
      </c>
      <c r="Y22" s="72" t="str">
        <f t="shared" si="24"/>
        <v>#DIV/0!</v>
      </c>
      <c r="Z22" s="176"/>
      <c r="AA22" s="176"/>
      <c r="AB22" s="176"/>
      <c r="AC22" s="176"/>
      <c r="AD22" s="176"/>
      <c r="AE22" s="193"/>
    </row>
    <row r="23" ht="37.5" customHeight="1">
      <c r="A23" s="42">
        <v>22.0</v>
      </c>
      <c r="B23" s="95"/>
      <c r="C23" s="88"/>
      <c r="D23" s="56" t="str">
        <f t="shared" si="13"/>
        <v>U</v>
      </c>
      <c r="E23" s="72"/>
      <c r="F23" s="56" t="str">
        <f t="shared" si="14"/>
        <v>U</v>
      </c>
      <c r="G23" s="72"/>
      <c r="H23" s="56" t="str">
        <f t="shared" si="15"/>
        <v>U</v>
      </c>
      <c r="I23" s="72"/>
      <c r="J23" s="56" t="str">
        <f t="shared" si="16"/>
        <v>U</v>
      </c>
      <c r="K23" s="72"/>
      <c r="L23" s="56" t="str">
        <f t="shared" si="17"/>
        <v>U</v>
      </c>
      <c r="M23" s="72"/>
      <c r="N23" s="56" t="str">
        <f t="shared" si="18"/>
        <v>U</v>
      </c>
      <c r="O23" s="72"/>
      <c r="P23" s="56" t="str">
        <f t="shared" si="19"/>
        <v>U</v>
      </c>
      <c r="Q23" s="72"/>
      <c r="R23" s="56" t="str">
        <f t="shared" si="20"/>
        <v>U</v>
      </c>
      <c r="S23" s="236"/>
      <c r="T23" s="56" t="str">
        <f t="shared" si="21"/>
        <v>U</v>
      </c>
      <c r="U23" s="43"/>
      <c r="V23" s="56" t="str">
        <f t="shared" si="22"/>
        <v>U</v>
      </c>
      <c r="W23" s="42"/>
      <c r="X23" s="233" t="str">
        <f t="shared" si="23"/>
        <v>#DIV/0!</v>
      </c>
      <c r="Y23" s="72" t="str">
        <f t="shared" si="24"/>
        <v>#DIV/0!</v>
      </c>
      <c r="Z23" s="176"/>
      <c r="AA23" s="176"/>
      <c r="AB23" s="176"/>
      <c r="AC23" s="176"/>
      <c r="AD23" s="176"/>
      <c r="AE23" s="193"/>
    </row>
    <row r="24" ht="48.75" customHeight="1">
      <c r="A24" s="42">
        <v>23.0</v>
      </c>
      <c r="B24" s="95"/>
      <c r="C24" s="88"/>
      <c r="D24" s="56" t="str">
        <f t="shared" si="13"/>
        <v>U</v>
      </c>
      <c r="E24" s="72"/>
      <c r="F24" s="56" t="str">
        <f t="shared" si="14"/>
        <v>U</v>
      </c>
      <c r="G24" s="72"/>
      <c r="H24" s="56" t="str">
        <f t="shared" si="15"/>
        <v>U</v>
      </c>
      <c r="I24" s="72"/>
      <c r="J24" s="56" t="str">
        <f t="shared" si="16"/>
        <v>U</v>
      </c>
      <c r="K24" s="72"/>
      <c r="L24" s="56" t="str">
        <f t="shared" si="17"/>
        <v>U</v>
      </c>
      <c r="M24" s="72"/>
      <c r="N24" s="56" t="str">
        <f t="shared" si="18"/>
        <v>U</v>
      </c>
      <c r="O24" s="72"/>
      <c r="P24" s="56" t="str">
        <f t="shared" si="19"/>
        <v>U</v>
      </c>
      <c r="Q24" s="72"/>
      <c r="R24" s="56" t="str">
        <f t="shared" si="20"/>
        <v>U</v>
      </c>
      <c r="S24" s="236"/>
      <c r="T24" s="56" t="str">
        <f t="shared" si="21"/>
        <v>U</v>
      </c>
      <c r="U24" s="43"/>
      <c r="V24" s="56" t="str">
        <f t="shared" si="22"/>
        <v>U</v>
      </c>
      <c r="W24" s="42"/>
      <c r="X24" s="233" t="str">
        <f t="shared" si="23"/>
        <v>#DIV/0!</v>
      </c>
      <c r="Y24" s="72" t="str">
        <f t="shared" si="24"/>
        <v>#DIV/0!</v>
      </c>
      <c r="Z24" s="176"/>
      <c r="AA24" s="176"/>
      <c r="AB24" s="176"/>
      <c r="AC24" s="176"/>
      <c r="AD24" s="176"/>
      <c r="AE24" s="193"/>
    </row>
    <row r="25" ht="25.5" customHeight="1">
      <c r="A25" s="42">
        <v>24.0</v>
      </c>
      <c r="B25" s="95"/>
      <c r="C25" s="88"/>
      <c r="D25" s="56" t="str">
        <f t="shared" si="13"/>
        <v>U</v>
      </c>
      <c r="E25" s="72"/>
      <c r="F25" s="56" t="str">
        <f t="shared" si="14"/>
        <v>U</v>
      </c>
      <c r="G25" s="72"/>
      <c r="H25" s="56" t="str">
        <f t="shared" si="15"/>
        <v>U</v>
      </c>
      <c r="I25" s="72"/>
      <c r="J25" s="56" t="str">
        <f t="shared" si="16"/>
        <v>U</v>
      </c>
      <c r="K25" s="72"/>
      <c r="L25" s="56" t="str">
        <f t="shared" si="17"/>
        <v>U</v>
      </c>
      <c r="M25" s="72"/>
      <c r="N25" s="56" t="str">
        <f t="shared" si="18"/>
        <v>U</v>
      </c>
      <c r="O25" s="72"/>
      <c r="P25" s="56" t="str">
        <f t="shared" si="19"/>
        <v>U</v>
      </c>
      <c r="Q25" s="72"/>
      <c r="R25" s="56" t="str">
        <f t="shared" si="20"/>
        <v>U</v>
      </c>
      <c r="S25" s="236"/>
      <c r="T25" s="56" t="str">
        <f t="shared" si="21"/>
        <v>U</v>
      </c>
      <c r="U25" s="43"/>
      <c r="V25" s="56" t="str">
        <f t="shared" si="22"/>
        <v>U</v>
      </c>
      <c r="W25" s="42"/>
      <c r="X25" s="233" t="str">
        <f t="shared" si="23"/>
        <v>#DIV/0!</v>
      </c>
      <c r="Y25" s="72" t="str">
        <f t="shared" si="24"/>
        <v>#DIV/0!</v>
      </c>
      <c r="Z25" s="176"/>
      <c r="AA25" s="176"/>
      <c r="AB25" s="176"/>
      <c r="AC25" s="176"/>
      <c r="AD25" s="176"/>
      <c r="AE25" s="193"/>
    </row>
    <row r="26" ht="27.0" customHeight="1">
      <c r="A26" s="42">
        <v>25.0</v>
      </c>
      <c r="B26" s="95"/>
      <c r="C26" s="88"/>
      <c r="D26" s="56" t="str">
        <f t="shared" si="13"/>
        <v>U</v>
      </c>
      <c r="E26" s="72"/>
      <c r="F26" s="56" t="str">
        <f t="shared" si="14"/>
        <v>U</v>
      </c>
      <c r="G26" s="72"/>
      <c r="H26" s="56" t="str">
        <f t="shared" si="15"/>
        <v>U</v>
      </c>
      <c r="I26" s="72"/>
      <c r="J26" s="56" t="str">
        <f t="shared" si="16"/>
        <v>U</v>
      </c>
      <c r="K26" s="72"/>
      <c r="L26" s="56" t="str">
        <f t="shared" si="17"/>
        <v>U</v>
      </c>
      <c r="M26" s="72"/>
      <c r="N26" s="56" t="str">
        <f t="shared" si="18"/>
        <v>U</v>
      </c>
      <c r="O26" s="72"/>
      <c r="P26" s="56" t="str">
        <f t="shared" si="19"/>
        <v>U</v>
      </c>
      <c r="Q26" s="72"/>
      <c r="R26" s="56" t="str">
        <f t="shared" si="20"/>
        <v>U</v>
      </c>
      <c r="S26" s="236"/>
      <c r="T26" s="56" t="str">
        <f t="shared" si="21"/>
        <v>U</v>
      </c>
      <c r="U26" s="43"/>
      <c r="V26" s="56" t="str">
        <f t="shared" si="22"/>
        <v>U</v>
      </c>
      <c r="W26" s="42"/>
      <c r="X26" s="233" t="str">
        <f t="shared" si="23"/>
        <v>#DIV/0!</v>
      </c>
      <c r="Y26" s="72" t="str">
        <f t="shared" si="24"/>
        <v>#DIV/0!</v>
      </c>
      <c r="Z26" s="42"/>
      <c r="AA26" s="42"/>
      <c r="AB26" s="42"/>
      <c r="AC26" s="42"/>
      <c r="AD26" s="42"/>
      <c r="AE26" s="193"/>
    </row>
    <row r="27" ht="27.0" customHeight="1">
      <c r="A27" s="42">
        <v>26.0</v>
      </c>
      <c r="B27" s="95"/>
      <c r="C27" s="88"/>
      <c r="D27" s="56" t="str">
        <f t="shared" si="13"/>
        <v>U</v>
      </c>
      <c r="E27" s="72"/>
      <c r="F27" s="56" t="str">
        <f t="shared" si="14"/>
        <v>U</v>
      </c>
      <c r="G27" s="72"/>
      <c r="H27" s="56" t="str">
        <f t="shared" si="15"/>
        <v>U</v>
      </c>
      <c r="I27" s="72"/>
      <c r="J27" s="56" t="str">
        <f t="shared" si="16"/>
        <v>U</v>
      </c>
      <c r="K27" s="72"/>
      <c r="L27" s="56" t="str">
        <f t="shared" si="17"/>
        <v>U</v>
      </c>
      <c r="M27" s="72"/>
      <c r="N27" s="56" t="str">
        <f t="shared" si="18"/>
        <v>U</v>
      </c>
      <c r="O27" s="72"/>
      <c r="P27" s="56" t="str">
        <f t="shared" si="19"/>
        <v>U</v>
      </c>
      <c r="Q27" s="72"/>
      <c r="R27" s="56" t="str">
        <f t="shared" si="20"/>
        <v>U</v>
      </c>
      <c r="S27" s="236"/>
      <c r="T27" s="56" t="str">
        <f t="shared" si="21"/>
        <v>U</v>
      </c>
      <c r="U27" s="43"/>
      <c r="V27" s="56" t="str">
        <f t="shared" si="22"/>
        <v>U</v>
      </c>
      <c r="W27" s="42"/>
      <c r="X27" s="233" t="str">
        <f t="shared" si="23"/>
        <v>#DIV/0!</v>
      </c>
      <c r="Y27" s="72" t="str">
        <f t="shared" si="24"/>
        <v>#DIV/0!</v>
      </c>
      <c r="Z27" s="42"/>
      <c r="AA27" s="42"/>
      <c r="AB27" s="42"/>
      <c r="AC27" s="42"/>
      <c r="AD27" s="42"/>
      <c r="AE27" s="193"/>
    </row>
    <row r="28" ht="39.0" customHeight="1">
      <c r="A28" s="42">
        <v>27.0</v>
      </c>
      <c r="B28" s="95"/>
      <c r="C28" s="88"/>
      <c r="D28" s="56" t="str">
        <f t="shared" si="13"/>
        <v>U</v>
      </c>
      <c r="E28" s="72"/>
      <c r="F28" s="56" t="str">
        <f t="shared" si="14"/>
        <v>U</v>
      </c>
      <c r="G28" s="72"/>
      <c r="H28" s="56" t="str">
        <f t="shared" si="15"/>
        <v>U</v>
      </c>
      <c r="I28" s="72"/>
      <c r="J28" s="56" t="str">
        <f t="shared" si="16"/>
        <v>U</v>
      </c>
      <c r="K28" s="72"/>
      <c r="L28" s="56" t="str">
        <f t="shared" si="17"/>
        <v>U</v>
      </c>
      <c r="M28" s="72"/>
      <c r="N28" s="56" t="str">
        <f t="shared" si="18"/>
        <v>U</v>
      </c>
      <c r="O28" s="72"/>
      <c r="P28" s="56" t="str">
        <f t="shared" si="19"/>
        <v>U</v>
      </c>
      <c r="Q28" s="72"/>
      <c r="R28" s="56" t="str">
        <f t="shared" si="20"/>
        <v>U</v>
      </c>
      <c r="S28" s="72"/>
      <c r="T28" s="56" t="str">
        <f t="shared" si="21"/>
        <v>U</v>
      </c>
      <c r="U28" s="42"/>
      <c r="V28" s="56" t="str">
        <f t="shared" si="22"/>
        <v>U</v>
      </c>
      <c r="W28" s="42"/>
      <c r="X28" s="233" t="str">
        <f t="shared" si="23"/>
        <v>#DIV/0!</v>
      </c>
      <c r="Y28" s="72" t="str">
        <f t="shared" si="24"/>
        <v>#DIV/0!</v>
      </c>
      <c r="Z28" s="42"/>
      <c r="AA28" s="42"/>
      <c r="AB28" s="42"/>
      <c r="AC28" s="42"/>
      <c r="AD28" s="42"/>
      <c r="AE28" s="193"/>
    </row>
    <row r="29" ht="27.75" customHeight="1">
      <c r="A29" s="42">
        <v>28.0</v>
      </c>
      <c r="B29" s="95"/>
      <c r="C29" s="88"/>
      <c r="D29" s="56" t="str">
        <f t="shared" si="13"/>
        <v>U</v>
      </c>
      <c r="E29" s="72"/>
      <c r="F29" s="56" t="str">
        <f t="shared" si="14"/>
        <v>U</v>
      </c>
      <c r="G29" s="72"/>
      <c r="H29" s="56" t="str">
        <f t="shared" si="15"/>
        <v>U</v>
      </c>
      <c r="I29" s="72"/>
      <c r="J29" s="56" t="str">
        <f t="shared" si="16"/>
        <v>U</v>
      </c>
      <c r="K29" s="72"/>
      <c r="L29" s="56" t="str">
        <f t="shared" si="17"/>
        <v>U</v>
      </c>
      <c r="M29" s="72"/>
      <c r="N29" s="56" t="str">
        <f t="shared" si="18"/>
        <v>U</v>
      </c>
      <c r="O29" s="72"/>
      <c r="P29" s="56" t="str">
        <f t="shared" si="19"/>
        <v>U</v>
      </c>
      <c r="Q29" s="72"/>
      <c r="R29" s="56" t="str">
        <f t="shared" si="20"/>
        <v>U</v>
      </c>
      <c r="S29" s="72"/>
      <c r="T29" s="56" t="str">
        <f t="shared" si="21"/>
        <v>U</v>
      </c>
      <c r="U29" s="42"/>
      <c r="V29" s="56" t="str">
        <f t="shared" si="22"/>
        <v>U</v>
      </c>
      <c r="W29" s="42"/>
      <c r="X29" s="233" t="str">
        <f t="shared" si="23"/>
        <v>#DIV/0!</v>
      </c>
      <c r="Y29" s="72" t="str">
        <f t="shared" si="24"/>
        <v>#DIV/0!</v>
      </c>
      <c r="Z29" s="42"/>
      <c r="AA29" s="42"/>
      <c r="AB29" s="42"/>
      <c r="AC29" s="42"/>
      <c r="AD29" s="42"/>
      <c r="AE29" s="193"/>
    </row>
    <row r="30" ht="27.0" customHeight="1">
      <c r="A30" s="192">
        <v>29.0</v>
      </c>
      <c r="B30" s="192"/>
      <c r="C30" s="88"/>
      <c r="D30" s="56" t="str">
        <f t="shared" si="13"/>
        <v>U</v>
      </c>
      <c r="E30" s="72"/>
      <c r="F30" s="56" t="str">
        <f t="shared" si="14"/>
        <v>U</v>
      </c>
      <c r="G30" s="72"/>
      <c r="H30" s="56" t="str">
        <f t="shared" si="15"/>
        <v>U</v>
      </c>
      <c r="I30" s="72"/>
      <c r="J30" s="56" t="str">
        <f t="shared" si="16"/>
        <v>U</v>
      </c>
      <c r="K30" s="72"/>
      <c r="L30" s="56" t="str">
        <f t="shared" si="17"/>
        <v>U</v>
      </c>
      <c r="M30" s="72"/>
      <c r="N30" s="56" t="str">
        <f t="shared" si="18"/>
        <v>U</v>
      </c>
      <c r="O30" s="72"/>
      <c r="P30" s="56" t="str">
        <f t="shared" si="19"/>
        <v>U</v>
      </c>
      <c r="Q30" s="72"/>
      <c r="R30" s="56" t="str">
        <f t="shared" si="20"/>
        <v>U</v>
      </c>
      <c r="S30" s="72"/>
      <c r="T30" s="56" t="str">
        <f t="shared" si="21"/>
        <v>U</v>
      </c>
      <c r="U30" s="42"/>
      <c r="V30" s="56" t="str">
        <f t="shared" si="22"/>
        <v>U</v>
      </c>
      <c r="W30" s="192"/>
      <c r="X30" s="233" t="str">
        <f t="shared" si="23"/>
        <v>#DIV/0!</v>
      </c>
      <c r="Y30" s="72" t="str">
        <f t="shared" si="24"/>
        <v>#DIV/0!</v>
      </c>
      <c r="Z30" s="192"/>
      <c r="AA30" s="192"/>
      <c r="AB30" s="192"/>
      <c r="AC30" s="192"/>
      <c r="AD30" s="192"/>
      <c r="AE30" s="193"/>
    </row>
    <row r="31" ht="15.75" customHeight="1">
      <c r="A31" s="113">
        <v>30.0</v>
      </c>
      <c r="B31" s="101"/>
      <c r="C31" s="147"/>
      <c r="D31" s="103"/>
      <c r="E31" s="33"/>
      <c r="F31" s="105"/>
      <c r="G31" s="33"/>
      <c r="H31" s="105"/>
      <c r="I31" s="33"/>
      <c r="J31" s="105"/>
      <c r="K31" s="33"/>
      <c r="L31" s="105"/>
      <c r="M31" s="33"/>
      <c r="N31" s="105"/>
      <c r="O31" s="33"/>
      <c r="P31" s="105"/>
      <c r="Q31" s="33"/>
      <c r="R31" s="105"/>
      <c r="S31" s="33"/>
      <c r="T31" s="101"/>
      <c r="U31" s="33"/>
      <c r="V31" s="101"/>
      <c r="W31" s="101"/>
      <c r="X31" s="101"/>
      <c r="Y31" s="101"/>
      <c r="Z31" s="101"/>
      <c r="AA31" s="101"/>
    </row>
    <row r="32" ht="15.75" customHeight="1">
      <c r="B32" s="101"/>
      <c r="C32" s="147"/>
      <c r="D32" s="103"/>
      <c r="E32" s="33"/>
      <c r="F32" s="105"/>
      <c r="G32" s="33"/>
      <c r="H32" s="105"/>
      <c r="I32" s="33"/>
      <c r="J32" s="105"/>
      <c r="K32" s="33"/>
      <c r="L32" s="105"/>
      <c r="M32" s="33"/>
      <c r="N32" s="105"/>
      <c r="O32" s="33"/>
      <c r="P32" s="105"/>
      <c r="Q32" s="33"/>
      <c r="R32" s="105"/>
      <c r="S32" s="33"/>
      <c r="T32" s="101"/>
      <c r="U32" s="33"/>
      <c r="V32" s="101"/>
      <c r="W32" s="101"/>
      <c r="X32" s="101"/>
      <c r="Y32" s="101"/>
      <c r="Z32" s="101"/>
      <c r="AA32" s="101"/>
      <c r="AE32" s="174"/>
    </row>
    <row r="33" ht="15.75" customHeight="1">
      <c r="B33" s="101"/>
      <c r="C33" s="147"/>
      <c r="D33" s="103"/>
      <c r="E33" s="33"/>
      <c r="F33" s="105"/>
      <c r="G33" s="33"/>
      <c r="H33" s="105"/>
      <c r="I33" s="33"/>
      <c r="J33" s="105"/>
      <c r="K33" s="33"/>
      <c r="L33" s="105"/>
      <c r="M33" s="33"/>
      <c r="N33" s="105"/>
      <c r="O33" s="33"/>
      <c r="P33" s="105"/>
      <c r="Q33" s="33"/>
      <c r="R33" s="105"/>
      <c r="S33" s="33"/>
      <c r="T33" s="101"/>
      <c r="U33" s="33"/>
      <c r="V33" s="101"/>
      <c r="W33" s="101"/>
      <c r="X33" s="101"/>
      <c r="Y33" s="101"/>
      <c r="Z33" s="101"/>
      <c r="AA33" s="101"/>
      <c r="AE33" s="174"/>
    </row>
    <row r="34" ht="15.75" customHeight="1">
      <c r="B34" s="101" t="s">
        <v>33</v>
      </c>
      <c r="C34" s="237">
        <f>AVERAGE(C2:C30)</f>
        <v>52.5</v>
      </c>
      <c r="D34" s="238"/>
      <c r="E34" s="237">
        <f>AVERAGE(E2:E30)</f>
        <v>64.5</v>
      </c>
      <c r="F34" s="105"/>
      <c r="G34" s="237">
        <f>AVERAGE(G2:G30)</f>
        <v>67</v>
      </c>
      <c r="H34" s="105"/>
      <c r="I34" s="237">
        <f>AVERAGE(I2:I30)</f>
        <v>62</v>
      </c>
      <c r="J34" s="105"/>
      <c r="K34" s="237">
        <f>AVERAGE(K2:K30)</f>
        <v>90</v>
      </c>
      <c r="L34" s="105"/>
      <c r="M34" s="237">
        <f>AVERAGE(M2:M30)</f>
        <v>54.66666667</v>
      </c>
      <c r="N34" s="105"/>
      <c r="O34" s="237">
        <f>AVERAGE(O2:O30)</f>
        <v>68</v>
      </c>
      <c r="P34" s="105"/>
      <c r="Q34" s="237">
        <f>AVERAGE(Q2:Q30)</f>
        <v>74</v>
      </c>
      <c r="R34" s="105"/>
      <c r="S34" s="237">
        <f>AVERAGE(S2:S30)</f>
        <v>56.33333333</v>
      </c>
      <c r="T34" s="101"/>
      <c r="U34" s="237">
        <f>AVERAGE(U2:U30)</f>
        <v>70</v>
      </c>
      <c r="V34" s="101"/>
      <c r="W34" s="101"/>
      <c r="X34" s="101"/>
      <c r="Y34" s="101"/>
      <c r="Z34" s="101"/>
      <c r="AA34" s="101"/>
      <c r="AE34" s="174"/>
    </row>
    <row r="35" ht="15.75" customHeight="1">
      <c r="B35" s="101" t="s">
        <v>34</v>
      </c>
      <c r="C35" s="104">
        <f>COUNT(C2:C30)</f>
        <v>2</v>
      </c>
      <c r="D35" s="104"/>
      <c r="E35" s="104">
        <f>COUNT(E2:E30)</f>
        <v>4</v>
      </c>
      <c r="F35" s="105"/>
      <c r="G35" s="104">
        <f>COUNT(G2:G30)</f>
        <v>3</v>
      </c>
      <c r="H35" s="105"/>
      <c r="I35" s="104">
        <f>COUNT(I2:I30)</f>
        <v>3</v>
      </c>
      <c r="J35" s="105"/>
      <c r="K35" s="104">
        <f>COUNT(K2:K30)</f>
        <v>1</v>
      </c>
      <c r="L35" s="105"/>
      <c r="M35" s="104">
        <f>COUNT(M2:M30)</f>
        <v>3</v>
      </c>
      <c r="N35" s="105"/>
      <c r="O35" s="104">
        <f>COUNT(O2:O30)</f>
        <v>1</v>
      </c>
      <c r="P35" s="105"/>
      <c r="Q35" s="104">
        <f>COUNT(Q2:Q30)</f>
        <v>1</v>
      </c>
      <c r="R35" s="105"/>
      <c r="S35" s="104">
        <f>COUNT(S2:S30)</f>
        <v>3</v>
      </c>
      <c r="T35" s="101"/>
      <c r="U35" s="104">
        <f>COUNT(U2:U30)</f>
        <v>1</v>
      </c>
      <c r="V35" s="101"/>
      <c r="W35" s="101"/>
      <c r="X35" s="101"/>
      <c r="Y35" s="101"/>
      <c r="Z35" s="101"/>
      <c r="AA35" s="101"/>
      <c r="AE35" s="174"/>
    </row>
    <row r="36" ht="15.75" customHeight="1">
      <c r="B36" s="101" t="s">
        <v>35</v>
      </c>
      <c r="C36" s="104">
        <f>COUNTIF(C2:C30,"&gt;49")</f>
        <v>1</v>
      </c>
      <c r="D36" s="104"/>
      <c r="E36" s="104">
        <f>COUNTIF(E2:E30,"&gt;49")</f>
        <v>4</v>
      </c>
      <c r="F36" s="105"/>
      <c r="G36" s="104">
        <f>COUNTIF(G2:G30,"&gt;49")</f>
        <v>3</v>
      </c>
      <c r="H36" s="105"/>
      <c r="I36" s="104">
        <f>COUNTIF(I2:I30,"&gt;49")</f>
        <v>3</v>
      </c>
      <c r="J36" s="105"/>
      <c r="K36" s="104">
        <f>COUNTIF(K2:K30,"&gt;49")</f>
        <v>1</v>
      </c>
      <c r="L36" s="105"/>
      <c r="M36" s="104">
        <f>COUNTIF(M2:M30,"&gt;49")</f>
        <v>2</v>
      </c>
      <c r="N36" s="105"/>
      <c r="O36" s="104">
        <f>COUNTIF(O2:O30,"&gt;49")</f>
        <v>1</v>
      </c>
      <c r="P36" s="105"/>
      <c r="Q36" s="104">
        <f>COUNTIF(Q2:Q30,"&gt;49")</f>
        <v>1</v>
      </c>
      <c r="R36" s="105"/>
      <c r="S36" s="104">
        <f>COUNTIF(S2:S30,"&gt;49")</f>
        <v>3</v>
      </c>
      <c r="T36" s="101"/>
      <c r="U36" s="104">
        <f>COUNTIF(U2:U30,"&gt;49")</f>
        <v>1</v>
      </c>
      <c r="V36" s="101"/>
      <c r="W36" s="101"/>
      <c r="X36" s="101"/>
      <c r="Y36" s="101"/>
      <c r="Z36" s="101"/>
      <c r="AA36" s="101"/>
      <c r="AE36" s="174"/>
    </row>
    <row r="37" ht="15.75" customHeight="1">
      <c r="B37" s="101" t="s">
        <v>36</v>
      </c>
      <c r="C37" s="104">
        <f>COUNTIF(C2:C30,"&lt;50")</f>
        <v>1</v>
      </c>
      <c r="D37" s="104"/>
      <c r="E37" s="104">
        <f>COUNTIF(E2:E30,"&lt;50")</f>
        <v>0</v>
      </c>
      <c r="F37" s="105"/>
      <c r="G37" s="104">
        <f>COUNTIF(G2:G30,"&lt;50")</f>
        <v>0</v>
      </c>
      <c r="H37" s="105"/>
      <c r="I37" s="104">
        <f>COUNTIF(I2:I30,"&lt;50")</f>
        <v>0</v>
      </c>
      <c r="J37" s="105"/>
      <c r="K37" s="104">
        <f>COUNTIF(K2:K30,"&lt;50")</f>
        <v>0</v>
      </c>
      <c r="L37" s="105"/>
      <c r="M37" s="104">
        <f>COUNTIF(M2:M30,"&lt;50")</f>
        <v>1</v>
      </c>
      <c r="N37" s="105"/>
      <c r="O37" s="104">
        <f>COUNTIF($O$2:$O$30,"&lt;50")</f>
        <v>0</v>
      </c>
      <c r="P37" s="105"/>
      <c r="Q37" s="104">
        <f>COUNTIF(Q2:Q30,"&lt;50")</f>
        <v>0</v>
      </c>
      <c r="R37" s="105"/>
      <c r="S37" s="104">
        <f>COUNTIF($S$2:$S$30,"&lt;50")</f>
        <v>0</v>
      </c>
      <c r="T37" s="101"/>
      <c r="U37" s="104">
        <f>COUNTIF($U$2:$U$30,"&lt;50")</f>
        <v>0</v>
      </c>
      <c r="V37" s="101"/>
      <c r="W37" s="101"/>
      <c r="X37" s="101"/>
      <c r="Y37" s="101"/>
      <c r="Z37" s="101"/>
      <c r="AA37" s="101"/>
      <c r="AE37" s="174"/>
    </row>
    <row r="38" ht="15.75" customHeight="1">
      <c r="B38" s="31" t="s">
        <v>37</v>
      </c>
      <c r="C38" s="107">
        <f>C36*100/C35</f>
        <v>50</v>
      </c>
      <c r="D38" s="109"/>
      <c r="E38" s="107">
        <f>E36*100/E35</f>
        <v>100</v>
      </c>
      <c r="F38" s="110"/>
      <c r="G38" s="107">
        <f>G36*100/G35</f>
        <v>100</v>
      </c>
      <c r="H38" s="110"/>
      <c r="I38" s="107">
        <f>I36*100/I35</f>
        <v>100</v>
      </c>
      <c r="J38" s="110"/>
      <c r="K38" s="107">
        <f>K36*100/K35</f>
        <v>100</v>
      </c>
      <c r="L38" s="110"/>
      <c r="M38" s="107">
        <f>M36*100/M35</f>
        <v>66.66666667</v>
      </c>
      <c r="N38" s="110"/>
      <c r="O38" s="107">
        <f>O36*100/O35</f>
        <v>100</v>
      </c>
      <c r="P38" s="110"/>
      <c r="Q38" s="107">
        <f>Q36*100/Q35</f>
        <v>100</v>
      </c>
      <c r="R38" s="110"/>
      <c r="S38" s="107">
        <f>S36*100/S35</f>
        <v>100</v>
      </c>
      <c r="T38" s="31"/>
      <c r="U38" s="107">
        <f>U36*100/U35</f>
        <v>100</v>
      </c>
      <c r="V38" s="31"/>
      <c r="W38" s="31"/>
      <c r="X38" s="31"/>
      <c r="Y38" s="31"/>
      <c r="Z38" s="31"/>
      <c r="AA38" s="31"/>
      <c r="AE38" s="174"/>
    </row>
    <row r="39" ht="15.75" customHeight="1">
      <c r="C39" s="98"/>
      <c r="D39" s="98"/>
      <c r="E39" s="39"/>
      <c r="F39" s="39"/>
      <c r="G39" s="39"/>
      <c r="H39" s="39"/>
      <c r="I39" s="39"/>
      <c r="J39" s="39"/>
      <c r="K39" s="39"/>
      <c r="L39" s="39"/>
      <c r="M39" s="39"/>
      <c r="N39" s="39"/>
      <c r="O39" s="39"/>
      <c r="P39" s="39"/>
      <c r="Q39" s="39"/>
      <c r="R39" s="39"/>
      <c r="S39" s="239"/>
      <c r="AE39" s="174"/>
    </row>
    <row r="40" ht="15.75" customHeight="1">
      <c r="C40" s="98"/>
      <c r="D40" s="98"/>
      <c r="E40" s="39"/>
      <c r="F40" s="39"/>
      <c r="G40" s="39"/>
      <c r="H40" s="39"/>
      <c r="I40" s="39"/>
      <c r="J40" s="39"/>
      <c r="K40" s="39"/>
      <c r="L40" s="39"/>
      <c r="M40" s="39"/>
      <c r="N40" s="39"/>
      <c r="O40" s="39"/>
      <c r="P40" s="39"/>
      <c r="Q40" s="39"/>
      <c r="R40" s="39"/>
      <c r="S40" s="239"/>
      <c r="AE40" s="174"/>
    </row>
    <row r="41" ht="15.75" customHeight="1">
      <c r="A41" s="26" t="s">
        <v>139</v>
      </c>
      <c r="B41" s="26">
        <v>0.0</v>
      </c>
      <c r="C41" s="113" t="s">
        <v>140</v>
      </c>
      <c r="D41" s="98"/>
      <c r="E41" s="39"/>
      <c r="F41" s="39"/>
      <c r="G41" s="39"/>
      <c r="H41" s="39"/>
      <c r="I41" s="39"/>
      <c r="J41" s="39"/>
      <c r="K41" s="39"/>
      <c r="L41" s="39"/>
      <c r="M41" s="39"/>
      <c r="N41" s="39"/>
      <c r="O41" s="39"/>
      <c r="P41" s="39"/>
      <c r="Q41" s="39"/>
      <c r="R41" s="39"/>
      <c r="S41" s="239"/>
      <c r="AE41" s="174"/>
    </row>
    <row r="42" ht="15.75" customHeight="1">
      <c r="A42" s="26" t="s">
        <v>141</v>
      </c>
      <c r="B42" s="26">
        <v>20.0</v>
      </c>
      <c r="C42" s="113" t="s">
        <v>142</v>
      </c>
      <c r="D42" s="98"/>
      <c r="E42" s="39"/>
      <c r="F42" s="39"/>
      <c r="G42" s="39"/>
      <c r="H42" s="39"/>
      <c r="I42" s="39"/>
      <c r="J42" s="39"/>
      <c r="K42" s="39"/>
      <c r="L42" s="39"/>
      <c r="M42" s="39"/>
      <c r="N42" s="39"/>
      <c r="O42" s="39"/>
      <c r="P42" s="39"/>
      <c r="Q42" s="39"/>
      <c r="R42" s="39"/>
      <c r="S42" s="239"/>
      <c r="AE42" s="174"/>
    </row>
    <row r="43" ht="15.75" customHeight="1">
      <c r="A43" s="114" t="s">
        <v>143</v>
      </c>
      <c r="B43" s="115">
        <v>30.0</v>
      </c>
      <c r="C43" s="114" t="s">
        <v>144</v>
      </c>
      <c r="D43" s="98"/>
      <c r="E43" s="39"/>
      <c r="F43" s="39"/>
      <c r="G43" s="39"/>
      <c r="H43" s="39"/>
      <c r="I43" s="39"/>
      <c r="J43" s="39"/>
      <c r="K43" s="39"/>
      <c r="L43" s="39"/>
      <c r="M43" s="39"/>
      <c r="N43" s="39"/>
      <c r="O43" s="39"/>
      <c r="P43" s="39"/>
      <c r="Q43" s="39"/>
      <c r="R43" s="39"/>
      <c r="S43" s="239"/>
      <c r="AE43" s="174"/>
    </row>
    <row r="44" ht="15.75" customHeight="1">
      <c r="A44" s="114" t="s">
        <v>145</v>
      </c>
      <c r="B44" s="115">
        <v>40.0</v>
      </c>
      <c r="C44" s="114" t="s">
        <v>146</v>
      </c>
      <c r="D44" s="98"/>
      <c r="E44" s="39"/>
      <c r="F44" s="39"/>
      <c r="G44" s="39"/>
      <c r="H44" s="39"/>
      <c r="I44" s="39"/>
      <c r="J44" s="39"/>
      <c r="K44" s="39"/>
      <c r="L44" s="39"/>
      <c r="M44" s="39"/>
      <c r="N44" s="39"/>
      <c r="O44" s="39"/>
      <c r="P44" s="39"/>
      <c r="Q44" s="39"/>
      <c r="R44" s="39"/>
      <c r="S44" s="239"/>
      <c r="AE44" s="174"/>
    </row>
    <row r="45" ht="15.75" customHeight="1">
      <c r="A45" s="114" t="s">
        <v>147</v>
      </c>
      <c r="B45" s="115">
        <v>50.0</v>
      </c>
      <c r="C45" s="114" t="s">
        <v>93</v>
      </c>
      <c r="D45" s="98"/>
      <c r="E45" s="39"/>
      <c r="F45" s="39"/>
      <c r="G45" s="39"/>
      <c r="H45" s="39"/>
      <c r="I45" s="39"/>
      <c r="J45" s="39"/>
      <c r="K45" s="39"/>
      <c r="L45" s="39"/>
      <c r="M45" s="39"/>
      <c r="N45" s="39"/>
      <c r="O45" s="39"/>
      <c r="P45" s="39"/>
      <c r="Q45" s="39"/>
      <c r="R45" s="39"/>
      <c r="S45" s="239"/>
      <c r="AE45" s="174"/>
    </row>
    <row r="46" ht="15.75" customHeight="1">
      <c r="A46" s="114" t="s">
        <v>148</v>
      </c>
      <c r="B46" s="115">
        <v>60.0</v>
      </c>
      <c r="C46" s="114" t="s">
        <v>90</v>
      </c>
      <c r="D46" s="98"/>
      <c r="E46" s="39"/>
      <c r="F46" s="39"/>
      <c r="G46" s="39"/>
      <c r="H46" s="39"/>
      <c r="I46" s="39"/>
      <c r="J46" s="39"/>
      <c r="K46" s="39"/>
      <c r="L46" s="39"/>
      <c r="M46" s="39"/>
      <c r="N46" s="39"/>
      <c r="O46" s="39"/>
      <c r="P46" s="39"/>
      <c r="Q46" s="39"/>
      <c r="R46" s="39"/>
      <c r="S46" s="239"/>
      <c r="AE46" s="174"/>
    </row>
    <row r="47" ht="15.75" customHeight="1">
      <c r="A47" s="114" t="s">
        <v>149</v>
      </c>
      <c r="B47" s="115">
        <v>70.0</v>
      </c>
      <c r="C47" s="114" t="s">
        <v>87</v>
      </c>
      <c r="D47" s="98"/>
      <c r="E47" s="39"/>
      <c r="F47" s="39"/>
      <c r="G47" s="39"/>
      <c r="H47" s="39"/>
      <c r="I47" s="39"/>
      <c r="J47" s="39"/>
      <c r="K47" s="39"/>
      <c r="L47" s="39"/>
      <c r="M47" s="39"/>
      <c r="N47" s="39"/>
      <c r="O47" s="39"/>
      <c r="P47" s="39"/>
      <c r="Q47" s="39"/>
      <c r="R47" s="39"/>
      <c r="S47" s="239"/>
      <c r="AE47" s="174"/>
    </row>
    <row r="48" ht="15.75" customHeight="1">
      <c r="A48" s="116" t="s">
        <v>150</v>
      </c>
      <c r="B48" s="117">
        <v>80.0</v>
      </c>
      <c r="C48" s="116" t="s">
        <v>85</v>
      </c>
      <c r="D48" s="98"/>
      <c r="E48" s="39"/>
      <c r="F48" s="39"/>
      <c r="G48" s="39"/>
      <c r="H48" s="39"/>
      <c r="I48" s="39"/>
      <c r="J48" s="39"/>
      <c r="K48" s="39"/>
      <c r="L48" s="39"/>
      <c r="M48" s="39"/>
      <c r="N48" s="39"/>
      <c r="O48" s="39"/>
      <c r="P48" s="39"/>
      <c r="Q48" s="39"/>
      <c r="R48" s="39"/>
      <c r="S48" s="239"/>
      <c r="AE48" s="174"/>
    </row>
    <row r="49" ht="15.75" customHeight="1">
      <c r="A49" s="116" t="s">
        <v>151</v>
      </c>
      <c r="B49" s="117">
        <v>90.0</v>
      </c>
      <c r="C49" s="116" t="s">
        <v>152</v>
      </c>
      <c r="D49" s="98"/>
      <c r="E49" s="39"/>
      <c r="F49" s="39"/>
      <c r="G49" s="39"/>
      <c r="H49" s="39"/>
      <c r="I49" s="39"/>
      <c r="J49" s="39"/>
      <c r="K49" s="39"/>
      <c r="L49" s="39"/>
      <c r="M49" s="39"/>
      <c r="N49" s="39"/>
      <c r="O49" s="39"/>
      <c r="P49" s="39"/>
      <c r="Q49" s="39"/>
      <c r="R49" s="39"/>
      <c r="S49" s="239"/>
      <c r="AE49" s="174"/>
    </row>
    <row r="50" ht="15.75" customHeight="1">
      <c r="C50" s="98"/>
      <c r="D50" s="98"/>
      <c r="E50" s="39"/>
      <c r="F50" s="39"/>
      <c r="G50" s="39"/>
      <c r="H50" s="39"/>
      <c r="I50" s="39"/>
      <c r="J50" s="39"/>
      <c r="K50" s="39"/>
      <c r="L50" s="39"/>
      <c r="M50" s="39"/>
      <c r="N50" s="39"/>
      <c r="O50" s="39"/>
      <c r="P50" s="39"/>
      <c r="Q50" s="39"/>
      <c r="R50" s="39"/>
      <c r="S50" s="239"/>
      <c r="AE50" s="174"/>
    </row>
    <row r="51" ht="15.75" customHeight="1">
      <c r="C51" s="98"/>
      <c r="D51" s="98"/>
      <c r="E51" s="39"/>
      <c r="F51" s="39"/>
      <c r="G51" s="39"/>
      <c r="H51" s="39"/>
      <c r="I51" s="39"/>
      <c r="J51" s="39"/>
      <c r="K51" s="39"/>
      <c r="L51" s="39"/>
      <c r="M51" s="39"/>
      <c r="N51" s="39"/>
      <c r="O51" s="39"/>
      <c r="P51" s="39"/>
      <c r="Q51" s="39"/>
      <c r="R51" s="39"/>
      <c r="S51" s="239"/>
      <c r="AE51" s="174"/>
    </row>
    <row r="52" ht="15.75" customHeight="1">
      <c r="C52" s="98"/>
      <c r="D52" s="98"/>
      <c r="E52" s="39"/>
      <c r="F52" s="39"/>
      <c r="G52" s="39"/>
      <c r="H52" s="39"/>
      <c r="I52" s="39"/>
      <c r="J52" s="39"/>
      <c r="K52" s="39"/>
      <c r="L52" s="39"/>
      <c r="M52" s="39"/>
      <c r="N52" s="39"/>
      <c r="O52" s="39"/>
      <c r="P52" s="39"/>
      <c r="Q52" s="39"/>
      <c r="R52" s="39"/>
      <c r="S52" s="239"/>
      <c r="AE52" s="174"/>
    </row>
    <row r="53" ht="15.75" customHeight="1">
      <c r="C53" s="98"/>
      <c r="D53" s="98"/>
      <c r="E53" s="39"/>
      <c r="F53" s="39"/>
      <c r="G53" s="39"/>
      <c r="H53" s="39"/>
      <c r="I53" s="39"/>
      <c r="J53" s="39"/>
      <c r="K53" s="39"/>
      <c r="L53" s="39"/>
      <c r="M53" s="39"/>
      <c r="N53" s="39"/>
      <c r="O53" s="39"/>
      <c r="P53" s="39"/>
      <c r="Q53" s="39"/>
      <c r="R53" s="39"/>
      <c r="S53" s="239"/>
      <c r="AE53" s="174"/>
    </row>
    <row r="54" ht="15.75" customHeight="1">
      <c r="C54" s="98"/>
      <c r="D54" s="98"/>
      <c r="E54" s="39"/>
      <c r="F54" s="39"/>
      <c r="G54" s="39"/>
      <c r="H54" s="39"/>
      <c r="I54" s="39"/>
      <c r="J54" s="39"/>
      <c r="K54" s="39"/>
      <c r="L54" s="39"/>
      <c r="M54" s="39"/>
      <c r="N54" s="39"/>
      <c r="O54" s="39"/>
      <c r="P54" s="39"/>
      <c r="Q54" s="39"/>
      <c r="R54" s="39"/>
      <c r="S54" s="239"/>
      <c r="AE54" s="174"/>
    </row>
    <row r="55" ht="15.75" customHeight="1">
      <c r="C55" s="98"/>
      <c r="D55" s="98"/>
      <c r="E55" s="39"/>
      <c r="F55" s="39"/>
      <c r="G55" s="39"/>
      <c r="H55" s="39"/>
      <c r="I55" s="39"/>
      <c r="J55" s="39"/>
      <c r="K55" s="39"/>
      <c r="L55" s="39"/>
      <c r="M55" s="39"/>
      <c r="N55" s="39"/>
      <c r="O55" s="39"/>
      <c r="P55" s="39"/>
      <c r="Q55" s="39"/>
      <c r="R55" s="39"/>
      <c r="S55" s="239"/>
      <c r="AE55" s="174"/>
    </row>
    <row r="56" ht="15.75" customHeight="1">
      <c r="C56" s="98"/>
      <c r="D56" s="98"/>
      <c r="E56" s="39"/>
      <c r="F56" s="39"/>
      <c r="G56" s="39"/>
      <c r="H56" s="39"/>
      <c r="I56" s="39"/>
      <c r="J56" s="39"/>
      <c r="K56" s="39"/>
      <c r="L56" s="39"/>
      <c r="M56" s="39"/>
      <c r="N56" s="39"/>
      <c r="O56" s="39"/>
      <c r="P56" s="39"/>
      <c r="Q56" s="39"/>
      <c r="R56" s="39"/>
      <c r="S56" s="239"/>
      <c r="AE56" s="174"/>
    </row>
    <row r="57" ht="15.75" customHeight="1">
      <c r="C57" s="98"/>
      <c r="D57" s="98"/>
      <c r="E57" s="39"/>
      <c r="F57" s="39"/>
      <c r="G57" s="39"/>
      <c r="H57" s="39"/>
      <c r="I57" s="39"/>
      <c r="J57" s="39"/>
      <c r="K57" s="39"/>
      <c r="L57" s="39"/>
      <c r="M57" s="39"/>
      <c r="N57" s="39"/>
      <c r="O57" s="39"/>
      <c r="P57" s="39"/>
      <c r="Q57" s="39"/>
      <c r="R57" s="39"/>
      <c r="S57" s="239"/>
      <c r="AE57" s="174"/>
    </row>
    <row r="58" ht="15.75" customHeight="1">
      <c r="C58" s="98"/>
      <c r="D58" s="98"/>
      <c r="E58" s="39"/>
      <c r="F58" s="39"/>
      <c r="G58" s="39"/>
      <c r="H58" s="39"/>
      <c r="I58" s="39"/>
      <c r="J58" s="39"/>
      <c r="K58" s="39"/>
      <c r="L58" s="39"/>
      <c r="M58" s="39"/>
      <c r="N58" s="39"/>
      <c r="O58" s="39"/>
      <c r="P58" s="39"/>
      <c r="Q58" s="39"/>
      <c r="R58" s="39"/>
      <c r="S58" s="239"/>
      <c r="AE58" s="174"/>
    </row>
    <row r="59" ht="15.75" customHeight="1">
      <c r="C59" s="98"/>
      <c r="D59" s="98"/>
      <c r="E59" s="39"/>
      <c r="F59" s="39"/>
      <c r="G59" s="39"/>
      <c r="H59" s="39"/>
      <c r="I59" s="39"/>
      <c r="J59" s="39"/>
      <c r="K59" s="39"/>
      <c r="L59" s="39"/>
      <c r="M59" s="39"/>
      <c r="N59" s="39"/>
      <c r="O59" s="39"/>
      <c r="P59" s="39"/>
      <c r="Q59" s="39"/>
      <c r="R59" s="39"/>
      <c r="S59" s="239"/>
      <c r="AE59" s="174"/>
    </row>
    <row r="60" ht="15.75" customHeight="1">
      <c r="C60" s="98"/>
      <c r="D60" s="98"/>
      <c r="E60" s="39"/>
      <c r="F60" s="39"/>
      <c r="G60" s="39"/>
      <c r="H60" s="39"/>
      <c r="I60" s="39"/>
      <c r="J60" s="39"/>
      <c r="K60" s="39"/>
      <c r="L60" s="39"/>
      <c r="M60" s="39"/>
      <c r="N60" s="39"/>
      <c r="O60" s="39"/>
      <c r="P60" s="39"/>
      <c r="Q60" s="39"/>
      <c r="R60" s="39"/>
      <c r="S60" s="239"/>
      <c r="AE60" s="174"/>
    </row>
    <row r="61" ht="15.75" customHeight="1">
      <c r="C61" s="98"/>
      <c r="D61" s="98"/>
      <c r="E61" s="39"/>
      <c r="F61" s="39"/>
      <c r="G61" s="39"/>
      <c r="H61" s="39"/>
      <c r="I61" s="39"/>
      <c r="J61" s="39"/>
      <c r="K61" s="39"/>
      <c r="L61" s="39"/>
      <c r="M61" s="39"/>
      <c r="N61" s="39"/>
      <c r="O61" s="39"/>
      <c r="P61" s="39"/>
      <c r="Q61" s="39"/>
      <c r="R61" s="39"/>
      <c r="S61" s="239"/>
      <c r="AE61" s="174"/>
    </row>
    <row r="62" ht="15.75" customHeight="1">
      <c r="C62" s="98"/>
      <c r="D62" s="98"/>
      <c r="E62" s="39"/>
      <c r="F62" s="39"/>
      <c r="G62" s="39"/>
      <c r="H62" s="39"/>
      <c r="I62" s="39"/>
      <c r="J62" s="39"/>
      <c r="K62" s="39"/>
      <c r="L62" s="39"/>
      <c r="M62" s="39"/>
      <c r="N62" s="39"/>
      <c r="O62" s="39"/>
      <c r="P62" s="39"/>
      <c r="Q62" s="39"/>
      <c r="R62" s="39"/>
      <c r="S62" s="239"/>
      <c r="AE62" s="174"/>
    </row>
    <row r="63" ht="15.75" customHeight="1">
      <c r="C63" s="98"/>
      <c r="D63" s="98"/>
      <c r="E63" s="39"/>
      <c r="F63" s="39"/>
      <c r="G63" s="39"/>
      <c r="H63" s="39"/>
      <c r="I63" s="39"/>
      <c r="J63" s="39"/>
      <c r="K63" s="39"/>
      <c r="L63" s="39"/>
      <c r="M63" s="39"/>
      <c r="N63" s="39"/>
      <c r="O63" s="39"/>
      <c r="P63" s="39"/>
      <c r="Q63" s="39"/>
      <c r="R63" s="39"/>
      <c r="S63" s="239"/>
      <c r="AE63" s="174"/>
    </row>
    <row r="64" ht="15.75" customHeight="1">
      <c r="C64" s="98"/>
      <c r="D64" s="98"/>
      <c r="E64" s="39"/>
      <c r="F64" s="39"/>
      <c r="G64" s="39"/>
      <c r="H64" s="39"/>
      <c r="I64" s="39"/>
      <c r="J64" s="39"/>
      <c r="K64" s="39"/>
      <c r="L64" s="39"/>
      <c r="M64" s="39"/>
      <c r="N64" s="39"/>
      <c r="O64" s="39"/>
      <c r="P64" s="39"/>
      <c r="Q64" s="39"/>
      <c r="R64" s="39"/>
      <c r="S64" s="239"/>
      <c r="AE64" s="174"/>
    </row>
    <row r="65" ht="15.75" customHeight="1">
      <c r="C65" s="98"/>
      <c r="D65" s="98"/>
      <c r="E65" s="39"/>
      <c r="F65" s="39"/>
      <c r="G65" s="39"/>
      <c r="H65" s="39"/>
      <c r="I65" s="39"/>
      <c r="J65" s="39"/>
      <c r="K65" s="39"/>
      <c r="L65" s="39"/>
      <c r="M65" s="39"/>
      <c r="N65" s="39"/>
      <c r="O65" s="39"/>
      <c r="P65" s="39"/>
      <c r="Q65" s="39"/>
      <c r="R65" s="39"/>
      <c r="S65" s="239"/>
      <c r="AE65" s="174"/>
    </row>
    <row r="66" ht="15.75" customHeight="1">
      <c r="C66" s="98"/>
      <c r="D66" s="98"/>
      <c r="E66" s="39"/>
      <c r="F66" s="39"/>
      <c r="G66" s="39"/>
      <c r="H66" s="39"/>
      <c r="I66" s="39"/>
      <c r="J66" s="39"/>
      <c r="K66" s="39"/>
      <c r="L66" s="39"/>
      <c r="M66" s="39"/>
      <c r="N66" s="39"/>
      <c r="O66" s="39"/>
      <c r="P66" s="39"/>
      <c r="Q66" s="39"/>
      <c r="R66" s="39"/>
      <c r="S66" s="239"/>
      <c r="AE66" s="174"/>
    </row>
    <row r="67" ht="15.75" customHeight="1">
      <c r="C67" s="98"/>
      <c r="D67" s="98"/>
      <c r="E67" s="39"/>
      <c r="F67" s="39"/>
      <c r="G67" s="39"/>
      <c r="H67" s="39"/>
      <c r="I67" s="39"/>
      <c r="J67" s="39"/>
      <c r="K67" s="39"/>
      <c r="L67" s="39"/>
      <c r="M67" s="39"/>
      <c r="N67" s="39"/>
      <c r="O67" s="39"/>
      <c r="P67" s="39"/>
      <c r="Q67" s="39"/>
      <c r="R67" s="39"/>
      <c r="S67" s="239"/>
      <c r="AE67" s="174"/>
    </row>
    <row r="68" ht="15.75" customHeight="1">
      <c r="C68" s="98"/>
      <c r="D68" s="98"/>
      <c r="E68" s="39"/>
      <c r="F68" s="39"/>
      <c r="G68" s="39"/>
      <c r="H68" s="39"/>
      <c r="I68" s="39"/>
      <c r="J68" s="39"/>
      <c r="K68" s="39"/>
      <c r="L68" s="39"/>
      <c r="M68" s="39"/>
      <c r="N68" s="39"/>
      <c r="O68" s="39"/>
      <c r="P68" s="39"/>
      <c r="Q68" s="39"/>
      <c r="R68" s="39"/>
      <c r="S68" s="239"/>
      <c r="AE68" s="174"/>
    </row>
    <row r="69" ht="15.75" customHeight="1">
      <c r="C69" s="98"/>
      <c r="D69" s="98"/>
      <c r="E69" s="39"/>
      <c r="F69" s="39"/>
      <c r="G69" s="39"/>
      <c r="H69" s="39"/>
      <c r="I69" s="39"/>
      <c r="J69" s="39"/>
      <c r="K69" s="39"/>
      <c r="L69" s="39"/>
      <c r="M69" s="39"/>
      <c r="N69" s="39"/>
      <c r="O69" s="39"/>
      <c r="P69" s="39"/>
      <c r="Q69" s="39"/>
      <c r="R69" s="39"/>
      <c r="S69" s="239"/>
      <c r="AE69" s="174"/>
    </row>
    <row r="70" ht="15.75" customHeight="1">
      <c r="C70" s="98"/>
      <c r="D70" s="98"/>
      <c r="E70" s="39"/>
      <c r="F70" s="39"/>
      <c r="G70" s="39"/>
      <c r="H70" s="39"/>
      <c r="I70" s="39"/>
      <c r="J70" s="39"/>
      <c r="K70" s="39"/>
      <c r="L70" s="39"/>
      <c r="M70" s="39"/>
      <c r="N70" s="39"/>
      <c r="O70" s="39"/>
      <c r="P70" s="39"/>
      <c r="Q70" s="39"/>
      <c r="R70" s="39"/>
      <c r="S70" s="239"/>
      <c r="AE70" s="174"/>
    </row>
    <row r="71" ht="15.75" customHeight="1">
      <c r="C71" s="98"/>
      <c r="D71" s="98"/>
      <c r="E71" s="39"/>
      <c r="F71" s="39"/>
      <c r="G71" s="39"/>
      <c r="H71" s="39"/>
      <c r="I71" s="39"/>
      <c r="J71" s="39"/>
      <c r="K71" s="39"/>
      <c r="L71" s="39"/>
      <c r="M71" s="39"/>
      <c r="N71" s="39"/>
      <c r="O71" s="39"/>
      <c r="P71" s="39"/>
      <c r="Q71" s="39"/>
      <c r="R71" s="39"/>
      <c r="S71" s="239"/>
      <c r="AE71" s="174"/>
    </row>
    <row r="72" ht="15.75" customHeight="1">
      <c r="C72" s="98"/>
      <c r="D72" s="98"/>
      <c r="E72" s="39"/>
      <c r="F72" s="39"/>
      <c r="G72" s="39"/>
      <c r="H72" s="39"/>
      <c r="I72" s="39"/>
      <c r="J72" s="39"/>
      <c r="K72" s="39"/>
      <c r="L72" s="39"/>
      <c r="M72" s="39"/>
      <c r="N72" s="39"/>
      <c r="O72" s="39"/>
      <c r="P72" s="39"/>
      <c r="Q72" s="39"/>
      <c r="R72" s="39"/>
      <c r="S72" s="239"/>
      <c r="AE72" s="174"/>
    </row>
    <row r="73" ht="15.75" customHeight="1">
      <c r="C73" s="98"/>
      <c r="D73" s="98"/>
      <c r="E73" s="39"/>
      <c r="F73" s="39"/>
      <c r="G73" s="39"/>
      <c r="H73" s="39"/>
      <c r="I73" s="39"/>
      <c r="J73" s="39"/>
      <c r="K73" s="39"/>
      <c r="L73" s="39"/>
      <c r="M73" s="39"/>
      <c r="N73" s="39"/>
      <c r="O73" s="39"/>
      <c r="P73" s="39"/>
      <c r="Q73" s="39"/>
      <c r="R73" s="39"/>
      <c r="S73" s="239"/>
      <c r="AE73" s="174"/>
    </row>
    <row r="74" ht="15.75" customHeight="1">
      <c r="C74" s="98"/>
      <c r="D74" s="98"/>
      <c r="E74" s="39"/>
      <c r="F74" s="39"/>
      <c r="G74" s="39"/>
      <c r="H74" s="39"/>
      <c r="I74" s="39"/>
      <c r="J74" s="39"/>
      <c r="K74" s="39"/>
      <c r="L74" s="39"/>
      <c r="M74" s="39"/>
      <c r="N74" s="39"/>
      <c r="O74" s="39"/>
      <c r="P74" s="39"/>
      <c r="Q74" s="39"/>
      <c r="R74" s="39"/>
      <c r="S74" s="239"/>
      <c r="AE74" s="174"/>
    </row>
    <row r="75" ht="15.75" customHeight="1">
      <c r="C75" s="98"/>
      <c r="D75" s="98"/>
      <c r="E75" s="39"/>
      <c r="F75" s="39"/>
      <c r="G75" s="39"/>
      <c r="H75" s="39"/>
      <c r="I75" s="39"/>
      <c r="J75" s="39"/>
      <c r="K75" s="39"/>
      <c r="L75" s="39"/>
      <c r="M75" s="39"/>
      <c r="N75" s="39"/>
      <c r="O75" s="39"/>
      <c r="P75" s="39"/>
      <c r="Q75" s="39"/>
      <c r="R75" s="39"/>
      <c r="S75" s="239"/>
      <c r="AE75" s="174"/>
    </row>
    <row r="76" ht="15.75" customHeight="1">
      <c r="C76" s="98"/>
      <c r="D76" s="98"/>
      <c r="E76" s="39"/>
      <c r="F76" s="39"/>
      <c r="G76" s="39"/>
      <c r="H76" s="39"/>
      <c r="I76" s="39"/>
      <c r="J76" s="39"/>
      <c r="K76" s="39"/>
      <c r="L76" s="39"/>
      <c r="M76" s="39"/>
      <c r="N76" s="39"/>
      <c r="O76" s="39"/>
      <c r="P76" s="39"/>
      <c r="Q76" s="39"/>
      <c r="R76" s="39"/>
      <c r="S76" s="239"/>
      <c r="AE76" s="174"/>
    </row>
    <row r="77" ht="15.75" customHeight="1">
      <c r="C77" s="98"/>
      <c r="D77" s="98"/>
      <c r="E77" s="39"/>
      <c r="F77" s="39"/>
      <c r="G77" s="39"/>
      <c r="H77" s="39"/>
      <c r="I77" s="39"/>
      <c r="J77" s="39"/>
      <c r="K77" s="39"/>
      <c r="L77" s="39"/>
      <c r="M77" s="39"/>
      <c r="N77" s="39"/>
      <c r="O77" s="39"/>
      <c r="P77" s="39"/>
      <c r="Q77" s="39"/>
      <c r="R77" s="39"/>
      <c r="S77" s="239"/>
      <c r="AE77" s="174"/>
    </row>
    <row r="78" ht="15.75" customHeight="1">
      <c r="C78" s="98"/>
      <c r="D78" s="98"/>
      <c r="E78" s="39"/>
      <c r="F78" s="39"/>
      <c r="G78" s="39"/>
      <c r="H78" s="39"/>
      <c r="I78" s="39"/>
      <c r="J78" s="39"/>
      <c r="K78" s="39"/>
      <c r="L78" s="39"/>
      <c r="M78" s="39"/>
      <c r="N78" s="39"/>
      <c r="O78" s="39"/>
      <c r="P78" s="39"/>
      <c r="Q78" s="39"/>
      <c r="R78" s="39"/>
      <c r="S78" s="239"/>
      <c r="AE78" s="174"/>
    </row>
    <row r="79" ht="15.75" customHeight="1">
      <c r="C79" s="98"/>
      <c r="D79" s="98"/>
      <c r="E79" s="39"/>
      <c r="F79" s="39"/>
      <c r="G79" s="39"/>
      <c r="H79" s="39"/>
      <c r="I79" s="39"/>
      <c r="J79" s="39"/>
      <c r="K79" s="39"/>
      <c r="L79" s="39"/>
      <c r="M79" s="39"/>
      <c r="N79" s="39"/>
      <c r="O79" s="39"/>
      <c r="P79" s="39"/>
      <c r="Q79" s="39"/>
      <c r="R79" s="39"/>
      <c r="S79" s="239"/>
      <c r="AE79" s="174"/>
    </row>
    <row r="80" ht="15.75" customHeight="1">
      <c r="C80" s="98"/>
      <c r="D80" s="98"/>
      <c r="E80" s="39"/>
      <c r="F80" s="39"/>
      <c r="G80" s="39"/>
      <c r="H80" s="39"/>
      <c r="I80" s="39"/>
      <c r="J80" s="39"/>
      <c r="K80" s="39"/>
      <c r="L80" s="39"/>
      <c r="M80" s="39"/>
      <c r="N80" s="39"/>
      <c r="O80" s="39"/>
      <c r="P80" s="39"/>
      <c r="Q80" s="39"/>
      <c r="R80" s="39"/>
      <c r="S80" s="239"/>
      <c r="AE80" s="174"/>
    </row>
    <row r="81" ht="15.75" customHeight="1">
      <c r="C81" s="98"/>
      <c r="D81" s="98"/>
      <c r="E81" s="39"/>
      <c r="F81" s="39"/>
      <c r="G81" s="39"/>
      <c r="H81" s="39"/>
      <c r="I81" s="39"/>
      <c r="J81" s="39"/>
      <c r="K81" s="39"/>
      <c r="L81" s="39"/>
      <c r="M81" s="39"/>
      <c r="N81" s="39"/>
      <c r="O81" s="39"/>
      <c r="P81" s="39"/>
      <c r="Q81" s="39"/>
      <c r="R81" s="39"/>
      <c r="S81" s="239"/>
      <c r="AE81" s="174"/>
    </row>
    <row r="82" ht="15.75" customHeight="1">
      <c r="C82" s="98"/>
      <c r="D82" s="98"/>
      <c r="E82" s="39"/>
      <c r="F82" s="39"/>
      <c r="G82" s="39"/>
      <c r="H82" s="39"/>
      <c r="I82" s="39"/>
      <c r="J82" s="39"/>
      <c r="K82" s="39"/>
      <c r="L82" s="39"/>
      <c r="M82" s="39"/>
      <c r="N82" s="39"/>
      <c r="O82" s="39"/>
      <c r="P82" s="39"/>
      <c r="Q82" s="39"/>
      <c r="R82" s="39"/>
      <c r="S82" s="239"/>
      <c r="AE82" s="174"/>
    </row>
    <row r="83" ht="15.75" customHeight="1">
      <c r="C83" s="98"/>
      <c r="D83" s="98"/>
      <c r="E83" s="39"/>
      <c r="F83" s="39"/>
      <c r="G83" s="39"/>
      <c r="H83" s="39"/>
      <c r="I83" s="39"/>
      <c r="J83" s="39"/>
      <c r="K83" s="39"/>
      <c r="L83" s="39"/>
      <c r="M83" s="39"/>
      <c r="N83" s="39"/>
      <c r="O83" s="39"/>
      <c r="P83" s="39"/>
      <c r="Q83" s="39"/>
      <c r="R83" s="39"/>
      <c r="S83" s="239"/>
      <c r="AE83" s="174"/>
    </row>
    <row r="84" ht="15.75" customHeight="1">
      <c r="C84" s="98"/>
      <c r="D84" s="98"/>
      <c r="E84" s="39"/>
      <c r="F84" s="39"/>
      <c r="G84" s="39"/>
      <c r="H84" s="39"/>
      <c r="I84" s="39"/>
      <c r="J84" s="39"/>
      <c r="K84" s="39"/>
      <c r="L84" s="39"/>
      <c r="M84" s="39"/>
      <c r="N84" s="39"/>
      <c r="O84" s="39"/>
      <c r="P84" s="39"/>
      <c r="Q84" s="39"/>
      <c r="R84" s="39"/>
      <c r="S84" s="239"/>
      <c r="AE84" s="174"/>
    </row>
    <row r="85" ht="15.75" customHeight="1">
      <c r="C85" s="98"/>
      <c r="D85" s="98"/>
      <c r="E85" s="39"/>
      <c r="F85" s="39"/>
      <c r="G85" s="39"/>
      <c r="H85" s="39"/>
      <c r="I85" s="39"/>
      <c r="J85" s="39"/>
      <c r="K85" s="39"/>
      <c r="L85" s="39"/>
      <c r="M85" s="39"/>
      <c r="N85" s="39"/>
      <c r="O85" s="39"/>
      <c r="P85" s="39"/>
      <c r="Q85" s="39"/>
      <c r="R85" s="39"/>
      <c r="S85" s="239"/>
      <c r="AE85" s="174"/>
    </row>
    <row r="86" ht="15.75" customHeight="1">
      <c r="C86" s="98"/>
      <c r="D86" s="98"/>
      <c r="E86" s="39"/>
      <c r="F86" s="39"/>
      <c r="G86" s="39"/>
      <c r="H86" s="39"/>
      <c r="I86" s="39"/>
      <c r="J86" s="39"/>
      <c r="K86" s="39"/>
      <c r="L86" s="39"/>
      <c r="M86" s="39"/>
      <c r="N86" s="39"/>
      <c r="O86" s="39"/>
      <c r="P86" s="39"/>
      <c r="Q86" s="39"/>
      <c r="R86" s="39"/>
      <c r="S86" s="239"/>
      <c r="AE86" s="174"/>
    </row>
    <row r="87" ht="15.75" customHeight="1">
      <c r="C87" s="98"/>
      <c r="D87" s="98"/>
      <c r="E87" s="39"/>
      <c r="F87" s="39"/>
      <c r="G87" s="39"/>
      <c r="H87" s="39"/>
      <c r="I87" s="39"/>
      <c r="J87" s="39"/>
      <c r="K87" s="39"/>
      <c r="L87" s="39"/>
      <c r="M87" s="39"/>
      <c r="N87" s="39"/>
      <c r="O87" s="39"/>
      <c r="P87" s="39"/>
      <c r="Q87" s="39"/>
      <c r="R87" s="39"/>
      <c r="S87" s="239"/>
      <c r="AE87" s="174"/>
    </row>
    <row r="88" ht="15.75" customHeight="1">
      <c r="C88" s="98"/>
      <c r="D88" s="98"/>
      <c r="E88" s="39"/>
      <c r="F88" s="39"/>
      <c r="G88" s="39"/>
      <c r="H88" s="39"/>
      <c r="I88" s="39"/>
      <c r="J88" s="39"/>
      <c r="K88" s="39"/>
      <c r="L88" s="39"/>
      <c r="M88" s="39"/>
      <c r="N88" s="39"/>
      <c r="O88" s="39"/>
      <c r="P88" s="39"/>
      <c r="Q88" s="39"/>
      <c r="R88" s="39"/>
      <c r="S88" s="239"/>
      <c r="AE88" s="174"/>
    </row>
    <row r="89" ht="15.75" customHeight="1">
      <c r="C89" s="98"/>
      <c r="D89" s="98"/>
      <c r="E89" s="39"/>
      <c r="F89" s="39"/>
      <c r="G89" s="39"/>
      <c r="H89" s="39"/>
      <c r="I89" s="39"/>
      <c r="J89" s="39"/>
      <c r="K89" s="39"/>
      <c r="L89" s="39"/>
      <c r="M89" s="39"/>
      <c r="N89" s="39"/>
      <c r="O89" s="39"/>
      <c r="P89" s="39"/>
      <c r="Q89" s="39"/>
      <c r="R89" s="39"/>
      <c r="S89" s="239"/>
      <c r="AE89" s="174"/>
    </row>
    <row r="90" ht="15.75" customHeight="1">
      <c r="C90" s="98"/>
      <c r="D90" s="98"/>
      <c r="E90" s="39"/>
      <c r="F90" s="39"/>
      <c r="G90" s="39"/>
      <c r="H90" s="39"/>
      <c r="I90" s="39"/>
      <c r="J90" s="39"/>
      <c r="K90" s="39"/>
      <c r="L90" s="39"/>
      <c r="M90" s="39"/>
      <c r="N90" s="39"/>
      <c r="O90" s="39"/>
      <c r="P90" s="39"/>
      <c r="Q90" s="39"/>
      <c r="R90" s="39"/>
      <c r="S90" s="239"/>
      <c r="AE90" s="174"/>
    </row>
    <row r="91" ht="15.75" customHeight="1">
      <c r="C91" s="98"/>
      <c r="D91" s="98"/>
      <c r="E91" s="39"/>
      <c r="F91" s="39"/>
      <c r="G91" s="39"/>
      <c r="H91" s="39"/>
      <c r="I91" s="39"/>
      <c r="J91" s="39"/>
      <c r="K91" s="39"/>
      <c r="L91" s="39"/>
      <c r="M91" s="39"/>
      <c r="N91" s="39"/>
      <c r="O91" s="39"/>
      <c r="P91" s="39"/>
      <c r="Q91" s="39"/>
      <c r="R91" s="39"/>
      <c r="S91" s="239"/>
      <c r="AE91" s="174"/>
    </row>
    <row r="92" ht="15.75" customHeight="1">
      <c r="C92" s="98"/>
      <c r="D92" s="98"/>
      <c r="E92" s="39"/>
      <c r="F92" s="39"/>
      <c r="G92" s="39"/>
      <c r="H92" s="39"/>
      <c r="I92" s="39"/>
      <c r="J92" s="39"/>
      <c r="K92" s="39"/>
      <c r="L92" s="39"/>
      <c r="M92" s="39"/>
      <c r="N92" s="39"/>
      <c r="O92" s="39"/>
      <c r="P92" s="39"/>
      <c r="Q92" s="39"/>
      <c r="R92" s="39"/>
      <c r="S92" s="239"/>
      <c r="AE92" s="174"/>
    </row>
    <row r="93" ht="15.75" customHeight="1">
      <c r="C93" s="98"/>
      <c r="D93" s="98"/>
      <c r="E93" s="39"/>
      <c r="F93" s="39"/>
      <c r="G93" s="39"/>
      <c r="H93" s="39"/>
      <c r="I93" s="39"/>
      <c r="J93" s="39"/>
      <c r="K93" s="39"/>
      <c r="L93" s="39"/>
      <c r="M93" s="39"/>
      <c r="N93" s="39"/>
      <c r="O93" s="39"/>
      <c r="P93" s="39"/>
      <c r="Q93" s="39"/>
      <c r="R93" s="39"/>
      <c r="S93" s="239"/>
      <c r="AE93" s="174"/>
    </row>
    <row r="94" ht="15.75" customHeight="1">
      <c r="C94" s="98"/>
      <c r="D94" s="98"/>
      <c r="E94" s="39"/>
      <c r="F94" s="39"/>
      <c r="G94" s="39"/>
      <c r="H94" s="39"/>
      <c r="I94" s="39"/>
      <c r="J94" s="39"/>
      <c r="K94" s="39"/>
      <c r="L94" s="39"/>
      <c r="M94" s="39"/>
      <c r="N94" s="39"/>
      <c r="O94" s="39"/>
      <c r="P94" s="39"/>
      <c r="Q94" s="39"/>
      <c r="R94" s="39"/>
      <c r="S94" s="239"/>
      <c r="AE94" s="174"/>
    </row>
    <row r="95" ht="15.75" customHeight="1">
      <c r="C95" s="98"/>
      <c r="D95" s="98"/>
      <c r="E95" s="39"/>
      <c r="F95" s="39"/>
      <c r="G95" s="39"/>
      <c r="H95" s="39"/>
      <c r="I95" s="39"/>
      <c r="J95" s="39"/>
      <c r="K95" s="39"/>
      <c r="L95" s="39"/>
      <c r="M95" s="39"/>
      <c r="N95" s="39"/>
      <c r="O95" s="39"/>
      <c r="P95" s="39"/>
      <c r="Q95" s="39"/>
      <c r="R95" s="39"/>
      <c r="S95" s="239"/>
      <c r="AE95" s="174"/>
    </row>
    <row r="96" ht="15.75" customHeight="1">
      <c r="C96" s="98"/>
      <c r="D96" s="98"/>
      <c r="E96" s="39"/>
      <c r="F96" s="39"/>
      <c r="G96" s="39"/>
      <c r="H96" s="39"/>
      <c r="I96" s="39"/>
      <c r="J96" s="39"/>
      <c r="K96" s="39"/>
      <c r="L96" s="39"/>
      <c r="M96" s="39"/>
      <c r="N96" s="39"/>
      <c r="O96" s="39"/>
      <c r="P96" s="39"/>
      <c r="Q96" s="39"/>
      <c r="R96" s="39"/>
      <c r="S96" s="239"/>
      <c r="AE96" s="174"/>
    </row>
    <row r="97" ht="15.75" customHeight="1">
      <c r="C97" s="98"/>
      <c r="D97" s="98"/>
      <c r="E97" s="39"/>
      <c r="F97" s="39"/>
      <c r="G97" s="39"/>
      <c r="H97" s="39"/>
      <c r="I97" s="39"/>
      <c r="J97" s="39"/>
      <c r="K97" s="39"/>
      <c r="L97" s="39"/>
      <c r="M97" s="39"/>
      <c r="N97" s="39"/>
      <c r="O97" s="39"/>
      <c r="P97" s="39"/>
      <c r="Q97" s="39"/>
      <c r="R97" s="39"/>
      <c r="S97" s="239"/>
      <c r="AE97" s="174"/>
    </row>
    <row r="98" ht="15.75" customHeight="1">
      <c r="C98" s="98"/>
      <c r="D98" s="98"/>
      <c r="E98" s="39"/>
      <c r="F98" s="39"/>
      <c r="G98" s="39"/>
      <c r="H98" s="39"/>
      <c r="I98" s="39"/>
      <c r="J98" s="39"/>
      <c r="K98" s="39"/>
      <c r="L98" s="39"/>
      <c r="M98" s="39"/>
      <c r="N98" s="39"/>
      <c r="O98" s="39"/>
      <c r="P98" s="39"/>
      <c r="Q98" s="39"/>
      <c r="R98" s="39"/>
      <c r="S98" s="239"/>
      <c r="AE98" s="174"/>
    </row>
    <row r="99" ht="15.75" customHeight="1">
      <c r="C99" s="98"/>
      <c r="D99" s="98"/>
      <c r="E99" s="39"/>
      <c r="F99" s="39"/>
      <c r="G99" s="39"/>
      <c r="H99" s="39"/>
      <c r="I99" s="39"/>
      <c r="J99" s="39"/>
      <c r="K99" s="39"/>
      <c r="L99" s="39"/>
      <c r="M99" s="39"/>
      <c r="N99" s="39"/>
      <c r="O99" s="39"/>
      <c r="P99" s="39"/>
      <c r="Q99" s="39"/>
      <c r="R99" s="39"/>
      <c r="S99" s="239"/>
      <c r="AE99" s="174"/>
    </row>
    <row r="100" ht="15.75" customHeight="1">
      <c r="C100" s="98"/>
      <c r="D100" s="98"/>
      <c r="E100" s="39"/>
      <c r="F100" s="39"/>
      <c r="G100" s="39"/>
      <c r="H100" s="39"/>
      <c r="I100" s="39"/>
      <c r="J100" s="39"/>
      <c r="K100" s="39"/>
      <c r="L100" s="39"/>
      <c r="M100" s="39"/>
      <c r="N100" s="39"/>
      <c r="O100" s="39"/>
      <c r="P100" s="39"/>
      <c r="Q100" s="39"/>
      <c r="R100" s="39"/>
      <c r="S100" s="239"/>
      <c r="AE100" s="174"/>
    </row>
    <row r="101" ht="15.75" customHeight="1">
      <c r="C101" s="98"/>
      <c r="D101" s="98"/>
      <c r="E101" s="39"/>
      <c r="F101" s="39"/>
      <c r="G101" s="39"/>
      <c r="H101" s="39"/>
      <c r="I101" s="39"/>
      <c r="J101" s="39"/>
      <c r="K101" s="39"/>
      <c r="L101" s="39"/>
      <c r="M101" s="39"/>
      <c r="N101" s="39"/>
      <c r="O101" s="39"/>
      <c r="P101" s="39"/>
      <c r="Q101" s="39"/>
      <c r="R101" s="39"/>
      <c r="S101" s="239"/>
      <c r="AE101" s="174"/>
    </row>
    <row r="102" ht="15.75" customHeight="1">
      <c r="C102" s="98"/>
      <c r="D102" s="98"/>
      <c r="E102" s="39"/>
      <c r="F102" s="39"/>
      <c r="G102" s="39"/>
      <c r="H102" s="39"/>
      <c r="I102" s="39"/>
      <c r="J102" s="39"/>
      <c r="K102" s="39"/>
      <c r="L102" s="39"/>
      <c r="M102" s="39"/>
      <c r="N102" s="39"/>
      <c r="O102" s="39"/>
      <c r="P102" s="39"/>
      <c r="Q102" s="39"/>
      <c r="R102" s="39"/>
      <c r="S102" s="239"/>
      <c r="AE102" s="174"/>
    </row>
    <row r="103" ht="15.75" customHeight="1">
      <c r="C103" s="98"/>
      <c r="D103" s="98"/>
      <c r="E103" s="39"/>
      <c r="F103" s="39"/>
      <c r="G103" s="39"/>
      <c r="H103" s="39"/>
      <c r="I103" s="39"/>
      <c r="J103" s="39"/>
      <c r="K103" s="39"/>
      <c r="L103" s="39"/>
      <c r="M103" s="39"/>
      <c r="N103" s="39"/>
      <c r="O103" s="39"/>
      <c r="P103" s="39"/>
      <c r="Q103" s="39"/>
      <c r="R103" s="39"/>
      <c r="S103" s="239"/>
      <c r="AE103" s="174"/>
    </row>
    <row r="104" ht="15.75" customHeight="1">
      <c r="C104" s="98"/>
      <c r="D104" s="98"/>
      <c r="E104" s="39"/>
      <c r="F104" s="39"/>
      <c r="G104" s="39"/>
      <c r="H104" s="39"/>
      <c r="I104" s="39"/>
      <c r="J104" s="39"/>
      <c r="K104" s="39"/>
      <c r="L104" s="39"/>
      <c r="M104" s="39"/>
      <c r="N104" s="39"/>
      <c r="O104" s="39"/>
      <c r="P104" s="39"/>
      <c r="Q104" s="39"/>
      <c r="R104" s="39"/>
      <c r="S104" s="239"/>
      <c r="AE104" s="174"/>
    </row>
    <row r="105" ht="15.75" customHeight="1">
      <c r="C105" s="98"/>
      <c r="D105" s="98"/>
      <c r="E105" s="39"/>
      <c r="F105" s="39"/>
      <c r="G105" s="39"/>
      <c r="H105" s="39"/>
      <c r="I105" s="39"/>
      <c r="J105" s="39"/>
      <c r="K105" s="39"/>
      <c r="L105" s="39"/>
      <c r="M105" s="39"/>
      <c r="N105" s="39"/>
      <c r="O105" s="39"/>
      <c r="P105" s="39"/>
      <c r="Q105" s="39"/>
      <c r="R105" s="39"/>
      <c r="S105" s="239"/>
      <c r="AE105" s="174"/>
    </row>
    <row r="106" ht="15.75" customHeight="1">
      <c r="C106" s="98"/>
      <c r="D106" s="98"/>
      <c r="E106" s="39"/>
      <c r="F106" s="39"/>
      <c r="G106" s="39"/>
      <c r="H106" s="39"/>
      <c r="I106" s="39"/>
      <c r="J106" s="39"/>
      <c r="K106" s="39"/>
      <c r="L106" s="39"/>
      <c r="M106" s="39"/>
      <c r="N106" s="39"/>
      <c r="O106" s="39"/>
      <c r="P106" s="39"/>
      <c r="Q106" s="39"/>
      <c r="R106" s="39"/>
      <c r="S106" s="239"/>
      <c r="AE106" s="174"/>
    </row>
    <row r="107" ht="15.75" customHeight="1">
      <c r="C107" s="98"/>
      <c r="D107" s="98"/>
      <c r="E107" s="39"/>
      <c r="F107" s="39"/>
      <c r="G107" s="39"/>
      <c r="H107" s="39"/>
      <c r="I107" s="39"/>
      <c r="J107" s="39"/>
      <c r="K107" s="39"/>
      <c r="L107" s="39"/>
      <c r="M107" s="39"/>
      <c r="N107" s="39"/>
      <c r="O107" s="39"/>
      <c r="P107" s="39"/>
      <c r="Q107" s="39"/>
      <c r="R107" s="39"/>
      <c r="S107" s="239"/>
      <c r="AE107" s="174"/>
    </row>
    <row r="108" ht="15.75" customHeight="1">
      <c r="C108" s="98"/>
      <c r="D108" s="98"/>
      <c r="E108" s="39"/>
      <c r="F108" s="39"/>
      <c r="G108" s="39"/>
      <c r="H108" s="39"/>
      <c r="I108" s="39"/>
      <c r="J108" s="39"/>
      <c r="K108" s="39"/>
      <c r="L108" s="39"/>
      <c r="M108" s="39"/>
      <c r="N108" s="39"/>
      <c r="O108" s="39"/>
      <c r="P108" s="39"/>
      <c r="Q108" s="39"/>
      <c r="R108" s="39"/>
      <c r="S108" s="239"/>
      <c r="AE108" s="174"/>
    </row>
    <row r="109" ht="15.75" customHeight="1">
      <c r="C109" s="98"/>
      <c r="D109" s="98"/>
      <c r="E109" s="39"/>
      <c r="F109" s="39"/>
      <c r="G109" s="39"/>
      <c r="H109" s="39"/>
      <c r="I109" s="39"/>
      <c r="J109" s="39"/>
      <c r="K109" s="39"/>
      <c r="L109" s="39"/>
      <c r="M109" s="39"/>
      <c r="N109" s="39"/>
      <c r="O109" s="39"/>
      <c r="P109" s="39"/>
      <c r="Q109" s="39"/>
      <c r="R109" s="39"/>
      <c r="S109" s="239"/>
      <c r="AE109" s="174"/>
    </row>
    <row r="110" ht="15.75" customHeight="1">
      <c r="C110" s="98"/>
      <c r="D110" s="98"/>
      <c r="E110" s="39"/>
      <c r="F110" s="39"/>
      <c r="G110" s="39"/>
      <c r="H110" s="39"/>
      <c r="I110" s="39"/>
      <c r="J110" s="39"/>
      <c r="K110" s="39"/>
      <c r="L110" s="39"/>
      <c r="M110" s="39"/>
      <c r="N110" s="39"/>
      <c r="O110" s="39"/>
      <c r="P110" s="39"/>
      <c r="Q110" s="39"/>
      <c r="R110" s="39"/>
      <c r="S110" s="239"/>
      <c r="AE110" s="174"/>
    </row>
    <row r="111" ht="15.75" customHeight="1">
      <c r="C111" s="98"/>
      <c r="D111" s="98"/>
      <c r="E111" s="39"/>
      <c r="F111" s="39"/>
      <c r="G111" s="39"/>
      <c r="H111" s="39"/>
      <c r="I111" s="39"/>
      <c r="J111" s="39"/>
      <c r="K111" s="39"/>
      <c r="L111" s="39"/>
      <c r="M111" s="39"/>
      <c r="N111" s="39"/>
      <c r="O111" s="39"/>
      <c r="P111" s="39"/>
      <c r="Q111" s="39"/>
      <c r="R111" s="39"/>
      <c r="S111" s="239"/>
      <c r="AE111" s="174"/>
    </row>
    <row r="112" ht="15.75" customHeight="1">
      <c r="C112" s="98"/>
      <c r="D112" s="98"/>
      <c r="E112" s="39"/>
      <c r="F112" s="39"/>
      <c r="G112" s="39"/>
      <c r="H112" s="39"/>
      <c r="I112" s="39"/>
      <c r="J112" s="39"/>
      <c r="K112" s="39"/>
      <c r="L112" s="39"/>
      <c r="M112" s="39"/>
      <c r="N112" s="39"/>
      <c r="O112" s="39"/>
      <c r="P112" s="39"/>
      <c r="Q112" s="39"/>
      <c r="R112" s="39"/>
      <c r="S112" s="239"/>
      <c r="AE112" s="174"/>
    </row>
    <row r="113" ht="15.75" customHeight="1">
      <c r="C113" s="98"/>
      <c r="D113" s="98"/>
      <c r="E113" s="39"/>
      <c r="F113" s="39"/>
      <c r="G113" s="39"/>
      <c r="H113" s="39"/>
      <c r="I113" s="39"/>
      <c r="J113" s="39"/>
      <c r="K113" s="39"/>
      <c r="L113" s="39"/>
      <c r="M113" s="39"/>
      <c r="N113" s="39"/>
      <c r="O113" s="39"/>
      <c r="P113" s="39"/>
      <c r="Q113" s="39"/>
      <c r="R113" s="39"/>
      <c r="S113" s="239"/>
      <c r="AE113" s="174"/>
    </row>
    <row r="114" ht="15.75" customHeight="1">
      <c r="C114" s="98"/>
      <c r="D114" s="98"/>
      <c r="E114" s="39"/>
      <c r="F114" s="39"/>
      <c r="G114" s="39"/>
      <c r="H114" s="39"/>
      <c r="I114" s="39"/>
      <c r="J114" s="39"/>
      <c r="K114" s="39"/>
      <c r="L114" s="39"/>
      <c r="M114" s="39"/>
      <c r="N114" s="39"/>
      <c r="O114" s="39"/>
      <c r="P114" s="39"/>
      <c r="Q114" s="39"/>
      <c r="R114" s="39"/>
      <c r="S114" s="239"/>
      <c r="AE114" s="174"/>
    </row>
    <row r="115" ht="15.75" customHeight="1">
      <c r="C115" s="98"/>
      <c r="D115" s="98"/>
      <c r="E115" s="39"/>
      <c r="F115" s="39"/>
      <c r="G115" s="39"/>
      <c r="H115" s="39"/>
      <c r="I115" s="39"/>
      <c r="J115" s="39"/>
      <c r="K115" s="39"/>
      <c r="L115" s="39"/>
      <c r="M115" s="39"/>
      <c r="N115" s="39"/>
      <c r="O115" s="39"/>
      <c r="P115" s="39"/>
      <c r="Q115" s="39"/>
      <c r="R115" s="39"/>
      <c r="S115" s="239"/>
      <c r="AE115" s="174"/>
    </row>
    <row r="116" ht="15.75" customHeight="1">
      <c r="C116" s="98"/>
      <c r="D116" s="98"/>
      <c r="E116" s="39"/>
      <c r="F116" s="39"/>
      <c r="G116" s="39"/>
      <c r="H116" s="39"/>
      <c r="I116" s="39"/>
      <c r="J116" s="39"/>
      <c r="K116" s="39"/>
      <c r="L116" s="39"/>
      <c r="M116" s="39"/>
      <c r="N116" s="39"/>
      <c r="O116" s="39"/>
      <c r="P116" s="39"/>
      <c r="Q116" s="39"/>
      <c r="R116" s="39"/>
      <c r="S116" s="239"/>
      <c r="AE116" s="174"/>
    </row>
    <row r="117" ht="15.75" customHeight="1">
      <c r="C117" s="98"/>
      <c r="D117" s="98"/>
      <c r="E117" s="39"/>
      <c r="F117" s="39"/>
      <c r="G117" s="39"/>
      <c r="H117" s="39"/>
      <c r="I117" s="39"/>
      <c r="J117" s="39"/>
      <c r="K117" s="39"/>
      <c r="L117" s="39"/>
      <c r="M117" s="39"/>
      <c r="N117" s="39"/>
      <c r="O117" s="39"/>
      <c r="P117" s="39"/>
      <c r="Q117" s="39"/>
      <c r="R117" s="39"/>
      <c r="S117" s="239"/>
      <c r="AE117" s="174"/>
    </row>
    <row r="118" ht="15.75" customHeight="1">
      <c r="C118" s="98"/>
      <c r="D118" s="98"/>
      <c r="E118" s="39"/>
      <c r="F118" s="39"/>
      <c r="G118" s="39"/>
      <c r="H118" s="39"/>
      <c r="I118" s="39"/>
      <c r="J118" s="39"/>
      <c r="K118" s="39"/>
      <c r="L118" s="39"/>
      <c r="M118" s="39"/>
      <c r="N118" s="39"/>
      <c r="O118" s="39"/>
      <c r="P118" s="39"/>
      <c r="Q118" s="39"/>
      <c r="R118" s="39"/>
      <c r="S118" s="239"/>
      <c r="AE118" s="174"/>
    </row>
    <row r="119" ht="15.75" customHeight="1">
      <c r="C119" s="98"/>
      <c r="D119" s="98"/>
      <c r="E119" s="39"/>
      <c r="F119" s="39"/>
      <c r="G119" s="39"/>
      <c r="H119" s="39"/>
      <c r="I119" s="39"/>
      <c r="J119" s="39"/>
      <c r="K119" s="39"/>
      <c r="L119" s="39"/>
      <c r="M119" s="39"/>
      <c r="N119" s="39"/>
      <c r="O119" s="39"/>
      <c r="P119" s="39"/>
      <c r="Q119" s="39"/>
      <c r="R119" s="39"/>
      <c r="S119" s="239"/>
      <c r="AE119" s="174"/>
    </row>
    <row r="120" ht="15.75" customHeight="1">
      <c r="C120" s="98"/>
      <c r="D120" s="98"/>
      <c r="E120" s="39"/>
      <c r="F120" s="39"/>
      <c r="G120" s="39"/>
      <c r="H120" s="39"/>
      <c r="I120" s="39"/>
      <c r="J120" s="39"/>
      <c r="K120" s="39"/>
      <c r="L120" s="39"/>
      <c r="M120" s="39"/>
      <c r="N120" s="39"/>
      <c r="O120" s="39"/>
      <c r="P120" s="39"/>
      <c r="Q120" s="39"/>
      <c r="R120" s="39"/>
      <c r="S120" s="239"/>
      <c r="AE120" s="174"/>
    </row>
    <row r="121" ht="15.75" customHeight="1">
      <c r="C121" s="98"/>
      <c r="D121" s="98"/>
      <c r="E121" s="39"/>
      <c r="F121" s="39"/>
      <c r="G121" s="39"/>
      <c r="H121" s="39"/>
      <c r="I121" s="39"/>
      <c r="J121" s="39"/>
      <c r="K121" s="39"/>
      <c r="L121" s="39"/>
      <c r="M121" s="39"/>
      <c r="N121" s="39"/>
      <c r="O121" s="39"/>
      <c r="P121" s="39"/>
      <c r="Q121" s="39"/>
      <c r="R121" s="39"/>
      <c r="S121" s="239"/>
      <c r="AE121" s="174"/>
    </row>
    <row r="122" ht="15.75" customHeight="1">
      <c r="C122" s="98"/>
      <c r="D122" s="98"/>
      <c r="E122" s="39"/>
      <c r="F122" s="39"/>
      <c r="G122" s="39"/>
      <c r="H122" s="39"/>
      <c r="I122" s="39"/>
      <c r="J122" s="39"/>
      <c r="K122" s="39"/>
      <c r="L122" s="39"/>
      <c r="M122" s="39"/>
      <c r="N122" s="39"/>
      <c r="O122" s="39"/>
      <c r="P122" s="39"/>
      <c r="Q122" s="39"/>
      <c r="R122" s="39"/>
      <c r="S122" s="239"/>
      <c r="AE122" s="174"/>
    </row>
    <row r="123" ht="15.75" customHeight="1">
      <c r="C123" s="98"/>
      <c r="D123" s="98"/>
      <c r="E123" s="39"/>
      <c r="F123" s="39"/>
      <c r="G123" s="39"/>
      <c r="H123" s="39"/>
      <c r="I123" s="39"/>
      <c r="J123" s="39"/>
      <c r="K123" s="39"/>
      <c r="L123" s="39"/>
      <c r="M123" s="39"/>
      <c r="N123" s="39"/>
      <c r="O123" s="39"/>
      <c r="P123" s="39"/>
      <c r="Q123" s="39"/>
      <c r="R123" s="39"/>
      <c r="S123" s="239"/>
      <c r="AE123" s="174"/>
    </row>
    <row r="124" ht="15.75" customHeight="1">
      <c r="C124" s="98"/>
      <c r="D124" s="98"/>
      <c r="E124" s="39"/>
      <c r="F124" s="39"/>
      <c r="G124" s="39"/>
      <c r="H124" s="39"/>
      <c r="I124" s="39"/>
      <c r="J124" s="39"/>
      <c r="K124" s="39"/>
      <c r="L124" s="39"/>
      <c r="M124" s="39"/>
      <c r="N124" s="39"/>
      <c r="O124" s="39"/>
      <c r="P124" s="39"/>
      <c r="Q124" s="39"/>
      <c r="R124" s="39"/>
      <c r="S124" s="239"/>
      <c r="AE124" s="174"/>
    </row>
    <row r="125" ht="15.75" customHeight="1">
      <c r="C125" s="98"/>
      <c r="D125" s="98"/>
      <c r="E125" s="39"/>
      <c r="F125" s="39"/>
      <c r="G125" s="39"/>
      <c r="H125" s="39"/>
      <c r="I125" s="39"/>
      <c r="J125" s="39"/>
      <c r="K125" s="39"/>
      <c r="L125" s="39"/>
      <c r="M125" s="39"/>
      <c r="N125" s="39"/>
      <c r="O125" s="39"/>
      <c r="P125" s="39"/>
      <c r="Q125" s="39"/>
      <c r="R125" s="39"/>
      <c r="S125" s="239"/>
      <c r="AE125" s="174"/>
    </row>
    <row r="126" ht="15.75" customHeight="1">
      <c r="C126" s="98"/>
      <c r="D126" s="98"/>
      <c r="E126" s="39"/>
      <c r="F126" s="39"/>
      <c r="G126" s="39"/>
      <c r="H126" s="39"/>
      <c r="I126" s="39"/>
      <c r="J126" s="39"/>
      <c r="K126" s="39"/>
      <c r="L126" s="39"/>
      <c r="M126" s="39"/>
      <c r="N126" s="39"/>
      <c r="O126" s="39"/>
      <c r="P126" s="39"/>
      <c r="Q126" s="39"/>
      <c r="R126" s="39"/>
      <c r="S126" s="239"/>
      <c r="AE126" s="174"/>
    </row>
    <row r="127" ht="15.75" customHeight="1">
      <c r="C127" s="98"/>
      <c r="D127" s="98"/>
      <c r="E127" s="39"/>
      <c r="F127" s="39"/>
      <c r="G127" s="39"/>
      <c r="H127" s="39"/>
      <c r="I127" s="39"/>
      <c r="J127" s="39"/>
      <c r="K127" s="39"/>
      <c r="L127" s="39"/>
      <c r="M127" s="39"/>
      <c r="N127" s="39"/>
      <c r="O127" s="39"/>
      <c r="P127" s="39"/>
      <c r="Q127" s="39"/>
      <c r="R127" s="39"/>
      <c r="S127" s="239"/>
      <c r="AE127" s="174"/>
    </row>
    <row r="128" ht="15.75" customHeight="1">
      <c r="C128" s="98"/>
      <c r="D128" s="98"/>
      <c r="E128" s="39"/>
      <c r="F128" s="39"/>
      <c r="G128" s="39"/>
      <c r="H128" s="39"/>
      <c r="I128" s="39"/>
      <c r="J128" s="39"/>
      <c r="K128" s="39"/>
      <c r="L128" s="39"/>
      <c r="M128" s="39"/>
      <c r="N128" s="39"/>
      <c r="O128" s="39"/>
      <c r="P128" s="39"/>
      <c r="Q128" s="39"/>
      <c r="R128" s="39"/>
      <c r="S128" s="239"/>
      <c r="AE128" s="174"/>
    </row>
    <row r="129" ht="15.75" customHeight="1">
      <c r="C129" s="98"/>
      <c r="D129" s="98"/>
      <c r="E129" s="39"/>
      <c r="F129" s="39"/>
      <c r="G129" s="39"/>
      <c r="H129" s="39"/>
      <c r="I129" s="39"/>
      <c r="J129" s="39"/>
      <c r="K129" s="39"/>
      <c r="L129" s="39"/>
      <c r="M129" s="39"/>
      <c r="N129" s="39"/>
      <c r="O129" s="39"/>
      <c r="P129" s="39"/>
      <c r="Q129" s="39"/>
      <c r="R129" s="39"/>
      <c r="S129" s="239"/>
      <c r="AE129" s="174"/>
    </row>
    <row r="130" ht="15.75" customHeight="1">
      <c r="C130" s="98"/>
      <c r="D130" s="98"/>
      <c r="E130" s="39"/>
      <c r="F130" s="39"/>
      <c r="G130" s="39"/>
      <c r="H130" s="39"/>
      <c r="I130" s="39"/>
      <c r="J130" s="39"/>
      <c r="K130" s="39"/>
      <c r="L130" s="39"/>
      <c r="M130" s="39"/>
      <c r="N130" s="39"/>
      <c r="O130" s="39"/>
      <c r="P130" s="39"/>
      <c r="Q130" s="39"/>
      <c r="R130" s="39"/>
      <c r="S130" s="239"/>
      <c r="AE130" s="174"/>
    </row>
    <row r="131" ht="15.75" customHeight="1">
      <c r="C131" s="98"/>
      <c r="D131" s="98"/>
      <c r="E131" s="39"/>
      <c r="F131" s="39"/>
      <c r="G131" s="39"/>
      <c r="H131" s="39"/>
      <c r="I131" s="39"/>
      <c r="J131" s="39"/>
      <c r="K131" s="39"/>
      <c r="L131" s="39"/>
      <c r="M131" s="39"/>
      <c r="N131" s="39"/>
      <c r="O131" s="39"/>
      <c r="P131" s="39"/>
      <c r="Q131" s="39"/>
      <c r="R131" s="39"/>
      <c r="S131" s="239"/>
      <c r="AE131" s="174"/>
    </row>
    <row r="132" ht="15.75" customHeight="1">
      <c r="C132" s="98"/>
      <c r="D132" s="98"/>
      <c r="E132" s="39"/>
      <c r="F132" s="39"/>
      <c r="G132" s="39"/>
      <c r="H132" s="39"/>
      <c r="I132" s="39"/>
      <c r="J132" s="39"/>
      <c r="K132" s="39"/>
      <c r="L132" s="39"/>
      <c r="M132" s="39"/>
      <c r="N132" s="39"/>
      <c r="O132" s="39"/>
      <c r="P132" s="39"/>
      <c r="Q132" s="39"/>
      <c r="R132" s="39"/>
      <c r="S132" s="239"/>
      <c r="AE132" s="174"/>
    </row>
    <row r="133" ht="15.75" customHeight="1">
      <c r="C133" s="98"/>
      <c r="D133" s="98"/>
      <c r="E133" s="39"/>
      <c r="F133" s="39"/>
      <c r="G133" s="39"/>
      <c r="H133" s="39"/>
      <c r="I133" s="39"/>
      <c r="J133" s="39"/>
      <c r="K133" s="39"/>
      <c r="L133" s="39"/>
      <c r="M133" s="39"/>
      <c r="N133" s="39"/>
      <c r="O133" s="39"/>
      <c r="P133" s="39"/>
      <c r="Q133" s="39"/>
      <c r="R133" s="39"/>
      <c r="S133" s="239"/>
      <c r="AE133" s="174"/>
    </row>
    <row r="134" ht="15.75" customHeight="1">
      <c r="C134" s="98"/>
      <c r="D134" s="98"/>
      <c r="E134" s="39"/>
      <c r="F134" s="39"/>
      <c r="G134" s="39"/>
      <c r="H134" s="39"/>
      <c r="I134" s="39"/>
      <c r="J134" s="39"/>
      <c r="K134" s="39"/>
      <c r="L134" s="39"/>
      <c r="M134" s="39"/>
      <c r="N134" s="39"/>
      <c r="O134" s="39"/>
      <c r="P134" s="39"/>
      <c r="Q134" s="39"/>
      <c r="R134" s="39"/>
      <c r="S134" s="239"/>
      <c r="AE134" s="174"/>
    </row>
    <row r="135" ht="15.75" customHeight="1">
      <c r="C135" s="98"/>
      <c r="D135" s="98"/>
      <c r="E135" s="39"/>
      <c r="F135" s="39"/>
      <c r="G135" s="39"/>
      <c r="H135" s="39"/>
      <c r="I135" s="39"/>
      <c r="J135" s="39"/>
      <c r="K135" s="39"/>
      <c r="L135" s="39"/>
      <c r="M135" s="39"/>
      <c r="N135" s="39"/>
      <c r="O135" s="39"/>
      <c r="P135" s="39"/>
      <c r="Q135" s="39"/>
      <c r="R135" s="39"/>
      <c r="S135" s="239"/>
      <c r="AE135" s="174"/>
    </row>
    <row r="136" ht="15.75" customHeight="1">
      <c r="C136" s="98"/>
      <c r="D136" s="98"/>
      <c r="E136" s="39"/>
      <c r="F136" s="39"/>
      <c r="G136" s="39"/>
      <c r="H136" s="39"/>
      <c r="I136" s="39"/>
      <c r="J136" s="39"/>
      <c r="K136" s="39"/>
      <c r="L136" s="39"/>
      <c r="M136" s="39"/>
      <c r="N136" s="39"/>
      <c r="O136" s="39"/>
      <c r="P136" s="39"/>
      <c r="Q136" s="39"/>
      <c r="R136" s="39"/>
      <c r="S136" s="239"/>
      <c r="AE136" s="174"/>
    </row>
    <row r="137" ht="15.75" customHeight="1">
      <c r="C137" s="98"/>
      <c r="D137" s="98"/>
      <c r="E137" s="39"/>
      <c r="F137" s="39"/>
      <c r="G137" s="39"/>
      <c r="H137" s="39"/>
      <c r="I137" s="39"/>
      <c r="J137" s="39"/>
      <c r="K137" s="39"/>
      <c r="L137" s="39"/>
      <c r="M137" s="39"/>
      <c r="N137" s="39"/>
      <c r="O137" s="39"/>
      <c r="P137" s="39"/>
      <c r="Q137" s="39"/>
      <c r="R137" s="39"/>
      <c r="S137" s="239"/>
      <c r="AE137" s="174"/>
    </row>
    <row r="138" ht="15.75" customHeight="1">
      <c r="C138" s="98"/>
      <c r="D138" s="98"/>
      <c r="E138" s="39"/>
      <c r="F138" s="39"/>
      <c r="G138" s="39"/>
      <c r="H138" s="39"/>
      <c r="I138" s="39"/>
      <c r="J138" s="39"/>
      <c r="K138" s="39"/>
      <c r="L138" s="39"/>
      <c r="M138" s="39"/>
      <c r="N138" s="39"/>
      <c r="O138" s="39"/>
      <c r="P138" s="39"/>
      <c r="Q138" s="39"/>
      <c r="R138" s="39"/>
      <c r="S138" s="239"/>
      <c r="AE138" s="174"/>
    </row>
    <row r="139" ht="15.75" customHeight="1">
      <c r="C139" s="98"/>
      <c r="D139" s="98"/>
      <c r="E139" s="39"/>
      <c r="F139" s="39"/>
      <c r="G139" s="39"/>
      <c r="H139" s="39"/>
      <c r="I139" s="39"/>
      <c r="J139" s="39"/>
      <c r="K139" s="39"/>
      <c r="L139" s="39"/>
      <c r="M139" s="39"/>
      <c r="N139" s="39"/>
      <c r="O139" s="39"/>
      <c r="P139" s="39"/>
      <c r="Q139" s="39"/>
      <c r="R139" s="39"/>
      <c r="S139" s="239"/>
      <c r="AE139" s="174"/>
    </row>
    <row r="140" ht="15.75" customHeight="1">
      <c r="C140" s="98"/>
      <c r="D140" s="98"/>
      <c r="E140" s="39"/>
      <c r="F140" s="39"/>
      <c r="G140" s="39"/>
      <c r="H140" s="39"/>
      <c r="I140" s="39"/>
      <c r="J140" s="39"/>
      <c r="K140" s="39"/>
      <c r="L140" s="39"/>
      <c r="M140" s="39"/>
      <c r="N140" s="39"/>
      <c r="O140" s="39"/>
      <c r="P140" s="39"/>
      <c r="Q140" s="39"/>
      <c r="R140" s="39"/>
      <c r="S140" s="239"/>
      <c r="AE140" s="174"/>
    </row>
    <row r="141" ht="15.75" customHeight="1">
      <c r="C141" s="98"/>
      <c r="D141" s="98"/>
      <c r="E141" s="39"/>
      <c r="F141" s="39"/>
      <c r="G141" s="39"/>
      <c r="H141" s="39"/>
      <c r="I141" s="39"/>
      <c r="J141" s="39"/>
      <c r="K141" s="39"/>
      <c r="L141" s="39"/>
      <c r="M141" s="39"/>
      <c r="N141" s="39"/>
      <c r="O141" s="39"/>
      <c r="P141" s="39"/>
      <c r="Q141" s="39"/>
      <c r="R141" s="39"/>
      <c r="S141" s="239"/>
      <c r="AE141" s="174"/>
    </row>
    <row r="142" ht="15.75" customHeight="1">
      <c r="C142" s="98"/>
      <c r="D142" s="98"/>
      <c r="E142" s="39"/>
      <c r="F142" s="39"/>
      <c r="G142" s="39"/>
      <c r="H142" s="39"/>
      <c r="I142" s="39"/>
      <c r="J142" s="39"/>
      <c r="K142" s="39"/>
      <c r="L142" s="39"/>
      <c r="M142" s="39"/>
      <c r="N142" s="39"/>
      <c r="O142" s="39"/>
      <c r="P142" s="39"/>
      <c r="Q142" s="39"/>
      <c r="R142" s="39"/>
      <c r="S142" s="239"/>
      <c r="AE142" s="174"/>
    </row>
    <row r="143" ht="15.75" customHeight="1">
      <c r="C143" s="98"/>
      <c r="D143" s="98"/>
      <c r="E143" s="39"/>
      <c r="F143" s="39"/>
      <c r="G143" s="39"/>
      <c r="H143" s="39"/>
      <c r="I143" s="39"/>
      <c r="J143" s="39"/>
      <c r="K143" s="39"/>
      <c r="L143" s="39"/>
      <c r="M143" s="39"/>
      <c r="N143" s="39"/>
      <c r="O143" s="39"/>
      <c r="P143" s="39"/>
      <c r="Q143" s="39"/>
      <c r="R143" s="39"/>
      <c r="S143" s="239"/>
      <c r="AE143" s="174"/>
    </row>
    <row r="144" ht="15.75" customHeight="1">
      <c r="C144" s="98"/>
      <c r="D144" s="98"/>
      <c r="E144" s="39"/>
      <c r="F144" s="39"/>
      <c r="G144" s="39"/>
      <c r="H144" s="39"/>
      <c r="I144" s="39"/>
      <c r="J144" s="39"/>
      <c r="K144" s="39"/>
      <c r="L144" s="39"/>
      <c r="M144" s="39"/>
      <c r="N144" s="39"/>
      <c r="O144" s="39"/>
      <c r="P144" s="39"/>
      <c r="Q144" s="39"/>
      <c r="R144" s="39"/>
      <c r="S144" s="239"/>
      <c r="AE144" s="174"/>
    </row>
    <row r="145" ht="15.75" customHeight="1">
      <c r="C145" s="98"/>
      <c r="D145" s="98"/>
      <c r="E145" s="39"/>
      <c r="F145" s="39"/>
      <c r="G145" s="39"/>
      <c r="H145" s="39"/>
      <c r="I145" s="39"/>
      <c r="J145" s="39"/>
      <c r="K145" s="39"/>
      <c r="L145" s="39"/>
      <c r="M145" s="39"/>
      <c r="N145" s="39"/>
      <c r="O145" s="39"/>
      <c r="P145" s="39"/>
      <c r="Q145" s="39"/>
      <c r="R145" s="39"/>
      <c r="S145" s="239"/>
      <c r="AE145" s="174"/>
    </row>
    <row r="146" ht="15.75" customHeight="1">
      <c r="C146" s="98"/>
      <c r="D146" s="98"/>
      <c r="E146" s="39"/>
      <c r="F146" s="39"/>
      <c r="G146" s="39"/>
      <c r="H146" s="39"/>
      <c r="I146" s="39"/>
      <c r="J146" s="39"/>
      <c r="K146" s="39"/>
      <c r="L146" s="39"/>
      <c r="M146" s="39"/>
      <c r="N146" s="39"/>
      <c r="O146" s="39"/>
      <c r="P146" s="39"/>
      <c r="Q146" s="39"/>
      <c r="R146" s="39"/>
      <c r="S146" s="239"/>
      <c r="AE146" s="174"/>
    </row>
    <row r="147" ht="15.75" customHeight="1">
      <c r="C147" s="98"/>
      <c r="D147" s="98"/>
      <c r="E147" s="39"/>
      <c r="F147" s="39"/>
      <c r="G147" s="39"/>
      <c r="H147" s="39"/>
      <c r="I147" s="39"/>
      <c r="J147" s="39"/>
      <c r="K147" s="39"/>
      <c r="L147" s="39"/>
      <c r="M147" s="39"/>
      <c r="N147" s="39"/>
      <c r="O147" s="39"/>
      <c r="P147" s="39"/>
      <c r="Q147" s="39"/>
      <c r="R147" s="39"/>
      <c r="S147" s="239"/>
      <c r="AE147" s="174"/>
    </row>
    <row r="148" ht="15.75" customHeight="1">
      <c r="C148" s="98"/>
      <c r="D148" s="98"/>
      <c r="E148" s="39"/>
      <c r="F148" s="39"/>
      <c r="G148" s="39"/>
      <c r="H148" s="39"/>
      <c r="I148" s="39"/>
      <c r="J148" s="39"/>
      <c r="K148" s="39"/>
      <c r="L148" s="39"/>
      <c r="M148" s="39"/>
      <c r="N148" s="39"/>
      <c r="O148" s="39"/>
      <c r="P148" s="39"/>
      <c r="Q148" s="39"/>
      <c r="R148" s="39"/>
      <c r="S148" s="239"/>
      <c r="AE148" s="174"/>
    </row>
    <row r="149" ht="15.75" customHeight="1">
      <c r="C149" s="98"/>
      <c r="D149" s="98"/>
      <c r="E149" s="39"/>
      <c r="F149" s="39"/>
      <c r="G149" s="39"/>
      <c r="H149" s="39"/>
      <c r="I149" s="39"/>
      <c r="J149" s="39"/>
      <c r="K149" s="39"/>
      <c r="L149" s="39"/>
      <c r="M149" s="39"/>
      <c r="N149" s="39"/>
      <c r="O149" s="39"/>
      <c r="P149" s="39"/>
      <c r="Q149" s="39"/>
      <c r="R149" s="39"/>
      <c r="S149" s="239"/>
      <c r="AE149" s="174"/>
    </row>
    <row r="150" ht="15.75" customHeight="1">
      <c r="C150" s="98"/>
      <c r="D150" s="98"/>
      <c r="E150" s="39"/>
      <c r="F150" s="39"/>
      <c r="G150" s="39"/>
      <c r="H150" s="39"/>
      <c r="I150" s="39"/>
      <c r="J150" s="39"/>
      <c r="K150" s="39"/>
      <c r="L150" s="39"/>
      <c r="M150" s="39"/>
      <c r="N150" s="39"/>
      <c r="O150" s="39"/>
      <c r="P150" s="39"/>
      <c r="Q150" s="39"/>
      <c r="R150" s="39"/>
      <c r="S150" s="239"/>
      <c r="AE150" s="174"/>
    </row>
    <row r="151" ht="15.75" customHeight="1">
      <c r="C151" s="98"/>
      <c r="D151" s="98"/>
      <c r="E151" s="39"/>
      <c r="F151" s="39"/>
      <c r="G151" s="39"/>
      <c r="H151" s="39"/>
      <c r="I151" s="39"/>
      <c r="J151" s="39"/>
      <c r="K151" s="39"/>
      <c r="L151" s="39"/>
      <c r="M151" s="39"/>
      <c r="N151" s="39"/>
      <c r="O151" s="39"/>
      <c r="P151" s="39"/>
      <c r="Q151" s="39"/>
      <c r="R151" s="39"/>
      <c r="S151" s="239"/>
      <c r="AE151" s="174"/>
    </row>
    <row r="152" ht="15.75" customHeight="1">
      <c r="C152" s="98"/>
      <c r="D152" s="98"/>
      <c r="E152" s="39"/>
      <c r="F152" s="39"/>
      <c r="G152" s="39"/>
      <c r="H152" s="39"/>
      <c r="I152" s="39"/>
      <c r="J152" s="39"/>
      <c r="K152" s="39"/>
      <c r="L152" s="39"/>
      <c r="M152" s="39"/>
      <c r="N152" s="39"/>
      <c r="O152" s="39"/>
      <c r="P152" s="39"/>
      <c r="Q152" s="39"/>
      <c r="R152" s="39"/>
      <c r="S152" s="239"/>
      <c r="AE152" s="174"/>
    </row>
    <row r="153" ht="15.75" customHeight="1">
      <c r="C153" s="98"/>
      <c r="D153" s="98"/>
      <c r="E153" s="39"/>
      <c r="F153" s="39"/>
      <c r="G153" s="39"/>
      <c r="H153" s="39"/>
      <c r="I153" s="39"/>
      <c r="J153" s="39"/>
      <c r="K153" s="39"/>
      <c r="L153" s="39"/>
      <c r="M153" s="39"/>
      <c r="N153" s="39"/>
      <c r="O153" s="39"/>
      <c r="P153" s="39"/>
      <c r="Q153" s="39"/>
      <c r="R153" s="39"/>
      <c r="S153" s="239"/>
      <c r="AE153" s="174"/>
    </row>
    <row r="154" ht="15.75" customHeight="1">
      <c r="C154" s="98"/>
      <c r="D154" s="98"/>
      <c r="E154" s="39"/>
      <c r="F154" s="39"/>
      <c r="G154" s="39"/>
      <c r="H154" s="39"/>
      <c r="I154" s="39"/>
      <c r="J154" s="39"/>
      <c r="K154" s="39"/>
      <c r="L154" s="39"/>
      <c r="M154" s="39"/>
      <c r="N154" s="39"/>
      <c r="O154" s="39"/>
      <c r="P154" s="39"/>
      <c r="Q154" s="39"/>
      <c r="R154" s="39"/>
      <c r="S154" s="239"/>
      <c r="AE154" s="174"/>
    </row>
    <row r="155" ht="15.75" customHeight="1">
      <c r="C155" s="98"/>
      <c r="D155" s="98"/>
      <c r="E155" s="39"/>
      <c r="F155" s="39"/>
      <c r="G155" s="39"/>
      <c r="H155" s="39"/>
      <c r="I155" s="39"/>
      <c r="J155" s="39"/>
      <c r="K155" s="39"/>
      <c r="L155" s="39"/>
      <c r="M155" s="39"/>
      <c r="N155" s="39"/>
      <c r="O155" s="39"/>
      <c r="P155" s="39"/>
      <c r="Q155" s="39"/>
      <c r="R155" s="39"/>
      <c r="S155" s="239"/>
      <c r="AE155" s="174"/>
    </row>
    <row r="156" ht="15.75" customHeight="1">
      <c r="C156" s="98"/>
      <c r="D156" s="98"/>
      <c r="E156" s="39"/>
      <c r="F156" s="39"/>
      <c r="G156" s="39"/>
      <c r="H156" s="39"/>
      <c r="I156" s="39"/>
      <c r="J156" s="39"/>
      <c r="K156" s="39"/>
      <c r="L156" s="39"/>
      <c r="M156" s="39"/>
      <c r="N156" s="39"/>
      <c r="O156" s="39"/>
      <c r="P156" s="39"/>
      <c r="Q156" s="39"/>
      <c r="R156" s="39"/>
      <c r="S156" s="239"/>
      <c r="AE156" s="174"/>
    </row>
    <row r="157" ht="15.75" customHeight="1">
      <c r="C157" s="98"/>
      <c r="D157" s="98"/>
      <c r="E157" s="39"/>
      <c r="F157" s="39"/>
      <c r="G157" s="39"/>
      <c r="H157" s="39"/>
      <c r="I157" s="39"/>
      <c r="J157" s="39"/>
      <c r="K157" s="39"/>
      <c r="L157" s="39"/>
      <c r="M157" s="39"/>
      <c r="N157" s="39"/>
      <c r="O157" s="39"/>
      <c r="P157" s="39"/>
      <c r="Q157" s="39"/>
      <c r="R157" s="39"/>
      <c r="S157" s="239"/>
      <c r="AE157" s="174"/>
    </row>
    <row r="158" ht="15.75" customHeight="1">
      <c r="C158" s="98"/>
      <c r="D158" s="98"/>
      <c r="E158" s="39"/>
      <c r="F158" s="39"/>
      <c r="G158" s="39"/>
      <c r="H158" s="39"/>
      <c r="I158" s="39"/>
      <c r="J158" s="39"/>
      <c r="K158" s="39"/>
      <c r="L158" s="39"/>
      <c r="M158" s="39"/>
      <c r="N158" s="39"/>
      <c r="O158" s="39"/>
      <c r="P158" s="39"/>
      <c r="Q158" s="39"/>
      <c r="R158" s="39"/>
      <c r="S158" s="239"/>
      <c r="AE158" s="174"/>
    </row>
    <row r="159" ht="15.75" customHeight="1">
      <c r="C159" s="98"/>
      <c r="D159" s="98"/>
      <c r="E159" s="39"/>
      <c r="F159" s="39"/>
      <c r="G159" s="39"/>
      <c r="H159" s="39"/>
      <c r="I159" s="39"/>
      <c r="J159" s="39"/>
      <c r="K159" s="39"/>
      <c r="L159" s="39"/>
      <c r="M159" s="39"/>
      <c r="N159" s="39"/>
      <c r="O159" s="39"/>
      <c r="P159" s="39"/>
      <c r="Q159" s="39"/>
      <c r="R159" s="39"/>
      <c r="S159" s="239"/>
      <c r="AE159" s="174"/>
    </row>
    <row r="160" ht="15.75" customHeight="1">
      <c r="C160" s="98"/>
      <c r="D160" s="98"/>
      <c r="E160" s="39"/>
      <c r="F160" s="39"/>
      <c r="G160" s="39"/>
      <c r="H160" s="39"/>
      <c r="I160" s="39"/>
      <c r="J160" s="39"/>
      <c r="K160" s="39"/>
      <c r="L160" s="39"/>
      <c r="M160" s="39"/>
      <c r="N160" s="39"/>
      <c r="O160" s="39"/>
      <c r="P160" s="39"/>
      <c r="Q160" s="39"/>
      <c r="R160" s="39"/>
      <c r="S160" s="239"/>
      <c r="AE160" s="174"/>
    </row>
    <row r="161" ht="15.75" customHeight="1">
      <c r="C161" s="98"/>
      <c r="D161" s="98"/>
      <c r="E161" s="39"/>
      <c r="F161" s="39"/>
      <c r="G161" s="39"/>
      <c r="H161" s="39"/>
      <c r="I161" s="39"/>
      <c r="J161" s="39"/>
      <c r="K161" s="39"/>
      <c r="L161" s="39"/>
      <c r="M161" s="39"/>
      <c r="N161" s="39"/>
      <c r="O161" s="39"/>
      <c r="P161" s="39"/>
      <c r="Q161" s="39"/>
      <c r="R161" s="39"/>
      <c r="S161" s="239"/>
      <c r="AE161" s="174"/>
    </row>
    <row r="162" ht="15.75" customHeight="1">
      <c r="C162" s="98"/>
      <c r="D162" s="98"/>
      <c r="E162" s="39"/>
      <c r="F162" s="39"/>
      <c r="G162" s="39"/>
      <c r="H162" s="39"/>
      <c r="I162" s="39"/>
      <c r="J162" s="39"/>
      <c r="K162" s="39"/>
      <c r="L162" s="39"/>
      <c r="M162" s="39"/>
      <c r="N162" s="39"/>
      <c r="O162" s="39"/>
      <c r="P162" s="39"/>
      <c r="Q162" s="39"/>
      <c r="R162" s="39"/>
      <c r="S162" s="239"/>
      <c r="AE162" s="174"/>
    </row>
    <row r="163" ht="15.75" customHeight="1">
      <c r="C163" s="98"/>
      <c r="D163" s="98"/>
      <c r="E163" s="39"/>
      <c r="F163" s="39"/>
      <c r="G163" s="39"/>
      <c r="H163" s="39"/>
      <c r="I163" s="39"/>
      <c r="J163" s="39"/>
      <c r="K163" s="39"/>
      <c r="L163" s="39"/>
      <c r="M163" s="39"/>
      <c r="N163" s="39"/>
      <c r="O163" s="39"/>
      <c r="P163" s="39"/>
      <c r="Q163" s="39"/>
      <c r="R163" s="39"/>
      <c r="S163" s="239"/>
      <c r="AE163" s="174"/>
    </row>
    <row r="164" ht="15.75" customHeight="1">
      <c r="C164" s="98"/>
      <c r="D164" s="98"/>
      <c r="E164" s="39"/>
      <c r="F164" s="39"/>
      <c r="G164" s="39"/>
      <c r="H164" s="39"/>
      <c r="I164" s="39"/>
      <c r="J164" s="39"/>
      <c r="K164" s="39"/>
      <c r="L164" s="39"/>
      <c r="M164" s="39"/>
      <c r="N164" s="39"/>
      <c r="O164" s="39"/>
      <c r="P164" s="39"/>
      <c r="Q164" s="39"/>
      <c r="R164" s="39"/>
      <c r="S164" s="239"/>
      <c r="AE164" s="174"/>
    </row>
    <row r="165" ht="15.75" customHeight="1">
      <c r="C165" s="98"/>
      <c r="D165" s="98"/>
      <c r="E165" s="39"/>
      <c r="F165" s="39"/>
      <c r="G165" s="39"/>
      <c r="H165" s="39"/>
      <c r="I165" s="39"/>
      <c r="J165" s="39"/>
      <c r="K165" s="39"/>
      <c r="L165" s="39"/>
      <c r="M165" s="39"/>
      <c r="N165" s="39"/>
      <c r="O165" s="39"/>
      <c r="P165" s="39"/>
      <c r="Q165" s="39"/>
      <c r="R165" s="39"/>
      <c r="S165" s="239"/>
      <c r="AE165" s="174"/>
    </row>
    <row r="166" ht="15.75" customHeight="1">
      <c r="C166" s="98"/>
      <c r="D166" s="98"/>
      <c r="E166" s="39"/>
      <c r="F166" s="39"/>
      <c r="G166" s="39"/>
      <c r="H166" s="39"/>
      <c r="I166" s="39"/>
      <c r="J166" s="39"/>
      <c r="K166" s="39"/>
      <c r="L166" s="39"/>
      <c r="M166" s="39"/>
      <c r="N166" s="39"/>
      <c r="O166" s="39"/>
      <c r="P166" s="39"/>
      <c r="Q166" s="39"/>
      <c r="R166" s="39"/>
      <c r="S166" s="239"/>
      <c r="AE166" s="174"/>
    </row>
    <row r="167" ht="15.75" customHeight="1">
      <c r="C167" s="98"/>
      <c r="D167" s="98"/>
      <c r="E167" s="39"/>
      <c r="F167" s="39"/>
      <c r="G167" s="39"/>
      <c r="H167" s="39"/>
      <c r="I167" s="39"/>
      <c r="J167" s="39"/>
      <c r="K167" s="39"/>
      <c r="L167" s="39"/>
      <c r="M167" s="39"/>
      <c r="N167" s="39"/>
      <c r="O167" s="39"/>
      <c r="P167" s="39"/>
      <c r="Q167" s="39"/>
      <c r="R167" s="39"/>
      <c r="S167" s="239"/>
      <c r="AE167" s="174"/>
    </row>
    <row r="168" ht="15.75" customHeight="1">
      <c r="C168" s="98"/>
      <c r="D168" s="98"/>
      <c r="E168" s="39"/>
      <c r="F168" s="39"/>
      <c r="G168" s="39"/>
      <c r="H168" s="39"/>
      <c r="I168" s="39"/>
      <c r="J168" s="39"/>
      <c r="K168" s="39"/>
      <c r="L168" s="39"/>
      <c r="M168" s="39"/>
      <c r="N168" s="39"/>
      <c r="O168" s="39"/>
      <c r="P168" s="39"/>
      <c r="Q168" s="39"/>
      <c r="R168" s="39"/>
      <c r="S168" s="239"/>
      <c r="AE168" s="174"/>
    </row>
    <row r="169" ht="15.75" customHeight="1">
      <c r="C169" s="98"/>
      <c r="D169" s="98"/>
      <c r="E169" s="39"/>
      <c r="F169" s="39"/>
      <c r="G169" s="39"/>
      <c r="H169" s="39"/>
      <c r="I169" s="39"/>
      <c r="J169" s="39"/>
      <c r="K169" s="39"/>
      <c r="L169" s="39"/>
      <c r="M169" s="39"/>
      <c r="N169" s="39"/>
      <c r="O169" s="39"/>
      <c r="P169" s="39"/>
      <c r="Q169" s="39"/>
      <c r="R169" s="39"/>
      <c r="S169" s="239"/>
      <c r="AE169" s="174"/>
    </row>
    <row r="170" ht="15.75" customHeight="1">
      <c r="C170" s="98"/>
      <c r="D170" s="98"/>
      <c r="E170" s="39"/>
      <c r="F170" s="39"/>
      <c r="G170" s="39"/>
      <c r="H170" s="39"/>
      <c r="I170" s="39"/>
      <c r="J170" s="39"/>
      <c r="K170" s="39"/>
      <c r="L170" s="39"/>
      <c r="M170" s="39"/>
      <c r="N170" s="39"/>
      <c r="O170" s="39"/>
      <c r="P170" s="39"/>
      <c r="Q170" s="39"/>
      <c r="R170" s="39"/>
      <c r="S170" s="239"/>
      <c r="AE170" s="174"/>
    </row>
    <row r="171" ht="15.75" customHeight="1">
      <c r="C171" s="98"/>
      <c r="D171" s="98"/>
      <c r="E171" s="39"/>
      <c r="F171" s="39"/>
      <c r="G171" s="39"/>
      <c r="H171" s="39"/>
      <c r="I171" s="39"/>
      <c r="J171" s="39"/>
      <c r="K171" s="39"/>
      <c r="L171" s="39"/>
      <c r="M171" s="39"/>
      <c r="N171" s="39"/>
      <c r="O171" s="39"/>
      <c r="P171" s="39"/>
      <c r="Q171" s="39"/>
      <c r="R171" s="39"/>
      <c r="S171" s="239"/>
      <c r="AE171" s="174"/>
    </row>
    <row r="172" ht="15.75" customHeight="1">
      <c r="C172" s="98"/>
      <c r="D172" s="98"/>
      <c r="E172" s="39"/>
      <c r="F172" s="39"/>
      <c r="G172" s="39"/>
      <c r="H172" s="39"/>
      <c r="I172" s="39"/>
      <c r="J172" s="39"/>
      <c r="K172" s="39"/>
      <c r="L172" s="39"/>
      <c r="M172" s="39"/>
      <c r="N172" s="39"/>
      <c r="O172" s="39"/>
      <c r="P172" s="39"/>
      <c r="Q172" s="39"/>
      <c r="R172" s="39"/>
      <c r="S172" s="239"/>
      <c r="AE172" s="174"/>
    </row>
    <row r="173" ht="15.75" customHeight="1">
      <c r="C173" s="98"/>
      <c r="D173" s="98"/>
      <c r="E173" s="39"/>
      <c r="F173" s="39"/>
      <c r="G173" s="39"/>
      <c r="H173" s="39"/>
      <c r="I173" s="39"/>
      <c r="J173" s="39"/>
      <c r="K173" s="39"/>
      <c r="L173" s="39"/>
      <c r="M173" s="39"/>
      <c r="N173" s="39"/>
      <c r="O173" s="39"/>
      <c r="P173" s="39"/>
      <c r="Q173" s="39"/>
      <c r="R173" s="39"/>
      <c r="S173" s="239"/>
      <c r="AE173" s="174"/>
    </row>
    <row r="174" ht="15.75" customHeight="1">
      <c r="C174" s="98"/>
      <c r="D174" s="98"/>
      <c r="E174" s="39"/>
      <c r="F174" s="39"/>
      <c r="G174" s="39"/>
      <c r="H174" s="39"/>
      <c r="I174" s="39"/>
      <c r="J174" s="39"/>
      <c r="K174" s="39"/>
      <c r="L174" s="39"/>
      <c r="M174" s="39"/>
      <c r="N174" s="39"/>
      <c r="O174" s="39"/>
      <c r="P174" s="39"/>
      <c r="Q174" s="39"/>
      <c r="R174" s="39"/>
      <c r="S174" s="239"/>
      <c r="AE174" s="174"/>
    </row>
    <row r="175" ht="15.75" customHeight="1">
      <c r="C175" s="98"/>
      <c r="D175" s="98"/>
      <c r="E175" s="39"/>
      <c r="F175" s="39"/>
      <c r="G175" s="39"/>
      <c r="H175" s="39"/>
      <c r="I175" s="39"/>
      <c r="J175" s="39"/>
      <c r="K175" s="39"/>
      <c r="L175" s="39"/>
      <c r="M175" s="39"/>
      <c r="N175" s="39"/>
      <c r="O175" s="39"/>
      <c r="P175" s="39"/>
      <c r="Q175" s="39"/>
      <c r="R175" s="39"/>
      <c r="S175" s="239"/>
      <c r="AE175" s="174"/>
    </row>
    <row r="176" ht="15.75" customHeight="1">
      <c r="C176" s="98"/>
      <c r="D176" s="98"/>
      <c r="E176" s="39"/>
      <c r="F176" s="39"/>
      <c r="G176" s="39"/>
      <c r="H176" s="39"/>
      <c r="I176" s="39"/>
      <c r="J176" s="39"/>
      <c r="K176" s="39"/>
      <c r="L176" s="39"/>
      <c r="M176" s="39"/>
      <c r="N176" s="39"/>
      <c r="O176" s="39"/>
      <c r="P176" s="39"/>
      <c r="Q176" s="39"/>
      <c r="R176" s="39"/>
      <c r="S176" s="239"/>
      <c r="AE176" s="174"/>
    </row>
    <row r="177" ht="15.75" customHeight="1">
      <c r="C177" s="98"/>
      <c r="D177" s="98"/>
      <c r="E177" s="39"/>
      <c r="F177" s="39"/>
      <c r="G177" s="39"/>
      <c r="H177" s="39"/>
      <c r="I177" s="39"/>
      <c r="J177" s="39"/>
      <c r="K177" s="39"/>
      <c r="L177" s="39"/>
      <c r="M177" s="39"/>
      <c r="N177" s="39"/>
      <c r="O177" s="39"/>
      <c r="P177" s="39"/>
      <c r="Q177" s="39"/>
      <c r="R177" s="39"/>
      <c r="S177" s="239"/>
      <c r="AE177" s="174"/>
    </row>
    <row r="178" ht="15.75" customHeight="1">
      <c r="C178" s="98"/>
      <c r="D178" s="98"/>
      <c r="E178" s="39"/>
      <c r="F178" s="39"/>
      <c r="G178" s="39"/>
      <c r="H178" s="39"/>
      <c r="I178" s="39"/>
      <c r="J178" s="39"/>
      <c r="K178" s="39"/>
      <c r="L178" s="39"/>
      <c r="M178" s="39"/>
      <c r="N178" s="39"/>
      <c r="O178" s="39"/>
      <c r="P178" s="39"/>
      <c r="Q178" s="39"/>
      <c r="R178" s="39"/>
      <c r="S178" s="239"/>
      <c r="AE178" s="174"/>
    </row>
    <row r="179" ht="15.75" customHeight="1">
      <c r="C179" s="98"/>
      <c r="D179" s="98"/>
      <c r="E179" s="39"/>
      <c r="F179" s="39"/>
      <c r="G179" s="39"/>
      <c r="H179" s="39"/>
      <c r="I179" s="39"/>
      <c r="J179" s="39"/>
      <c r="K179" s="39"/>
      <c r="L179" s="39"/>
      <c r="M179" s="39"/>
      <c r="N179" s="39"/>
      <c r="O179" s="39"/>
      <c r="P179" s="39"/>
      <c r="Q179" s="39"/>
      <c r="R179" s="39"/>
      <c r="S179" s="239"/>
      <c r="AE179" s="174"/>
    </row>
    <row r="180" ht="15.75" customHeight="1">
      <c r="C180" s="98"/>
      <c r="D180" s="98"/>
      <c r="E180" s="39"/>
      <c r="F180" s="39"/>
      <c r="G180" s="39"/>
      <c r="H180" s="39"/>
      <c r="I180" s="39"/>
      <c r="J180" s="39"/>
      <c r="K180" s="39"/>
      <c r="L180" s="39"/>
      <c r="M180" s="39"/>
      <c r="N180" s="39"/>
      <c r="O180" s="39"/>
      <c r="P180" s="39"/>
      <c r="Q180" s="39"/>
      <c r="R180" s="39"/>
      <c r="S180" s="239"/>
      <c r="AE180" s="174"/>
    </row>
    <row r="181" ht="15.75" customHeight="1">
      <c r="C181" s="98"/>
      <c r="D181" s="98"/>
      <c r="E181" s="39"/>
      <c r="F181" s="39"/>
      <c r="G181" s="39"/>
      <c r="H181" s="39"/>
      <c r="I181" s="39"/>
      <c r="J181" s="39"/>
      <c r="K181" s="39"/>
      <c r="L181" s="39"/>
      <c r="M181" s="39"/>
      <c r="N181" s="39"/>
      <c r="O181" s="39"/>
      <c r="P181" s="39"/>
      <c r="Q181" s="39"/>
      <c r="R181" s="39"/>
      <c r="S181" s="239"/>
      <c r="AE181" s="174"/>
    </row>
    <row r="182" ht="15.75" customHeight="1">
      <c r="C182" s="98"/>
      <c r="D182" s="98"/>
      <c r="E182" s="39"/>
      <c r="F182" s="39"/>
      <c r="G182" s="39"/>
      <c r="H182" s="39"/>
      <c r="I182" s="39"/>
      <c r="J182" s="39"/>
      <c r="K182" s="39"/>
      <c r="L182" s="39"/>
      <c r="M182" s="39"/>
      <c r="N182" s="39"/>
      <c r="O182" s="39"/>
      <c r="P182" s="39"/>
      <c r="Q182" s="39"/>
      <c r="R182" s="39"/>
      <c r="S182" s="239"/>
      <c r="AE182" s="174"/>
    </row>
    <row r="183" ht="15.75" customHeight="1">
      <c r="C183" s="98"/>
      <c r="D183" s="98"/>
      <c r="E183" s="39"/>
      <c r="F183" s="39"/>
      <c r="G183" s="39"/>
      <c r="H183" s="39"/>
      <c r="I183" s="39"/>
      <c r="J183" s="39"/>
      <c r="K183" s="39"/>
      <c r="L183" s="39"/>
      <c r="M183" s="39"/>
      <c r="N183" s="39"/>
      <c r="O183" s="39"/>
      <c r="P183" s="39"/>
      <c r="Q183" s="39"/>
      <c r="R183" s="39"/>
      <c r="S183" s="239"/>
      <c r="AE183" s="174"/>
    </row>
    <row r="184" ht="15.75" customHeight="1">
      <c r="C184" s="98"/>
      <c r="D184" s="98"/>
      <c r="E184" s="39"/>
      <c r="F184" s="39"/>
      <c r="G184" s="39"/>
      <c r="H184" s="39"/>
      <c r="I184" s="39"/>
      <c r="J184" s="39"/>
      <c r="K184" s="39"/>
      <c r="L184" s="39"/>
      <c r="M184" s="39"/>
      <c r="N184" s="39"/>
      <c r="O184" s="39"/>
      <c r="P184" s="39"/>
      <c r="Q184" s="39"/>
      <c r="R184" s="39"/>
      <c r="S184" s="239"/>
      <c r="AE184" s="174"/>
    </row>
    <row r="185" ht="15.75" customHeight="1">
      <c r="C185" s="98"/>
      <c r="D185" s="98"/>
      <c r="E185" s="39"/>
      <c r="F185" s="39"/>
      <c r="G185" s="39"/>
      <c r="H185" s="39"/>
      <c r="I185" s="39"/>
      <c r="J185" s="39"/>
      <c r="K185" s="39"/>
      <c r="L185" s="39"/>
      <c r="M185" s="39"/>
      <c r="N185" s="39"/>
      <c r="O185" s="39"/>
      <c r="P185" s="39"/>
      <c r="Q185" s="39"/>
      <c r="R185" s="39"/>
      <c r="S185" s="239"/>
      <c r="AE185" s="174"/>
    </row>
    <row r="186" ht="15.75" customHeight="1">
      <c r="C186" s="98"/>
      <c r="D186" s="98"/>
      <c r="E186" s="39"/>
      <c r="F186" s="39"/>
      <c r="G186" s="39"/>
      <c r="H186" s="39"/>
      <c r="I186" s="39"/>
      <c r="J186" s="39"/>
      <c r="K186" s="39"/>
      <c r="L186" s="39"/>
      <c r="M186" s="39"/>
      <c r="N186" s="39"/>
      <c r="O186" s="39"/>
      <c r="P186" s="39"/>
      <c r="Q186" s="39"/>
      <c r="R186" s="39"/>
      <c r="S186" s="239"/>
      <c r="AE186" s="174"/>
    </row>
    <row r="187" ht="15.75" customHeight="1">
      <c r="C187" s="98"/>
      <c r="D187" s="98"/>
      <c r="E187" s="39"/>
      <c r="F187" s="39"/>
      <c r="G187" s="39"/>
      <c r="H187" s="39"/>
      <c r="I187" s="39"/>
      <c r="J187" s="39"/>
      <c r="K187" s="39"/>
      <c r="L187" s="39"/>
      <c r="M187" s="39"/>
      <c r="N187" s="39"/>
      <c r="O187" s="39"/>
      <c r="P187" s="39"/>
      <c r="Q187" s="39"/>
      <c r="R187" s="39"/>
      <c r="S187" s="239"/>
      <c r="AE187" s="174"/>
    </row>
    <row r="188" ht="15.75" customHeight="1">
      <c r="C188" s="98"/>
      <c r="D188" s="98"/>
      <c r="E188" s="39"/>
      <c r="F188" s="39"/>
      <c r="G188" s="39"/>
      <c r="H188" s="39"/>
      <c r="I188" s="39"/>
      <c r="J188" s="39"/>
      <c r="K188" s="39"/>
      <c r="L188" s="39"/>
      <c r="M188" s="39"/>
      <c r="N188" s="39"/>
      <c r="O188" s="39"/>
      <c r="P188" s="39"/>
      <c r="Q188" s="39"/>
      <c r="R188" s="39"/>
      <c r="S188" s="239"/>
      <c r="AE188" s="174"/>
    </row>
    <row r="189" ht="15.75" customHeight="1">
      <c r="C189" s="98"/>
      <c r="D189" s="98"/>
      <c r="E189" s="39"/>
      <c r="F189" s="39"/>
      <c r="G189" s="39"/>
      <c r="H189" s="39"/>
      <c r="I189" s="39"/>
      <c r="J189" s="39"/>
      <c r="K189" s="39"/>
      <c r="L189" s="39"/>
      <c r="M189" s="39"/>
      <c r="N189" s="39"/>
      <c r="O189" s="39"/>
      <c r="P189" s="39"/>
      <c r="Q189" s="39"/>
      <c r="R189" s="39"/>
      <c r="S189" s="239"/>
      <c r="AE189" s="174"/>
    </row>
    <row r="190" ht="15.75" customHeight="1">
      <c r="C190" s="98"/>
      <c r="D190" s="98"/>
      <c r="E190" s="39"/>
      <c r="F190" s="39"/>
      <c r="G190" s="39"/>
      <c r="H190" s="39"/>
      <c r="I190" s="39"/>
      <c r="J190" s="39"/>
      <c r="K190" s="39"/>
      <c r="L190" s="39"/>
      <c r="M190" s="39"/>
      <c r="N190" s="39"/>
      <c r="O190" s="39"/>
      <c r="P190" s="39"/>
      <c r="Q190" s="39"/>
      <c r="R190" s="39"/>
      <c r="S190" s="239"/>
      <c r="AE190" s="174"/>
    </row>
    <row r="191" ht="15.75" customHeight="1">
      <c r="C191" s="98"/>
      <c r="D191" s="98"/>
      <c r="E191" s="39"/>
      <c r="F191" s="39"/>
      <c r="G191" s="39"/>
      <c r="H191" s="39"/>
      <c r="I191" s="39"/>
      <c r="J191" s="39"/>
      <c r="K191" s="39"/>
      <c r="L191" s="39"/>
      <c r="M191" s="39"/>
      <c r="N191" s="39"/>
      <c r="O191" s="39"/>
      <c r="P191" s="39"/>
      <c r="Q191" s="39"/>
      <c r="R191" s="39"/>
      <c r="S191" s="239"/>
      <c r="AE191" s="174"/>
    </row>
    <row r="192" ht="15.75" customHeight="1">
      <c r="C192" s="98"/>
      <c r="D192" s="98"/>
      <c r="E192" s="39"/>
      <c r="F192" s="39"/>
      <c r="G192" s="39"/>
      <c r="H192" s="39"/>
      <c r="I192" s="39"/>
      <c r="J192" s="39"/>
      <c r="K192" s="39"/>
      <c r="L192" s="39"/>
      <c r="M192" s="39"/>
      <c r="N192" s="39"/>
      <c r="O192" s="39"/>
      <c r="P192" s="39"/>
      <c r="Q192" s="39"/>
      <c r="R192" s="39"/>
      <c r="S192" s="239"/>
      <c r="AE192" s="174"/>
    </row>
    <row r="193" ht="15.75" customHeight="1">
      <c r="C193" s="98"/>
      <c r="D193" s="98"/>
      <c r="E193" s="39"/>
      <c r="F193" s="39"/>
      <c r="G193" s="39"/>
      <c r="H193" s="39"/>
      <c r="I193" s="39"/>
      <c r="J193" s="39"/>
      <c r="K193" s="39"/>
      <c r="L193" s="39"/>
      <c r="M193" s="39"/>
      <c r="N193" s="39"/>
      <c r="O193" s="39"/>
      <c r="P193" s="39"/>
      <c r="Q193" s="39"/>
      <c r="R193" s="39"/>
      <c r="S193" s="239"/>
      <c r="AE193" s="174"/>
    </row>
    <row r="194" ht="15.75" customHeight="1">
      <c r="C194" s="98"/>
      <c r="D194" s="98"/>
      <c r="E194" s="39"/>
      <c r="F194" s="39"/>
      <c r="G194" s="39"/>
      <c r="H194" s="39"/>
      <c r="I194" s="39"/>
      <c r="J194" s="39"/>
      <c r="K194" s="39"/>
      <c r="L194" s="39"/>
      <c r="M194" s="39"/>
      <c r="N194" s="39"/>
      <c r="O194" s="39"/>
      <c r="P194" s="39"/>
      <c r="Q194" s="39"/>
      <c r="R194" s="39"/>
      <c r="S194" s="239"/>
      <c r="AE194" s="174"/>
    </row>
    <row r="195" ht="15.75" customHeight="1">
      <c r="C195" s="98"/>
      <c r="D195" s="98"/>
      <c r="E195" s="39"/>
      <c r="F195" s="39"/>
      <c r="G195" s="39"/>
      <c r="H195" s="39"/>
      <c r="I195" s="39"/>
      <c r="J195" s="39"/>
      <c r="K195" s="39"/>
      <c r="L195" s="39"/>
      <c r="M195" s="39"/>
      <c r="N195" s="39"/>
      <c r="O195" s="39"/>
      <c r="P195" s="39"/>
      <c r="Q195" s="39"/>
      <c r="R195" s="39"/>
      <c r="S195" s="239"/>
      <c r="AE195" s="174"/>
    </row>
    <row r="196" ht="15.75" customHeight="1">
      <c r="C196" s="98"/>
      <c r="D196" s="98"/>
      <c r="E196" s="39"/>
      <c r="F196" s="39"/>
      <c r="G196" s="39"/>
      <c r="H196" s="39"/>
      <c r="I196" s="39"/>
      <c r="J196" s="39"/>
      <c r="K196" s="39"/>
      <c r="L196" s="39"/>
      <c r="M196" s="39"/>
      <c r="N196" s="39"/>
      <c r="O196" s="39"/>
      <c r="P196" s="39"/>
      <c r="Q196" s="39"/>
      <c r="R196" s="39"/>
      <c r="S196" s="239"/>
      <c r="AE196" s="174"/>
    </row>
    <row r="197" ht="15.75" customHeight="1">
      <c r="C197" s="98"/>
      <c r="D197" s="98"/>
      <c r="E197" s="39"/>
      <c r="F197" s="39"/>
      <c r="G197" s="39"/>
      <c r="H197" s="39"/>
      <c r="I197" s="39"/>
      <c r="J197" s="39"/>
      <c r="K197" s="39"/>
      <c r="L197" s="39"/>
      <c r="M197" s="39"/>
      <c r="N197" s="39"/>
      <c r="O197" s="39"/>
      <c r="P197" s="39"/>
      <c r="Q197" s="39"/>
      <c r="R197" s="39"/>
      <c r="S197" s="239"/>
      <c r="AE197" s="174"/>
    </row>
    <row r="198" ht="15.75" customHeight="1">
      <c r="C198" s="98"/>
      <c r="D198" s="98"/>
      <c r="E198" s="39"/>
      <c r="F198" s="39"/>
      <c r="G198" s="39"/>
      <c r="H198" s="39"/>
      <c r="I198" s="39"/>
      <c r="J198" s="39"/>
      <c r="K198" s="39"/>
      <c r="L198" s="39"/>
      <c r="M198" s="39"/>
      <c r="N198" s="39"/>
      <c r="O198" s="39"/>
      <c r="P198" s="39"/>
      <c r="Q198" s="39"/>
      <c r="R198" s="39"/>
      <c r="S198" s="239"/>
      <c r="AE198" s="174"/>
    </row>
    <row r="199" ht="15.75" customHeight="1">
      <c r="C199" s="98"/>
      <c r="D199" s="98"/>
      <c r="E199" s="39"/>
      <c r="F199" s="39"/>
      <c r="G199" s="39"/>
      <c r="H199" s="39"/>
      <c r="I199" s="39"/>
      <c r="J199" s="39"/>
      <c r="K199" s="39"/>
      <c r="L199" s="39"/>
      <c r="M199" s="39"/>
      <c r="N199" s="39"/>
      <c r="O199" s="39"/>
      <c r="P199" s="39"/>
      <c r="Q199" s="39"/>
      <c r="R199" s="39"/>
      <c r="S199" s="239"/>
      <c r="AE199" s="174"/>
    </row>
    <row r="200" ht="15.75" customHeight="1">
      <c r="C200" s="98"/>
      <c r="D200" s="98"/>
      <c r="E200" s="39"/>
      <c r="F200" s="39"/>
      <c r="G200" s="39"/>
      <c r="H200" s="39"/>
      <c r="I200" s="39"/>
      <c r="J200" s="39"/>
      <c r="K200" s="39"/>
      <c r="L200" s="39"/>
      <c r="M200" s="39"/>
      <c r="N200" s="39"/>
      <c r="O200" s="39"/>
      <c r="P200" s="39"/>
      <c r="Q200" s="39"/>
      <c r="R200" s="39"/>
      <c r="S200" s="239"/>
      <c r="AE200" s="174"/>
    </row>
    <row r="201" ht="15.75" customHeight="1">
      <c r="C201" s="98"/>
      <c r="D201" s="98"/>
      <c r="E201" s="39"/>
      <c r="F201" s="39"/>
      <c r="G201" s="39"/>
      <c r="H201" s="39"/>
      <c r="I201" s="39"/>
      <c r="J201" s="39"/>
      <c r="K201" s="39"/>
      <c r="L201" s="39"/>
      <c r="M201" s="39"/>
      <c r="N201" s="39"/>
      <c r="O201" s="39"/>
      <c r="P201" s="39"/>
      <c r="Q201" s="39"/>
      <c r="R201" s="39"/>
      <c r="S201" s="239"/>
      <c r="AE201" s="174"/>
    </row>
    <row r="202" ht="15.75" customHeight="1">
      <c r="C202" s="98"/>
      <c r="D202" s="98"/>
      <c r="E202" s="39"/>
      <c r="F202" s="39"/>
      <c r="G202" s="39"/>
      <c r="H202" s="39"/>
      <c r="I202" s="39"/>
      <c r="J202" s="39"/>
      <c r="K202" s="39"/>
      <c r="L202" s="39"/>
      <c r="M202" s="39"/>
      <c r="N202" s="39"/>
      <c r="O202" s="39"/>
      <c r="P202" s="39"/>
      <c r="Q202" s="39"/>
      <c r="R202" s="39"/>
      <c r="S202" s="239"/>
      <c r="AE202" s="174"/>
    </row>
    <row r="203" ht="15.75" customHeight="1">
      <c r="C203" s="98"/>
      <c r="D203" s="98"/>
      <c r="E203" s="39"/>
      <c r="F203" s="39"/>
      <c r="G203" s="39"/>
      <c r="H203" s="39"/>
      <c r="I203" s="39"/>
      <c r="J203" s="39"/>
      <c r="K203" s="39"/>
      <c r="L203" s="39"/>
      <c r="M203" s="39"/>
      <c r="N203" s="39"/>
      <c r="O203" s="39"/>
      <c r="P203" s="39"/>
      <c r="Q203" s="39"/>
      <c r="R203" s="39"/>
      <c r="S203" s="239"/>
      <c r="AE203" s="174"/>
    </row>
    <row r="204" ht="15.75" customHeight="1">
      <c r="C204" s="98"/>
      <c r="D204" s="98"/>
      <c r="E204" s="39"/>
      <c r="F204" s="39"/>
      <c r="G204" s="39"/>
      <c r="H204" s="39"/>
      <c r="I204" s="39"/>
      <c r="J204" s="39"/>
      <c r="K204" s="39"/>
      <c r="L204" s="39"/>
      <c r="M204" s="39"/>
      <c r="N204" s="39"/>
      <c r="O204" s="39"/>
      <c r="P204" s="39"/>
      <c r="Q204" s="39"/>
      <c r="R204" s="39"/>
      <c r="S204" s="239"/>
      <c r="AE204" s="174"/>
    </row>
    <row r="205" ht="15.75" customHeight="1">
      <c r="C205" s="98"/>
      <c r="D205" s="98"/>
      <c r="E205" s="39"/>
      <c r="F205" s="39"/>
      <c r="G205" s="39"/>
      <c r="H205" s="39"/>
      <c r="I205" s="39"/>
      <c r="J205" s="39"/>
      <c r="K205" s="39"/>
      <c r="L205" s="39"/>
      <c r="M205" s="39"/>
      <c r="N205" s="39"/>
      <c r="O205" s="39"/>
      <c r="P205" s="39"/>
      <c r="Q205" s="39"/>
      <c r="R205" s="39"/>
      <c r="S205" s="239"/>
      <c r="AE205" s="174"/>
    </row>
    <row r="206" ht="15.75" customHeight="1">
      <c r="C206" s="98"/>
      <c r="D206" s="98"/>
      <c r="E206" s="39"/>
      <c r="F206" s="39"/>
      <c r="G206" s="39"/>
      <c r="H206" s="39"/>
      <c r="I206" s="39"/>
      <c r="J206" s="39"/>
      <c r="K206" s="39"/>
      <c r="L206" s="39"/>
      <c r="M206" s="39"/>
      <c r="N206" s="39"/>
      <c r="O206" s="39"/>
      <c r="P206" s="39"/>
      <c r="Q206" s="39"/>
      <c r="R206" s="39"/>
      <c r="S206" s="239"/>
      <c r="AE206" s="174"/>
    </row>
    <row r="207" ht="15.75" customHeight="1">
      <c r="C207" s="98"/>
      <c r="D207" s="98"/>
      <c r="E207" s="39"/>
      <c r="F207" s="39"/>
      <c r="G207" s="39"/>
      <c r="H207" s="39"/>
      <c r="I207" s="39"/>
      <c r="J207" s="39"/>
      <c r="K207" s="39"/>
      <c r="L207" s="39"/>
      <c r="M207" s="39"/>
      <c r="N207" s="39"/>
      <c r="O207" s="39"/>
      <c r="P207" s="39"/>
      <c r="Q207" s="39"/>
      <c r="R207" s="39"/>
      <c r="S207" s="239"/>
      <c r="AE207" s="174"/>
    </row>
    <row r="208" ht="15.75" customHeight="1">
      <c r="C208" s="98"/>
      <c r="D208" s="98"/>
      <c r="E208" s="39"/>
      <c r="F208" s="39"/>
      <c r="G208" s="39"/>
      <c r="H208" s="39"/>
      <c r="I208" s="39"/>
      <c r="J208" s="39"/>
      <c r="K208" s="39"/>
      <c r="L208" s="39"/>
      <c r="M208" s="39"/>
      <c r="N208" s="39"/>
      <c r="O208" s="39"/>
      <c r="P208" s="39"/>
      <c r="Q208" s="39"/>
      <c r="R208" s="39"/>
      <c r="S208" s="239"/>
      <c r="AE208" s="174"/>
    </row>
    <row r="209" ht="15.75" customHeight="1">
      <c r="C209" s="98"/>
      <c r="D209" s="98"/>
      <c r="E209" s="39"/>
      <c r="F209" s="39"/>
      <c r="G209" s="39"/>
      <c r="H209" s="39"/>
      <c r="I209" s="39"/>
      <c r="J209" s="39"/>
      <c r="K209" s="39"/>
      <c r="L209" s="39"/>
      <c r="M209" s="39"/>
      <c r="N209" s="39"/>
      <c r="O209" s="39"/>
      <c r="P209" s="39"/>
      <c r="Q209" s="39"/>
      <c r="R209" s="39"/>
      <c r="S209" s="239"/>
      <c r="AE209" s="174"/>
    </row>
    <row r="210" ht="15.75" customHeight="1">
      <c r="C210" s="98"/>
      <c r="D210" s="98"/>
      <c r="E210" s="39"/>
      <c r="F210" s="39"/>
      <c r="G210" s="39"/>
      <c r="H210" s="39"/>
      <c r="I210" s="39"/>
      <c r="J210" s="39"/>
      <c r="K210" s="39"/>
      <c r="L210" s="39"/>
      <c r="M210" s="39"/>
      <c r="N210" s="39"/>
      <c r="O210" s="39"/>
      <c r="P210" s="39"/>
      <c r="Q210" s="39"/>
      <c r="R210" s="39"/>
      <c r="S210" s="239"/>
      <c r="AE210" s="174"/>
    </row>
    <row r="211" ht="15.75" customHeight="1">
      <c r="C211" s="98"/>
      <c r="D211" s="98"/>
      <c r="E211" s="39"/>
      <c r="F211" s="39"/>
      <c r="G211" s="39"/>
      <c r="H211" s="39"/>
      <c r="I211" s="39"/>
      <c r="J211" s="39"/>
      <c r="K211" s="39"/>
      <c r="L211" s="39"/>
      <c r="M211" s="39"/>
      <c r="N211" s="39"/>
      <c r="O211" s="39"/>
      <c r="P211" s="39"/>
      <c r="Q211" s="39"/>
      <c r="R211" s="39"/>
      <c r="S211" s="239"/>
      <c r="AE211" s="174"/>
    </row>
    <row r="212" ht="15.75" customHeight="1">
      <c r="C212" s="98"/>
      <c r="D212" s="98"/>
      <c r="E212" s="39"/>
      <c r="F212" s="39"/>
      <c r="G212" s="39"/>
      <c r="H212" s="39"/>
      <c r="I212" s="39"/>
      <c r="J212" s="39"/>
      <c r="K212" s="39"/>
      <c r="L212" s="39"/>
      <c r="M212" s="39"/>
      <c r="N212" s="39"/>
      <c r="O212" s="39"/>
      <c r="P212" s="39"/>
      <c r="Q212" s="39"/>
      <c r="R212" s="39"/>
      <c r="S212" s="239"/>
      <c r="AE212" s="174"/>
    </row>
    <row r="213" ht="15.75" customHeight="1">
      <c r="C213" s="98"/>
      <c r="D213" s="98"/>
      <c r="E213" s="39"/>
      <c r="F213" s="39"/>
      <c r="G213" s="39"/>
      <c r="H213" s="39"/>
      <c r="I213" s="39"/>
      <c r="J213" s="39"/>
      <c r="K213" s="39"/>
      <c r="L213" s="39"/>
      <c r="M213" s="39"/>
      <c r="N213" s="39"/>
      <c r="O213" s="39"/>
      <c r="P213" s="39"/>
      <c r="Q213" s="39"/>
      <c r="R213" s="39"/>
      <c r="S213" s="239"/>
      <c r="AE213" s="174"/>
    </row>
    <row r="214" ht="15.75" customHeight="1">
      <c r="C214" s="98"/>
      <c r="D214" s="98"/>
      <c r="E214" s="39"/>
      <c r="F214" s="39"/>
      <c r="G214" s="39"/>
      <c r="H214" s="39"/>
      <c r="I214" s="39"/>
      <c r="J214" s="39"/>
      <c r="K214" s="39"/>
      <c r="L214" s="39"/>
      <c r="M214" s="39"/>
      <c r="N214" s="39"/>
      <c r="O214" s="39"/>
      <c r="P214" s="39"/>
      <c r="Q214" s="39"/>
      <c r="R214" s="39"/>
      <c r="S214" s="239"/>
      <c r="AE214" s="174"/>
    </row>
    <row r="215" ht="15.75" customHeight="1">
      <c r="C215" s="98"/>
      <c r="D215" s="98"/>
      <c r="E215" s="39"/>
      <c r="F215" s="39"/>
      <c r="G215" s="39"/>
      <c r="H215" s="39"/>
      <c r="I215" s="39"/>
      <c r="J215" s="39"/>
      <c r="K215" s="39"/>
      <c r="L215" s="39"/>
      <c r="M215" s="39"/>
      <c r="N215" s="39"/>
      <c r="O215" s="39"/>
      <c r="P215" s="39"/>
      <c r="Q215" s="39"/>
      <c r="R215" s="39"/>
      <c r="S215" s="239"/>
      <c r="AE215" s="174"/>
    </row>
    <row r="216" ht="15.75" customHeight="1">
      <c r="C216" s="98"/>
      <c r="D216" s="98"/>
      <c r="E216" s="39"/>
      <c r="F216" s="39"/>
      <c r="G216" s="39"/>
      <c r="H216" s="39"/>
      <c r="I216" s="39"/>
      <c r="J216" s="39"/>
      <c r="K216" s="39"/>
      <c r="L216" s="39"/>
      <c r="M216" s="39"/>
      <c r="N216" s="39"/>
      <c r="O216" s="39"/>
      <c r="P216" s="39"/>
      <c r="Q216" s="39"/>
      <c r="R216" s="39"/>
      <c r="S216" s="239"/>
      <c r="AE216" s="174"/>
    </row>
    <row r="217" ht="15.75" customHeight="1">
      <c r="C217" s="98"/>
      <c r="D217" s="98"/>
      <c r="E217" s="39"/>
      <c r="F217" s="39"/>
      <c r="G217" s="39"/>
      <c r="H217" s="39"/>
      <c r="I217" s="39"/>
      <c r="J217" s="39"/>
      <c r="K217" s="39"/>
      <c r="L217" s="39"/>
      <c r="M217" s="39"/>
      <c r="N217" s="39"/>
      <c r="O217" s="39"/>
      <c r="P217" s="39"/>
      <c r="Q217" s="39"/>
      <c r="R217" s="39"/>
      <c r="S217" s="239"/>
      <c r="AE217" s="174"/>
    </row>
    <row r="218" ht="15.75" customHeight="1">
      <c r="C218" s="98"/>
      <c r="D218" s="98"/>
      <c r="E218" s="39"/>
      <c r="F218" s="39"/>
      <c r="G218" s="39"/>
      <c r="H218" s="39"/>
      <c r="I218" s="39"/>
      <c r="J218" s="39"/>
      <c r="K218" s="39"/>
      <c r="L218" s="39"/>
      <c r="M218" s="39"/>
      <c r="N218" s="39"/>
      <c r="O218" s="39"/>
      <c r="P218" s="39"/>
      <c r="Q218" s="39"/>
      <c r="R218" s="39"/>
      <c r="S218" s="239"/>
      <c r="AE218" s="174"/>
    </row>
    <row r="219" ht="15.75" customHeight="1">
      <c r="C219" s="98"/>
      <c r="D219" s="98"/>
      <c r="E219" s="39"/>
      <c r="F219" s="39"/>
      <c r="G219" s="39"/>
      <c r="H219" s="39"/>
      <c r="I219" s="39"/>
      <c r="J219" s="39"/>
      <c r="K219" s="39"/>
      <c r="L219" s="39"/>
      <c r="M219" s="39"/>
      <c r="N219" s="39"/>
      <c r="O219" s="39"/>
      <c r="P219" s="39"/>
      <c r="Q219" s="39"/>
      <c r="R219" s="39"/>
      <c r="S219" s="239"/>
      <c r="AE219" s="174"/>
    </row>
    <row r="220" ht="15.75" customHeight="1">
      <c r="C220" s="98"/>
      <c r="D220" s="98"/>
      <c r="E220" s="39"/>
      <c r="F220" s="39"/>
      <c r="G220" s="39"/>
      <c r="H220" s="39"/>
      <c r="I220" s="39"/>
      <c r="J220" s="39"/>
      <c r="K220" s="39"/>
      <c r="L220" s="39"/>
      <c r="M220" s="39"/>
      <c r="N220" s="39"/>
      <c r="O220" s="39"/>
      <c r="P220" s="39"/>
      <c r="Q220" s="39"/>
      <c r="R220" s="39"/>
      <c r="S220" s="239"/>
      <c r="AE220" s="174"/>
    </row>
    <row r="221" ht="15.75" customHeight="1">
      <c r="C221" s="98"/>
      <c r="D221" s="98"/>
      <c r="E221" s="39"/>
      <c r="F221" s="39"/>
      <c r="G221" s="39"/>
      <c r="H221" s="39"/>
      <c r="I221" s="39"/>
      <c r="J221" s="39"/>
      <c r="K221" s="39"/>
      <c r="L221" s="39"/>
      <c r="M221" s="39"/>
      <c r="N221" s="39"/>
      <c r="O221" s="39"/>
      <c r="P221" s="39"/>
      <c r="Q221" s="39"/>
      <c r="R221" s="39"/>
      <c r="S221" s="239"/>
      <c r="AE221" s="174"/>
    </row>
    <row r="222" ht="15.75" customHeight="1">
      <c r="C222" s="98"/>
      <c r="D222" s="98"/>
      <c r="E222" s="39"/>
      <c r="F222" s="39"/>
      <c r="G222" s="39"/>
      <c r="H222" s="39"/>
      <c r="I222" s="39"/>
      <c r="J222" s="39"/>
      <c r="K222" s="39"/>
      <c r="L222" s="39"/>
      <c r="M222" s="39"/>
      <c r="N222" s="39"/>
      <c r="O222" s="39"/>
      <c r="P222" s="39"/>
      <c r="Q222" s="39"/>
      <c r="R222" s="39"/>
      <c r="S222" s="239"/>
      <c r="AE222" s="174"/>
    </row>
    <row r="223" ht="15.75" customHeight="1">
      <c r="C223" s="98"/>
      <c r="D223" s="98"/>
      <c r="E223" s="39"/>
      <c r="F223" s="39"/>
      <c r="G223" s="39"/>
      <c r="H223" s="39"/>
      <c r="I223" s="39"/>
      <c r="J223" s="39"/>
      <c r="K223" s="39"/>
      <c r="L223" s="39"/>
      <c r="M223" s="39"/>
      <c r="N223" s="39"/>
      <c r="O223" s="39"/>
      <c r="P223" s="39"/>
      <c r="Q223" s="39"/>
      <c r="R223" s="39"/>
      <c r="S223" s="239"/>
      <c r="AE223" s="174"/>
    </row>
    <row r="224" ht="15.75" customHeight="1">
      <c r="C224" s="98"/>
      <c r="D224" s="98"/>
      <c r="E224" s="39"/>
      <c r="F224" s="39"/>
      <c r="G224" s="39"/>
      <c r="H224" s="39"/>
      <c r="I224" s="39"/>
      <c r="J224" s="39"/>
      <c r="K224" s="39"/>
      <c r="L224" s="39"/>
      <c r="M224" s="39"/>
      <c r="N224" s="39"/>
      <c r="O224" s="39"/>
      <c r="P224" s="39"/>
      <c r="Q224" s="39"/>
      <c r="R224" s="39"/>
      <c r="S224" s="239"/>
      <c r="AE224" s="174"/>
    </row>
    <row r="225" ht="15.75" customHeight="1">
      <c r="C225" s="98"/>
      <c r="D225" s="98"/>
      <c r="E225" s="39"/>
      <c r="F225" s="39"/>
      <c r="G225" s="39"/>
      <c r="H225" s="39"/>
      <c r="I225" s="39"/>
      <c r="J225" s="39"/>
      <c r="K225" s="39"/>
      <c r="L225" s="39"/>
      <c r="M225" s="39"/>
      <c r="N225" s="39"/>
      <c r="O225" s="39"/>
      <c r="P225" s="39"/>
      <c r="Q225" s="39"/>
      <c r="R225" s="39"/>
      <c r="S225" s="239"/>
      <c r="AE225" s="174"/>
    </row>
    <row r="226" ht="15.75" customHeight="1">
      <c r="C226" s="98"/>
      <c r="D226" s="98"/>
      <c r="E226" s="39"/>
      <c r="F226" s="39"/>
      <c r="G226" s="39"/>
      <c r="H226" s="39"/>
      <c r="I226" s="39"/>
      <c r="J226" s="39"/>
      <c r="K226" s="39"/>
      <c r="L226" s="39"/>
      <c r="M226" s="39"/>
      <c r="N226" s="39"/>
      <c r="O226" s="39"/>
      <c r="P226" s="39"/>
      <c r="Q226" s="39"/>
      <c r="R226" s="39"/>
      <c r="S226" s="239"/>
      <c r="AE226" s="174"/>
    </row>
    <row r="227" ht="15.75" customHeight="1">
      <c r="C227" s="98"/>
      <c r="D227" s="98"/>
      <c r="E227" s="39"/>
      <c r="F227" s="39"/>
      <c r="G227" s="39"/>
      <c r="H227" s="39"/>
      <c r="I227" s="39"/>
      <c r="J227" s="39"/>
      <c r="K227" s="39"/>
      <c r="L227" s="39"/>
      <c r="M227" s="39"/>
      <c r="N227" s="39"/>
      <c r="O227" s="39"/>
      <c r="P227" s="39"/>
      <c r="Q227" s="39"/>
      <c r="R227" s="39"/>
      <c r="S227" s="239"/>
      <c r="AE227" s="174"/>
    </row>
    <row r="228" ht="15.75" customHeight="1">
      <c r="C228" s="98"/>
      <c r="D228" s="98"/>
      <c r="E228" s="39"/>
      <c r="F228" s="39"/>
      <c r="G228" s="39"/>
      <c r="H228" s="39"/>
      <c r="I228" s="39"/>
      <c r="J228" s="39"/>
      <c r="K228" s="39"/>
      <c r="L228" s="39"/>
      <c r="M228" s="39"/>
      <c r="N228" s="39"/>
      <c r="O228" s="39"/>
      <c r="P228" s="39"/>
      <c r="Q228" s="39"/>
      <c r="R228" s="39"/>
      <c r="S228" s="239"/>
      <c r="AE228" s="174"/>
    </row>
    <row r="229" ht="15.75" customHeight="1">
      <c r="C229" s="98"/>
      <c r="D229" s="98"/>
      <c r="E229" s="39"/>
      <c r="F229" s="39"/>
      <c r="G229" s="39"/>
      <c r="H229" s="39"/>
      <c r="I229" s="39"/>
      <c r="J229" s="39"/>
      <c r="K229" s="39"/>
      <c r="L229" s="39"/>
      <c r="M229" s="39"/>
      <c r="N229" s="39"/>
      <c r="O229" s="39"/>
      <c r="P229" s="39"/>
      <c r="Q229" s="39"/>
      <c r="R229" s="39"/>
      <c r="S229" s="239"/>
      <c r="AE229" s="174"/>
    </row>
    <row r="230" ht="15.75" customHeight="1">
      <c r="C230" s="98"/>
      <c r="D230" s="98"/>
      <c r="E230" s="39"/>
      <c r="F230" s="39"/>
      <c r="G230" s="39"/>
      <c r="H230" s="39"/>
      <c r="I230" s="39"/>
      <c r="J230" s="39"/>
      <c r="K230" s="39"/>
      <c r="L230" s="39"/>
      <c r="M230" s="39"/>
      <c r="N230" s="39"/>
      <c r="O230" s="39"/>
      <c r="P230" s="39"/>
      <c r="Q230" s="39"/>
      <c r="R230" s="39"/>
      <c r="S230" s="239"/>
      <c r="AE230" s="174"/>
    </row>
    <row r="231" ht="15.75" customHeight="1">
      <c r="C231" s="98"/>
      <c r="D231" s="98"/>
      <c r="E231" s="39"/>
      <c r="F231" s="39"/>
      <c r="G231" s="39"/>
      <c r="H231" s="39"/>
      <c r="I231" s="39"/>
      <c r="J231" s="39"/>
      <c r="K231" s="39"/>
      <c r="L231" s="39"/>
      <c r="M231" s="39"/>
      <c r="N231" s="39"/>
      <c r="O231" s="39"/>
      <c r="P231" s="39"/>
      <c r="Q231" s="39"/>
      <c r="R231" s="39"/>
      <c r="S231" s="239"/>
      <c r="AE231" s="174"/>
    </row>
    <row r="232" ht="15.75" customHeight="1">
      <c r="C232" s="98"/>
      <c r="D232" s="98"/>
      <c r="E232" s="39"/>
      <c r="F232" s="39"/>
      <c r="G232" s="39"/>
      <c r="H232" s="39"/>
      <c r="I232" s="39"/>
      <c r="J232" s="39"/>
      <c r="K232" s="39"/>
      <c r="L232" s="39"/>
      <c r="M232" s="39"/>
      <c r="N232" s="39"/>
      <c r="O232" s="39"/>
      <c r="P232" s="39"/>
      <c r="Q232" s="39"/>
      <c r="R232" s="39"/>
      <c r="S232" s="239"/>
      <c r="AE232" s="174"/>
    </row>
    <row r="233" ht="15.75" customHeight="1">
      <c r="C233" s="98"/>
      <c r="D233" s="98"/>
      <c r="E233" s="39"/>
      <c r="F233" s="39"/>
      <c r="G233" s="39"/>
      <c r="H233" s="39"/>
      <c r="I233" s="39"/>
      <c r="J233" s="39"/>
      <c r="K233" s="39"/>
      <c r="L233" s="39"/>
      <c r="M233" s="39"/>
      <c r="N233" s="39"/>
      <c r="O233" s="39"/>
      <c r="P233" s="39"/>
      <c r="Q233" s="39"/>
      <c r="R233" s="39"/>
      <c r="S233" s="239"/>
      <c r="AE233" s="174"/>
    </row>
    <row r="234" ht="15.75" customHeight="1">
      <c r="C234" s="98"/>
      <c r="D234" s="98"/>
      <c r="E234" s="39"/>
      <c r="F234" s="39"/>
      <c r="G234" s="39"/>
      <c r="H234" s="39"/>
      <c r="I234" s="39"/>
      <c r="J234" s="39"/>
      <c r="K234" s="39"/>
      <c r="L234" s="39"/>
      <c r="M234" s="39"/>
      <c r="N234" s="39"/>
      <c r="O234" s="39"/>
      <c r="P234" s="39"/>
      <c r="Q234" s="39"/>
      <c r="R234" s="39"/>
      <c r="S234" s="239"/>
      <c r="AE234" s="174"/>
    </row>
    <row r="235" ht="15.75" customHeight="1">
      <c r="C235" s="98"/>
      <c r="D235" s="98"/>
      <c r="E235" s="39"/>
      <c r="F235" s="39"/>
      <c r="G235" s="39"/>
      <c r="H235" s="39"/>
      <c r="I235" s="39"/>
      <c r="J235" s="39"/>
      <c r="K235" s="39"/>
      <c r="L235" s="39"/>
      <c r="M235" s="39"/>
      <c r="N235" s="39"/>
      <c r="O235" s="39"/>
      <c r="P235" s="39"/>
      <c r="Q235" s="39"/>
      <c r="R235" s="39"/>
      <c r="S235" s="239"/>
      <c r="AE235" s="174"/>
    </row>
    <row r="236" ht="15.75" customHeight="1">
      <c r="C236" s="98"/>
      <c r="D236" s="98"/>
      <c r="E236" s="39"/>
      <c r="F236" s="39"/>
      <c r="G236" s="39"/>
      <c r="H236" s="39"/>
      <c r="I236" s="39"/>
      <c r="J236" s="39"/>
      <c r="K236" s="39"/>
      <c r="L236" s="39"/>
      <c r="M236" s="39"/>
      <c r="N236" s="39"/>
      <c r="O236" s="39"/>
      <c r="P236" s="39"/>
      <c r="Q236" s="39"/>
      <c r="R236" s="39"/>
      <c r="S236" s="239"/>
      <c r="AE236" s="174"/>
    </row>
    <row r="237" ht="15.75" customHeight="1">
      <c r="C237" s="98"/>
      <c r="D237" s="98"/>
      <c r="E237" s="39"/>
      <c r="F237" s="39"/>
      <c r="G237" s="39"/>
      <c r="H237" s="39"/>
      <c r="I237" s="39"/>
      <c r="J237" s="39"/>
      <c r="K237" s="39"/>
      <c r="L237" s="39"/>
      <c r="M237" s="39"/>
      <c r="N237" s="39"/>
      <c r="O237" s="39"/>
      <c r="P237" s="39"/>
      <c r="Q237" s="39"/>
      <c r="R237" s="39"/>
      <c r="S237" s="239"/>
      <c r="AE237" s="174"/>
    </row>
    <row r="238" ht="15.75" customHeight="1">
      <c r="C238" s="98"/>
      <c r="D238" s="98"/>
      <c r="E238" s="39"/>
      <c r="F238" s="39"/>
      <c r="G238" s="39"/>
      <c r="H238" s="39"/>
      <c r="I238" s="39"/>
      <c r="J238" s="39"/>
      <c r="K238" s="39"/>
      <c r="L238" s="39"/>
      <c r="M238" s="39"/>
      <c r="N238" s="39"/>
      <c r="O238" s="39"/>
      <c r="P238" s="39"/>
      <c r="Q238" s="39"/>
      <c r="R238" s="39"/>
      <c r="S238" s="239"/>
      <c r="AE238" s="174"/>
    </row>
    <row r="239" ht="15.75" customHeight="1">
      <c r="S239" s="239"/>
      <c r="AE239" s="174"/>
    </row>
    <row r="240" ht="15.75" customHeight="1">
      <c r="S240" s="239"/>
      <c r="AE240" s="174"/>
    </row>
    <row r="241" ht="15.75" customHeight="1">
      <c r="S241" s="239"/>
      <c r="AE241" s="174"/>
    </row>
    <row r="242" ht="15.75" customHeight="1">
      <c r="S242" s="239"/>
      <c r="AE242" s="174"/>
    </row>
    <row r="243" ht="15.75" customHeight="1">
      <c r="S243" s="239"/>
      <c r="AE243" s="174"/>
    </row>
    <row r="244" ht="15.75" customHeight="1">
      <c r="S244" s="239"/>
      <c r="AE244" s="174"/>
    </row>
    <row r="245" ht="15.75" customHeight="1">
      <c r="S245" s="239"/>
      <c r="AE245" s="174"/>
    </row>
    <row r="246" ht="15.75" customHeight="1">
      <c r="S246" s="239"/>
      <c r="AE246" s="174"/>
    </row>
    <row r="247" ht="15.75" customHeight="1">
      <c r="S247" s="239"/>
      <c r="AE247" s="174"/>
    </row>
    <row r="248" ht="15.75" customHeight="1">
      <c r="S248" s="239"/>
      <c r="AE248" s="174"/>
    </row>
    <row r="249" ht="15.75" customHeight="1">
      <c r="S249" s="239"/>
      <c r="AE249" s="174"/>
    </row>
    <row r="250" ht="15.75" customHeight="1">
      <c r="S250" s="239"/>
      <c r="AE250" s="174"/>
    </row>
    <row r="251" ht="15.75" customHeight="1">
      <c r="S251" s="239"/>
      <c r="AE251" s="174"/>
    </row>
    <row r="252" ht="15.75" customHeight="1">
      <c r="S252" s="239"/>
      <c r="AE252" s="174"/>
    </row>
    <row r="253" ht="15.75" customHeight="1">
      <c r="S253" s="239"/>
      <c r="AE253" s="174"/>
    </row>
    <row r="254" ht="15.75" customHeight="1">
      <c r="S254" s="239"/>
      <c r="AE254" s="174"/>
    </row>
    <row r="255" ht="15.75" customHeight="1">
      <c r="S255" s="239"/>
      <c r="AE255" s="174"/>
    </row>
    <row r="256" ht="15.75" customHeight="1">
      <c r="S256" s="239"/>
      <c r="AE256" s="174"/>
    </row>
    <row r="257" ht="15.75" customHeight="1">
      <c r="S257" s="239"/>
      <c r="AE257" s="174"/>
    </row>
    <row r="258" ht="15.75" customHeight="1">
      <c r="S258" s="239"/>
      <c r="AE258" s="174"/>
    </row>
    <row r="259" ht="15.75" customHeight="1">
      <c r="S259" s="239"/>
      <c r="AE259" s="174"/>
    </row>
    <row r="260" ht="15.75" customHeight="1">
      <c r="S260" s="239"/>
      <c r="AE260" s="174"/>
    </row>
    <row r="261" ht="15.75" customHeight="1">
      <c r="S261" s="239"/>
      <c r="AE261" s="174"/>
    </row>
    <row r="262" ht="15.75" customHeight="1">
      <c r="S262" s="239"/>
      <c r="AE262" s="174"/>
    </row>
    <row r="263" ht="15.75" customHeight="1">
      <c r="S263" s="239"/>
      <c r="AE263" s="174"/>
    </row>
    <row r="264" ht="15.75" customHeight="1">
      <c r="S264" s="239"/>
      <c r="AE264" s="174"/>
    </row>
    <row r="265" ht="15.75" customHeight="1">
      <c r="S265" s="239"/>
      <c r="AE265" s="174"/>
    </row>
    <row r="266" ht="15.75" customHeight="1">
      <c r="S266" s="239"/>
      <c r="AE266" s="174"/>
    </row>
    <row r="267" ht="15.75" customHeight="1">
      <c r="S267" s="239"/>
      <c r="AE267" s="174"/>
    </row>
    <row r="268" ht="15.75" customHeight="1">
      <c r="S268" s="239"/>
      <c r="AE268" s="174"/>
    </row>
    <row r="269" ht="15.75" customHeight="1">
      <c r="S269" s="239"/>
      <c r="AE269" s="174"/>
    </row>
    <row r="270" ht="15.75" customHeight="1">
      <c r="S270" s="239"/>
      <c r="AE270" s="174"/>
    </row>
    <row r="271" ht="15.75" customHeight="1">
      <c r="S271" s="239"/>
      <c r="AE271" s="174"/>
    </row>
    <row r="272" ht="15.75" customHeight="1">
      <c r="S272" s="239"/>
      <c r="AE272" s="174"/>
    </row>
    <row r="273" ht="15.75" customHeight="1">
      <c r="S273" s="239"/>
      <c r="AE273" s="174"/>
    </row>
    <row r="274" ht="15.75" customHeight="1">
      <c r="S274" s="239"/>
      <c r="AE274" s="174"/>
    </row>
    <row r="275" ht="15.75" customHeight="1">
      <c r="S275" s="239"/>
      <c r="AE275" s="174"/>
    </row>
    <row r="276" ht="15.75" customHeight="1">
      <c r="S276" s="239"/>
      <c r="AE276" s="174"/>
    </row>
    <row r="277" ht="15.75" customHeight="1">
      <c r="S277" s="239"/>
      <c r="AE277" s="174"/>
    </row>
    <row r="278" ht="15.75" customHeight="1">
      <c r="S278" s="239"/>
      <c r="AE278" s="174"/>
    </row>
    <row r="279" ht="15.75" customHeight="1">
      <c r="S279" s="239"/>
      <c r="AE279" s="174"/>
    </row>
    <row r="280" ht="15.75" customHeight="1">
      <c r="S280" s="239"/>
      <c r="AE280" s="174"/>
    </row>
    <row r="281" ht="15.75" customHeight="1">
      <c r="S281" s="239"/>
      <c r="AE281" s="174"/>
    </row>
    <row r="282" ht="15.75" customHeight="1">
      <c r="S282" s="239"/>
      <c r="AE282" s="174"/>
    </row>
    <row r="283" ht="15.75" customHeight="1">
      <c r="S283" s="239"/>
      <c r="AE283" s="174"/>
    </row>
    <row r="284" ht="15.75" customHeight="1">
      <c r="S284" s="239"/>
      <c r="AE284" s="174"/>
    </row>
    <row r="285" ht="15.75" customHeight="1">
      <c r="S285" s="239"/>
      <c r="AE285" s="174"/>
    </row>
    <row r="286" ht="15.75" customHeight="1">
      <c r="S286" s="239"/>
      <c r="AE286" s="174"/>
    </row>
    <row r="287" ht="15.75" customHeight="1">
      <c r="S287" s="239"/>
      <c r="AE287" s="174"/>
    </row>
    <row r="288" ht="15.75" customHeight="1">
      <c r="S288" s="239"/>
      <c r="AE288" s="174"/>
    </row>
    <row r="289" ht="15.75" customHeight="1">
      <c r="S289" s="239"/>
      <c r="AE289" s="174"/>
    </row>
    <row r="290" ht="15.75" customHeight="1">
      <c r="S290" s="239"/>
      <c r="AE290" s="174"/>
    </row>
    <row r="291" ht="15.75" customHeight="1">
      <c r="S291" s="239"/>
      <c r="AE291" s="174"/>
    </row>
    <row r="292" ht="15.75" customHeight="1">
      <c r="S292" s="239"/>
      <c r="AE292" s="174"/>
    </row>
    <row r="293" ht="15.75" customHeight="1">
      <c r="S293" s="239"/>
      <c r="AE293" s="174"/>
    </row>
    <row r="294" ht="15.75" customHeight="1">
      <c r="S294" s="239"/>
      <c r="AE294" s="174"/>
    </row>
    <row r="295" ht="15.75" customHeight="1">
      <c r="S295" s="239"/>
      <c r="AE295" s="174"/>
    </row>
    <row r="296" ht="15.75" customHeight="1">
      <c r="S296" s="239"/>
      <c r="AE296" s="174"/>
    </row>
    <row r="297" ht="15.75" customHeight="1">
      <c r="S297" s="239"/>
      <c r="AE297" s="174"/>
    </row>
    <row r="298" ht="15.75" customHeight="1">
      <c r="S298" s="239"/>
      <c r="AE298" s="174"/>
    </row>
    <row r="299" ht="15.75" customHeight="1">
      <c r="S299" s="239"/>
      <c r="AE299" s="174"/>
    </row>
    <row r="300" ht="15.75" customHeight="1">
      <c r="S300" s="239"/>
      <c r="AE300" s="174"/>
    </row>
    <row r="301" ht="15.75" customHeight="1">
      <c r="S301" s="239"/>
      <c r="AE301" s="174"/>
    </row>
    <row r="302" ht="15.75" customHeight="1">
      <c r="S302" s="239"/>
      <c r="AE302" s="174"/>
    </row>
    <row r="303" ht="15.75" customHeight="1">
      <c r="S303" s="239"/>
      <c r="AE303" s="174"/>
    </row>
    <row r="304" ht="15.75" customHeight="1">
      <c r="S304" s="239"/>
      <c r="AE304" s="174"/>
    </row>
    <row r="305" ht="15.75" customHeight="1">
      <c r="S305" s="239"/>
      <c r="AE305" s="174"/>
    </row>
    <row r="306" ht="15.75" customHeight="1">
      <c r="S306" s="239"/>
      <c r="AE306" s="174"/>
    </row>
    <row r="307" ht="15.75" customHeight="1">
      <c r="S307" s="239"/>
      <c r="AE307" s="174"/>
    </row>
    <row r="308" ht="15.75" customHeight="1">
      <c r="S308" s="239"/>
      <c r="AE308" s="174"/>
    </row>
    <row r="309" ht="15.75" customHeight="1">
      <c r="S309" s="239"/>
      <c r="AE309" s="174"/>
    </row>
    <row r="310" ht="15.75" customHeight="1">
      <c r="S310" s="239"/>
      <c r="AE310" s="174"/>
    </row>
    <row r="311" ht="15.75" customHeight="1">
      <c r="S311" s="239"/>
      <c r="AE311" s="174"/>
    </row>
    <row r="312" ht="15.75" customHeight="1">
      <c r="S312" s="239"/>
      <c r="AE312" s="174"/>
    </row>
    <row r="313" ht="15.75" customHeight="1">
      <c r="S313" s="239"/>
      <c r="AE313" s="174"/>
    </row>
    <row r="314" ht="15.75" customHeight="1">
      <c r="S314" s="239"/>
      <c r="AE314" s="174"/>
    </row>
    <row r="315" ht="15.75" customHeight="1">
      <c r="S315" s="239"/>
      <c r="AE315" s="174"/>
    </row>
    <row r="316" ht="15.75" customHeight="1">
      <c r="S316" s="239"/>
      <c r="AE316" s="174"/>
    </row>
    <row r="317" ht="15.75" customHeight="1">
      <c r="S317" s="239"/>
      <c r="AE317" s="174"/>
    </row>
    <row r="318" ht="15.75" customHeight="1">
      <c r="S318" s="239"/>
      <c r="AE318" s="174"/>
    </row>
    <row r="319" ht="15.75" customHeight="1">
      <c r="S319" s="239"/>
      <c r="AE319" s="174"/>
    </row>
    <row r="320" ht="15.75" customHeight="1">
      <c r="S320" s="239"/>
      <c r="AE320" s="174"/>
    </row>
    <row r="321" ht="15.75" customHeight="1">
      <c r="S321" s="239"/>
      <c r="AE321" s="174"/>
    </row>
    <row r="322" ht="15.75" customHeight="1">
      <c r="S322" s="239"/>
      <c r="AE322" s="174"/>
    </row>
    <row r="323" ht="15.75" customHeight="1">
      <c r="S323" s="239"/>
      <c r="AE323" s="174"/>
    </row>
    <row r="324" ht="15.75" customHeight="1">
      <c r="S324" s="239"/>
      <c r="AE324" s="174"/>
    </row>
    <row r="325" ht="15.75" customHeight="1">
      <c r="S325" s="239"/>
      <c r="AE325" s="174"/>
    </row>
    <row r="326" ht="15.75" customHeight="1">
      <c r="S326" s="239"/>
      <c r="AE326" s="174"/>
    </row>
    <row r="327" ht="15.75" customHeight="1">
      <c r="S327" s="239"/>
      <c r="AE327" s="174"/>
    </row>
    <row r="328" ht="15.75" customHeight="1">
      <c r="S328" s="239"/>
      <c r="AE328" s="174"/>
    </row>
    <row r="329" ht="15.75" customHeight="1">
      <c r="S329" s="239"/>
      <c r="AE329" s="174"/>
    </row>
    <row r="330" ht="15.75" customHeight="1">
      <c r="S330" s="239"/>
      <c r="AE330" s="174"/>
    </row>
    <row r="331" ht="15.75" customHeight="1">
      <c r="S331" s="239"/>
      <c r="AE331" s="174"/>
    </row>
    <row r="332" ht="15.75" customHeight="1">
      <c r="S332" s="239"/>
      <c r="AE332" s="174"/>
    </row>
    <row r="333" ht="15.75" customHeight="1">
      <c r="S333" s="239"/>
      <c r="AE333" s="174"/>
    </row>
    <row r="334" ht="15.75" customHeight="1">
      <c r="S334" s="239"/>
      <c r="AE334" s="174"/>
    </row>
    <row r="335" ht="15.75" customHeight="1">
      <c r="S335" s="239"/>
      <c r="AE335" s="174"/>
    </row>
    <row r="336" ht="15.75" customHeight="1">
      <c r="S336" s="239"/>
      <c r="AE336" s="174"/>
    </row>
    <row r="337" ht="15.75" customHeight="1">
      <c r="S337" s="239"/>
      <c r="AE337" s="174"/>
    </row>
    <row r="338" ht="15.75" customHeight="1">
      <c r="S338" s="239"/>
      <c r="AE338" s="174"/>
    </row>
    <row r="339" ht="15.75" customHeight="1">
      <c r="S339" s="239"/>
      <c r="AE339" s="174"/>
    </row>
    <row r="340" ht="15.75" customHeight="1">
      <c r="S340" s="239"/>
      <c r="AE340" s="174"/>
    </row>
    <row r="341" ht="15.75" customHeight="1">
      <c r="S341" s="239"/>
      <c r="AE341" s="174"/>
    </row>
    <row r="342" ht="15.75" customHeight="1">
      <c r="S342" s="239"/>
      <c r="AE342" s="174"/>
    </row>
    <row r="343" ht="15.75" customHeight="1">
      <c r="S343" s="239"/>
      <c r="AE343" s="174"/>
    </row>
    <row r="344" ht="15.75" customHeight="1">
      <c r="S344" s="239"/>
      <c r="AE344" s="174"/>
    </row>
    <row r="345" ht="15.75" customHeight="1">
      <c r="S345" s="239"/>
      <c r="AE345" s="174"/>
    </row>
    <row r="346" ht="15.75" customHeight="1">
      <c r="S346" s="239"/>
      <c r="AE346" s="174"/>
    </row>
    <row r="347" ht="15.75" customHeight="1">
      <c r="S347" s="239"/>
      <c r="AE347" s="174"/>
    </row>
    <row r="348" ht="15.75" customHeight="1">
      <c r="S348" s="239"/>
      <c r="AE348" s="174"/>
    </row>
    <row r="349" ht="15.75" customHeight="1">
      <c r="S349" s="239"/>
      <c r="AE349" s="174"/>
    </row>
    <row r="350" ht="15.75" customHeight="1">
      <c r="S350" s="239"/>
      <c r="AE350" s="174"/>
    </row>
    <row r="351" ht="15.75" customHeight="1">
      <c r="S351" s="239"/>
      <c r="AE351" s="174"/>
    </row>
    <row r="352" ht="15.75" customHeight="1">
      <c r="S352" s="239"/>
      <c r="AE352" s="174"/>
    </row>
    <row r="353" ht="15.75" customHeight="1">
      <c r="S353" s="239"/>
      <c r="AE353" s="174"/>
    </row>
    <row r="354" ht="15.75" customHeight="1">
      <c r="S354" s="239"/>
      <c r="AE354" s="174"/>
    </row>
    <row r="355" ht="15.75" customHeight="1">
      <c r="S355" s="239"/>
      <c r="AE355" s="174"/>
    </row>
    <row r="356" ht="15.75" customHeight="1">
      <c r="S356" s="239"/>
      <c r="AE356" s="174"/>
    </row>
    <row r="357" ht="15.75" customHeight="1">
      <c r="S357" s="239"/>
      <c r="AE357" s="174"/>
    </row>
    <row r="358" ht="15.75" customHeight="1">
      <c r="S358" s="239"/>
      <c r="AE358" s="174"/>
    </row>
    <row r="359" ht="15.75" customHeight="1">
      <c r="S359" s="239"/>
      <c r="AE359" s="174"/>
    </row>
    <row r="360" ht="15.75" customHeight="1">
      <c r="S360" s="239"/>
      <c r="AE360" s="174"/>
    </row>
    <row r="361" ht="15.75" customHeight="1">
      <c r="S361" s="239"/>
      <c r="AE361" s="174"/>
    </row>
    <row r="362" ht="15.75" customHeight="1">
      <c r="S362" s="239"/>
      <c r="AE362" s="174"/>
    </row>
    <row r="363" ht="15.75" customHeight="1">
      <c r="S363" s="239"/>
      <c r="AE363" s="174"/>
    </row>
    <row r="364" ht="15.75" customHeight="1">
      <c r="S364" s="239"/>
      <c r="AE364" s="174"/>
    </row>
    <row r="365" ht="15.75" customHeight="1">
      <c r="S365" s="239"/>
      <c r="AE365" s="174"/>
    </row>
    <row r="366" ht="15.75" customHeight="1">
      <c r="S366" s="239"/>
      <c r="AE366" s="174"/>
    </row>
    <row r="367" ht="15.75" customHeight="1">
      <c r="S367" s="239"/>
      <c r="AE367" s="174"/>
    </row>
    <row r="368" ht="15.75" customHeight="1">
      <c r="S368" s="239"/>
      <c r="AE368" s="174"/>
    </row>
    <row r="369" ht="15.75" customHeight="1">
      <c r="S369" s="239"/>
      <c r="AE369" s="174"/>
    </row>
    <row r="370" ht="15.75" customHeight="1">
      <c r="S370" s="239"/>
      <c r="AE370" s="174"/>
    </row>
    <row r="371" ht="15.75" customHeight="1">
      <c r="S371" s="239"/>
      <c r="AE371" s="174"/>
    </row>
    <row r="372" ht="15.75" customHeight="1">
      <c r="S372" s="239"/>
      <c r="AE372" s="174"/>
    </row>
    <row r="373" ht="15.75" customHeight="1">
      <c r="S373" s="239"/>
      <c r="AE373" s="174"/>
    </row>
    <row r="374" ht="15.75" customHeight="1">
      <c r="S374" s="239"/>
      <c r="AE374" s="174"/>
    </row>
    <row r="375" ht="15.75" customHeight="1">
      <c r="S375" s="239"/>
      <c r="AE375" s="174"/>
    </row>
    <row r="376" ht="15.75" customHeight="1">
      <c r="S376" s="239"/>
      <c r="AE376" s="174"/>
    </row>
    <row r="377" ht="15.75" customHeight="1">
      <c r="S377" s="239"/>
      <c r="AE377" s="174"/>
    </row>
    <row r="378" ht="15.75" customHeight="1">
      <c r="S378" s="239"/>
      <c r="AE378" s="174"/>
    </row>
    <row r="379" ht="15.75" customHeight="1">
      <c r="S379" s="239"/>
      <c r="AE379" s="174"/>
    </row>
    <row r="380" ht="15.75" customHeight="1">
      <c r="S380" s="239"/>
      <c r="AE380" s="174"/>
    </row>
    <row r="381" ht="15.75" customHeight="1">
      <c r="S381" s="239"/>
      <c r="AE381" s="174"/>
    </row>
    <row r="382" ht="15.75" customHeight="1">
      <c r="S382" s="239"/>
      <c r="AE382" s="174"/>
    </row>
    <row r="383" ht="15.75" customHeight="1">
      <c r="S383" s="239"/>
      <c r="AE383" s="174"/>
    </row>
    <row r="384" ht="15.75" customHeight="1">
      <c r="S384" s="239"/>
      <c r="AE384" s="174"/>
    </row>
    <row r="385" ht="15.75" customHeight="1">
      <c r="S385" s="239"/>
      <c r="AE385" s="174"/>
    </row>
    <row r="386" ht="15.75" customHeight="1">
      <c r="S386" s="239"/>
      <c r="AE386" s="174"/>
    </row>
    <row r="387" ht="15.75" customHeight="1">
      <c r="S387" s="239"/>
      <c r="AE387" s="174"/>
    </row>
    <row r="388" ht="15.75" customHeight="1">
      <c r="S388" s="239"/>
      <c r="AE388" s="174"/>
    </row>
    <row r="389" ht="15.75" customHeight="1">
      <c r="S389" s="239"/>
      <c r="AE389" s="174"/>
    </row>
    <row r="390" ht="15.75" customHeight="1">
      <c r="S390" s="239"/>
      <c r="AE390" s="174"/>
    </row>
    <row r="391" ht="15.75" customHeight="1">
      <c r="S391" s="239"/>
      <c r="AE391" s="174"/>
    </row>
    <row r="392" ht="15.75" customHeight="1">
      <c r="S392" s="239"/>
      <c r="AE392" s="174"/>
    </row>
    <row r="393" ht="15.75" customHeight="1">
      <c r="S393" s="239"/>
      <c r="AE393" s="174"/>
    </row>
    <row r="394" ht="15.75" customHeight="1">
      <c r="S394" s="239"/>
      <c r="AE394" s="174"/>
    </row>
    <row r="395" ht="15.75" customHeight="1">
      <c r="S395" s="239"/>
      <c r="AE395" s="174"/>
    </row>
    <row r="396" ht="15.75" customHeight="1">
      <c r="S396" s="239"/>
      <c r="AE396" s="174"/>
    </row>
    <row r="397" ht="15.75" customHeight="1">
      <c r="S397" s="239"/>
      <c r="AE397" s="174"/>
    </row>
    <row r="398" ht="15.75" customHeight="1">
      <c r="S398" s="239"/>
      <c r="AE398" s="174"/>
    </row>
    <row r="399" ht="15.75" customHeight="1">
      <c r="S399" s="239"/>
      <c r="AE399" s="174"/>
    </row>
    <row r="400" ht="15.75" customHeight="1">
      <c r="S400" s="239"/>
      <c r="AE400" s="174"/>
    </row>
    <row r="401" ht="15.75" customHeight="1">
      <c r="S401" s="239"/>
      <c r="AE401" s="174"/>
    </row>
    <row r="402" ht="15.75" customHeight="1">
      <c r="S402" s="239"/>
      <c r="AE402" s="174"/>
    </row>
    <row r="403" ht="15.75" customHeight="1">
      <c r="S403" s="239"/>
      <c r="AE403" s="174"/>
    </row>
    <row r="404" ht="15.75" customHeight="1">
      <c r="S404" s="239"/>
      <c r="AE404" s="174"/>
    </row>
    <row r="405" ht="15.75" customHeight="1">
      <c r="S405" s="239"/>
      <c r="AE405" s="174"/>
    </row>
    <row r="406" ht="15.75" customHeight="1">
      <c r="S406" s="239"/>
      <c r="AE406" s="174"/>
    </row>
    <row r="407" ht="15.75" customHeight="1">
      <c r="S407" s="239"/>
      <c r="AE407" s="174"/>
    </row>
    <row r="408" ht="15.75" customHeight="1">
      <c r="S408" s="239"/>
      <c r="AE408" s="174"/>
    </row>
    <row r="409" ht="15.75" customHeight="1">
      <c r="S409" s="239"/>
      <c r="AE409" s="174"/>
    </row>
    <row r="410" ht="15.75" customHeight="1">
      <c r="S410" s="239"/>
      <c r="AE410" s="174"/>
    </row>
    <row r="411" ht="15.75" customHeight="1">
      <c r="S411" s="239"/>
      <c r="AE411" s="174"/>
    </row>
    <row r="412" ht="15.75" customHeight="1">
      <c r="S412" s="239"/>
      <c r="AE412" s="174"/>
    </row>
    <row r="413" ht="15.75" customHeight="1">
      <c r="S413" s="239"/>
      <c r="AE413" s="174"/>
    </row>
    <row r="414" ht="15.75" customHeight="1">
      <c r="S414" s="239"/>
      <c r="AE414" s="174"/>
    </row>
    <row r="415" ht="15.75" customHeight="1">
      <c r="S415" s="239"/>
      <c r="AE415" s="174"/>
    </row>
    <row r="416" ht="15.75" customHeight="1">
      <c r="S416" s="239"/>
      <c r="AE416" s="174"/>
    </row>
    <row r="417" ht="15.75" customHeight="1">
      <c r="S417" s="239"/>
      <c r="AE417" s="174"/>
    </row>
    <row r="418" ht="15.75" customHeight="1">
      <c r="S418" s="239"/>
      <c r="AE418" s="174"/>
    </row>
    <row r="419" ht="15.75" customHeight="1">
      <c r="S419" s="239"/>
      <c r="AE419" s="174"/>
    </row>
    <row r="420" ht="15.75" customHeight="1">
      <c r="S420" s="239"/>
      <c r="AE420" s="174"/>
    </row>
    <row r="421" ht="15.75" customHeight="1">
      <c r="S421" s="239"/>
      <c r="AE421" s="174"/>
    </row>
    <row r="422" ht="15.75" customHeight="1">
      <c r="S422" s="239"/>
      <c r="AE422" s="174"/>
    </row>
    <row r="423" ht="15.75" customHeight="1">
      <c r="S423" s="239"/>
      <c r="AE423" s="174"/>
    </row>
    <row r="424" ht="15.75" customHeight="1">
      <c r="S424" s="239"/>
      <c r="AE424" s="174"/>
    </row>
    <row r="425" ht="15.75" customHeight="1">
      <c r="S425" s="239"/>
      <c r="AE425" s="174"/>
    </row>
    <row r="426" ht="15.75" customHeight="1">
      <c r="S426" s="239"/>
      <c r="AE426" s="174"/>
    </row>
    <row r="427" ht="15.75" customHeight="1">
      <c r="S427" s="239"/>
      <c r="AE427" s="174"/>
    </row>
    <row r="428" ht="15.75" customHeight="1">
      <c r="S428" s="239"/>
      <c r="AE428" s="174"/>
    </row>
    <row r="429" ht="15.75" customHeight="1">
      <c r="S429" s="239"/>
      <c r="AE429" s="174"/>
    </row>
    <row r="430" ht="15.75" customHeight="1">
      <c r="S430" s="239"/>
      <c r="AE430" s="174"/>
    </row>
    <row r="431" ht="15.75" customHeight="1">
      <c r="S431" s="239"/>
      <c r="AE431" s="174"/>
    </row>
    <row r="432" ht="15.75" customHeight="1">
      <c r="S432" s="239"/>
      <c r="AE432" s="174"/>
    </row>
    <row r="433" ht="15.75" customHeight="1">
      <c r="S433" s="239"/>
      <c r="AE433" s="174"/>
    </row>
    <row r="434" ht="15.75" customHeight="1">
      <c r="S434" s="239"/>
      <c r="AE434" s="174"/>
    </row>
    <row r="435" ht="15.75" customHeight="1">
      <c r="S435" s="239"/>
      <c r="AE435" s="174"/>
    </row>
    <row r="436" ht="15.75" customHeight="1">
      <c r="S436" s="239"/>
      <c r="AE436" s="174"/>
    </row>
    <row r="437" ht="15.75" customHeight="1">
      <c r="S437" s="239"/>
      <c r="AE437" s="174"/>
    </row>
    <row r="438" ht="15.75" customHeight="1">
      <c r="S438" s="239"/>
      <c r="AE438" s="174"/>
    </row>
    <row r="439" ht="15.75" customHeight="1">
      <c r="S439" s="239"/>
      <c r="AE439" s="174"/>
    </row>
    <row r="440" ht="15.75" customHeight="1">
      <c r="S440" s="239"/>
      <c r="AE440" s="174"/>
    </row>
    <row r="441" ht="15.75" customHeight="1">
      <c r="S441" s="239"/>
      <c r="AE441" s="174"/>
    </row>
    <row r="442" ht="15.75" customHeight="1">
      <c r="S442" s="239"/>
      <c r="AE442" s="174"/>
    </row>
    <row r="443" ht="15.75" customHeight="1">
      <c r="S443" s="239"/>
      <c r="AE443" s="174"/>
    </row>
    <row r="444" ht="15.75" customHeight="1">
      <c r="S444" s="239"/>
      <c r="AE444" s="174"/>
    </row>
    <row r="445" ht="15.75" customHeight="1">
      <c r="S445" s="239"/>
      <c r="AE445" s="174"/>
    </row>
    <row r="446" ht="15.75" customHeight="1">
      <c r="S446" s="239"/>
      <c r="AE446" s="174"/>
    </row>
    <row r="447" ht="15.75" customHeight="1">
      <c r="S447" s="239"/>
      <c r="AE447" s="174"/>
    </row>
    <row r="448" ht="15.75" customHeight="1">
      <c r="S448" s="239"/>
      <c r="AE448" s="174"/>
    </row>
    <row r="449" ht="15.75" customHeight="1">
      <c r="S449" s="239"/>
      <c r="AE449" s="174"/>
    </row>
    <row r="450" ht="15.75" customHeight="1">
      <c r="S450" s="239"/>
      <c r="AE450" s="174"/>
    </row>
    <row r="451" ht="15.75" customHeight="1">
      <c r="S451" s="239"/>
      <c r="AE451" s="174"/>
    </row>
    <row r="452" ht="15.75" customHeight="1">
      <c r="S452" s="239"/>
      <c r="AE452" s="174"/>
    </row>
    <row r="453" ht="15.75" customHeight="1">
      <c r="S453" s="239"/>
      <c r="AE453" s="174"/>
    </row>
    <row r="454" ht="15.75" customHeight="1">
      <c r="S454" s="239"/>
      <c r="AE454" s="174"/>
    </row>
    <row r="455" ht="15.75" customHeight="1">
      <c r="S455" s="239"/>
      <c r="AE455" s="174"/>
    </row>
    <row r="456" ht="15.75" customHeight="1">
      <c r="S456" s="239"/>
      <c r="AE456" s="174"/>
    </row>
    <row r="457" ht="15.75" customHeight="1">
      <c r="S457" s="239"/>
      <c r="AE457" s="174"/>
    </row>
    <row r="458" ht="15.75" customHeight="1">
      <c r="S458" s="239"/>
      <c r="AE458" s="174"/>
    </row>
    <row r="459" ht="15.75" customHeight="1">
      <c r="S459" s="239"/>
      <c r="AE459" s="174"/>
    </row>
    <row r="460" ht="15.75" customHeight="1">
      <c r="S460" s="239"/>
      <c r="AE460" s="174"/>
    </row>
    <row r="461" ht="15.75" customHeight="1">
      <c r="S461" s="239"/>
      <c r="AE461" s="174"/>
    </row>
    <row r="462" ht="15.75" customHeight="1">
      <c r="S462" s="239"/>
      <c r="AE462" s="174"/>
    </row>
    <row r="463" ht="15.75" customHeight="1">
      <c r="S463" s="239"/>
      <c r="AE463" s="174"/>
    </row>
    <row r="464" ht="15.75" customHeight="1">
      <c r="S464" s="239"/>
      <c r="AE464" s="174"/>
    </row>
    <row r="465" ht="15.75" customHeight="1">
      <c r="S465" s="239"/>
      <c r="AE465" s="174"/>
    </row>
    <row r="466" ht="15.75" customHeight="1">
      <c r="S466" s="239"/>
      <c r="AE466" s="174"/>
    </row>
    <row r="467" ht="15.75" customHeight="1">
      <c r="S467" s="239"/>
      <c r="AE467" s="174"/>
    </row>
    <row r="468" ht="15.75" customHeight="1">
      <c r="S468" s="239"/>
      <c r="AE468" s="174"/>
    </row>
    <row r="469" ht="15.75" customHeight="1">
      <c r="S469" s="239"/>
      <c r="AE469" s="174"/>
    </row>
    <row r="470" ht="15.75" customHeight="1">
      <c r="S470" s="239"/>
      <c r="AE470" s="174"/>
    </row>
    <row r="471" ht="15.75" customHeight="1">
      <c r="S471" s="239"/>
      <c r="AE471" s="174"/>
    </row>
    <row r="472" ht="15.75" customHeight="1">
      <c r="S472" s="239"/>
      <c r="AE472" s="174"/>
    </row>
    <row r="473" ht="15.75" customHeight="1">
      <c r="S473" s="239"/>
      <c r="AE473" s="174"/>
    </row>
    <row r="474" ht="15.75" customHeight="1">
      <c r="S474" s="239"/>
      <c r="AE474" s="174"/>
    </row>
    <row r="475" ht="15.75" customHeight="1">
      <c r="S475" s="239"/>
      <c r="AE475" s="174"/>
    </row>
    <row r="476" ht="15.75" customHeight="1">
      <c r="S476" s="239"/>
      <c r="AE476" s="174"/>
    </row>
    <row r="477" ht="15.75" customHeight="1">
      <c r="S477" s="239"/>
      <c r="AE477" s="174"/>
    </row>
    <row r="478" ht="15.75" customHeight="1">
      <c r="S478" s="239"/>
      <c r="AE478" s="174"/>
    </row>
    <row r="479" ht="15.75" customHeight="1">
      <c r="S479" s="239"/>
      <c r="AE479" s="174"/>
    </row>
    <row r="480" ht="15.75" customHeight="1">
      <c r="S480" s="239"/>
      <c r="AE480" s="174"/>
    </row>
    <row r="481" ht="15.75" customHeight="1">
      <c r="S481" s="239"/>
      <c r="AE481" s="174"/>
    </row>
    <row r="482" ht="15.75" customHeight="1">
      <c r="S482" s="239"/>
      <c r="AE482" s="174"/>
    </row>
    <row r="483" ht="15.75" customHeight="1">
      <c r="S483" s="239"/>
      <c r="AE483" s="174"/>
    </row>
    <row r="484" ht="15.75" customHeight="1">
      <c r="S484" s="239"/>
      <c r="AE484" s="174"/>
    </row>
    <row r="485" ht="15.75" customHeight="1">
      <c r="S485" s="239"/>
      <c r="AE485" s="174"/>
    </row>
    <row r="486" ht="15.75" customHeight="1">
      <c r="S486" s="239"/>
      <c r="AE486" s="174"/>
    </row>
    <row r="487" ht="15.75" customHeight="1">
      <c r="S487" s="239"/>
      <c r="AE487" s="174"/>
    </row>
    <row r="488" ht="15.75" customHeight="1">
      <c r="S488" s="239"/>
      <c r="AE488" s="174"/>
    </row>
    <row r="489" ht="15.75" customHeight="1">
      <c r="S489" s="239"/>
      <c r="AE489" s="174"/>
    </row>
    <row r="490" ht="15.75" customHeight="1">
      <c r="S490" s="239"/>
      <c r="AE490" s="174"/>
    </row>
    <row r="491" ht="15.75" customHeight="1">
      <c r="S491" s="239"/>
      <c r="AE491" s="174"/>
    </row>
    <row r="492" ht="15.75" customHeight="1">
      <c r="S492" s="239"/>
      <c r="AE492" s="174"/>
    </row>
    <row r="493" ht="15.75" customHeight="1">
      <c r="S493" s="239"/>
      <c r="AE493" s="174"/>
    </row>
    <row r="494" ht="15.75" customHeight="1">
      <c r="S494" s="239"/>
      <c r="AE494" s="174"/>
    </row>
    <row r="495" ht="15.75" customHeight="1">
      <c r="S495" s="239"/>
      <c r="AE495" s="174"/>
    </row>
    <row r="496" ht="15.75" customHeight="1">
      <c r="S496" s="239"/>
      <c r="AE496" s="174"/>
    </row>
    <row r="497" ht="15.75" customHeight="1">
      <c r="S497" s="239"/>
      <c r="AE497" s="174"/>
    </row>
    <row r="498" ht="15.75" customHeight="1">
      <c r="S498" s="239"/>
      <c r="AE498" s="174"/>
    </row>
    <row r="499" ht="15.75" customHeight="1">
      <c r="S499" s="239"/>
      <c r="AE499" s="174"/>
    </row>
    <row r="500" ht="15.75" customHeight="1">
      <c r="S500" s="239"/>
      <c r="AE500" s="174"/>
    </row>
    <row r="501" ht="15.75" customHeight="1">
      <c r="S501" s="239"/>
      <c r="AE501" s="174"/>
    </row>
    <row r="502" ht="15.75" customHeight="1">
      <c r="S502" s="239"/>
      <c r="AE502" s="174"/>
    </row>
    <row r="503" ht="15.75" customHeight="1">
      <c r="S503" s="239"/>
      <c r="AE503" s="174"/>
    </row>
    <row r="504" ht="15.75" customHeight="1">
      <c r="S504" s="239"/>
      <c r="AE504" s="174"/>
    </row>
    <row r="505" ht="15.75" customHeight="1">
      <c r="S505" s="239"/>
      <c r="AE505" s="174"/>
    </row>
    <row r="506" ht="15.75" customHeight="1">
      <c r="S506" s="239"/>
      <c r="AE506" s="174"/>
    </row>
    <row r="507" ht="15.75" customHeight="1">
      <c r="S507" s="239"/>
      <c r="AE507" s="174"/>
    </row>
    <row r="508" ht="15.75" customHeight="1">
      <c r="S508" s="239"/>
      <c r="AE508" s="174"/>
    </row>
    <row r="509" ht="15.75" customHeight="1">
      <c r="S509" s="239"/>
      <c r="AE509" s="174"/>
    </row>
    <row r="510" ht="15.75" customHeight="1">
      <c r="S510" s="239"/>
      <c r="AE510" s="174"/>
    </row>
    <row r="511" ht="15.75" customHeight="1">
      <c r="S511" s="239"/>
      <c r="AE511" s="174"/>
    </row>
    <row r="512" ht="15.75" customHeight="1">
      <c r="S512" s="239"/>
      <c r="AE512" s="174"/>
    </row>
    <row r="513" ht="15.75" customHeight="1">
      <c r="S513" s="239"/>
      <c r="AE513" s="174"/>
    </row>
    <row r="514" ht="15.75" customHeight="1">
      <c r="S514" s="239"/>
      <c r="AE514" s="174"/>
    </row>
    <row r="515" ht="15.75" customHeight="1">
      <c r="S515" s="239"/>
      <c r="AE515" s="174"/>
    </row>
    <row r="516" ht="15.75" customHeight="1">
      <c r="S516" s="239"/>
      <c r="AE516" s="174"/>
    </row>
    <row r="517" ht="15.75" customHeight="1">
      <c r="S517" s="239"/>
      <c r="AE517" s="174"/>
    </row>
    <row r="518" ht="15.75" customHeight="1">
      <c r="S518" s="239"/>
      <c r="AE518" s="174"/>
    </row>
    <row r="519" ht="15.75" customHeight="1">
      <c r="S519" s="239"/>
      <c r="AE519" s="174"/>
    </row>
    <row r="520" ht="15.75" customHeight="1">
      <c r="S520" s="239"/>
      <c r="AE520" s="174"/>
    </row>
    <row r="521" ht="15.75" customHeight="1">
      <c r="S521" s="239"/>
      <c r="AE521" s="174"/>
    </row>
    <row r="522" ht="15.75" customHeight="1">
      <c r="S522" s="239"/>
      <c r="AE522" s="174"/>
    </row>
    <row r="523" ht="15.75" customHeight="1">
      <c r="S523" s="239"/>
      <c r="AE523" s="174"/>
    </row>
    <row r="524" ht="15.75" customHeight="1">
      <c r="S524" s="239"/>
      <c r="AE524" s="174"/>
    </row>
    <row r="525" ht="15.75" customHeight="1">
      <c r="S525" s="239"/>
      <c r="AE525" s="174"/>
    </row>
    <row r="526" ht="15.75" customHeight="1">
      <c r="S526" s="239"/>
      <c r="AE526" s="174"/>
    </row>
    <row r="527" ht="15.75" customHeight="1">
      <c r="S527" s="239"/>
      <c r="AE527" s="174"/>
    </row>
    <row r="528" ht="15.75" customHeight="1">
      <c r="S528" s="239"/>
      <c r="AE528" s="174"/>
    </row>
    <row r="529" ht="15.75" customHeight="1">
      <c r="S529" s="239"/>
      <c r="AE529" s="174"/>
    </row>
    <row r="530" ht="15.75" customHeight="1">
      <c r="S530" s="239"/>
      <c r="AE530" s="174"/>
    </row>
    <row r="531" ht="15.75" customHeight="1">
      <c r="S531" s="239"/>
      <c r="AE531" s="174"/>
    </row>
    <row r="532" ht="15.75" customHeight="1">
      <c r="S532" s="239"/>
      <c r="AE532" s="174"/>
    </row>
    <row r="533" ht="15.75" customHeight="1">
      <c r="S533" s="239"/>
      <c r="AE533" s="174"/>
    </row>
    <row r="534" ht="15.75" customHeight="1">
      <c r="S534" s="239"/>
      <c r="AE534" s="174"/>
    </row>
    <row r="535" ht="15.75" customHeight="1">
      <c r="S535" s="239"/>
      <c r="AE535" s="174"/>
    </row>
    <row r="536" ht="15.75" customHeight="1">
      <c r="S536" s="239"/>
      <c r="AE536" s="174"/>
    </row>
    <row r="537" ht="15.75" customHeight="1">
      <c r="S537" s="239"/>
      <c r="AE537" s="174"/>
    </row>
    <row r="538" ht="15.75" customHeight="1">
      <c r="S538" s="239"/>
      <c r="AE538" s="174"/>
    </row>
    <row r="539" ht="15.75" customHeight="1">
      <c r="S539" s="239"/>
      <c r="AE539" s="174"/>
    </row>
    <row r="540" ht="15.75" customHeight="1">
      <c r="S540" s="239"/>
      <c r="AE540" s="174"/>
    </row>
    <row r="541" ht="15.75" customHeight="1">
      <c r="S541" s="239"/>
      <c r="AE541" s="174"/>
    </row>
    <row r="542" ht="15.75" customHeight="1">
      <c r="S542" s="239"/>
      <c r="AE542" s="174"/>
    </row>
    <row r="543" ht="15.75" customHeight="1">
      <c r="S543" s="239"/>
      <c r="AE543" s="174"/>
    </row>
    <row r="544" ht="15.75" customHeight="1">
      <c r="S544" s="239"/>
      <c r="AE544" s="174"/>
    </row>
    <row r="545" ht="15.75" customHeight="1">
      <c r="S545" s="239"/>
      <c r="AE545" s="174"/>
    </row>
    <row r="546" ht="15.75" customHeight="1">
      <c r="S546" s="239"/>
      <c r="AE546" s="174"/>
    </row>
    <row r="547" ht="15.75" customHeight="1">
      <c r="S547" s="239"/>
      <c r="AE547" s="174"/>
    </row>
    <row r="548" ht="15.75" customHeight="1">
      <c r="S548" s="239"/>
      <c r="AE548" s="174"/>
    </row>
    <row r="549" ht="15.75" customHeight="1">
      <c r="S549" s="239"/>
      <c r="AE549" s="174"/>
    </row>
    <row r="550" ht="15.75" customHeight="1">
      <c r="S550" s="239"/>
      <c r="AE550" s="174"/>
    </row>
    <row r="551" ht="15.75" customHeight="1">
      <c r="S551" s="239"/>
      <c r="AE551" s="174"/>
    </row>
    <row r="552" ht="15.75" customHeight="1">
      <c r="S552" s="239"/>
      <c r="AE552" s="174"/>
    </row>
    <row r="553" ht="15.75" customHeight="1">
      <c r="S553" s="239"/>
      <c r="AE553" s="174"/>
    </row>
    <row r="554" ht="15.75" customHeight="1">
      <c r="S554" s="239"/>
      <c r="AE554" s="174"/>
    </row>
    <row r="555" ht="15.75" customHeight="1">
      <c r="S555" s="239"/>
      <c r="AE555" s="174"/>
    </row>
    <row r="556" ht="15.75" customHeight="1">
      <c r="S556" s="239"/>
      <c r="AE556" s="174"/>
    </row>
    <row r="557" ht="15.75" customHeight="1">
      <c r="S557" s="239"/>
      <c r="AE557" s="174"/>
    </row>
    <row r="558" ht="15.75" customHeight="1">
      <c r="S558" s="239"/>
      <c r="AE558" s="174"/>
    </row>
    <row r="559" ht="15.75" customHeight="1">
      <c r="S559" s="239"/>
      <c r="AE559" s="174"/>
    </row>
    <row r="560" ht="15.75" customHeight="1">
      <c r="S560" s="239"/>
      <c r="AE560" s="174"/>
    </row>
    <row r="561" ht="15.75" customHeight="1">
      <c r="S561" s="239"/>
      <c r="AE561" s="174"/>
    </row>
    <row r="562" ht="15.75" customHeight="1">
      <c r="S562" s="239"/>
      <c r="AE562" s="174"/>
    </row>
    <row r="563" ht="15.75" customHeight="1">
      <c r="S563" s="239"/>
      <c r="AE563" s="174"/>
    </row>
    <row r="564" ht="15.75" customHeight="1">
      <c r="S564" s="239"/>
      <c r="AE564" s="174"/>
    </row>
    <row r="565" ht="15.75" customHeight="1">
      <c r="S565" s="239"/>
      <c r="AE565" s="174"/>
    </row>
    <row r="566" ht="15.75" customHeight="1">
      <c r="S566" s="239"/>
      <c r="AE566" s="174"/>
    </row>
    <row r="567" ht="15.75" customHeight="1">
      <c r="S567" s="239"/>
      <c r="AE567" s="174"/>
    </row>
    <row r="568" ht="15.75" customHeight="1">
      <c r="S568" s="239"/>
      <c r="AE568" s="174"/>
    </row>
    <row r="569" ht="15.75" customHeight="1">
      <c r="S569" s="239"/>
      <c r="AE569" s="174"/>
    </row>
    <row r="570" ht="15.75" customHeight="1">
      <c r="S570" s="239"/>
      <c r="AE570" s="174"/>
    </row>
    <row r="571" ht="15.75" customHeight="1">
      <c r="S571" s="239"/>
      <c r="AE571" s="174"/>
    </row>
    <row r="572" ht="15.75" customHeight="1">
      <c r="S572" s="239"/>
      <c r="AE572" s="174"/>
    </row>
    <row r="573" ht="15.75" customHeight="1">
      <c r="S573" s="239"/>
      <c r="AE573" s="174"/>
    </row>
    <row r="574" ht="15.75" customHeight="1">
      <c r="S574" s="239"/>
      <c r="AE574" s="174"/>
    </row>
    <row r="575" ht="15.75" customHeight="1">
      <c r="S575" s="239"/>
      <c r="AE575" s="174"/>
    </row>
    <row r="576" ht="15.75" customHeight="1">
      <c r="S576" s="239"/>
      <c r="AE576" s="174"/>
    </row>
    <row r="577" ht="15.75" customHeight="1">
      <c r="S577" s="239"/>
      <c r="AE577" s="174"/>
    </row>
    <row r="578" ht="15.75" customHeight="1">
      <c r="S578" s="239"/>
      <c r="AE578" s="174"/>
    </row>
    <row r="579" ht="15.75" customHeight="1">
      <c r="S579" s="239"/>
      <c r="AE579" s="174"/>
    </row>
    <row r="580" ht="15.75" customHeight="1">
      <c r="S580" s="239"/>
      <c r="AE580" s="174"/>
    </row>
    <row r="581" ht="15.75" customHeight="1">
      <c r="S581" s="239"/>
      <c r="AE581" s="174"/>
    </row>
    <row r="582" ht="15.75" customHeight="1">
      <c r="S582" s="239"/>
      <c r="AE582" s="174"/>
    </row>
    <row r="583" ht="15.75" customHeight="1">
      <c r="S583" s="239"/>
      <c r="AE583" s="174"/>
    </row>
    <row r="584" ht="15.75" customHeight="1">
      <c r="S584" s="239"/>
      <c r="AE584" s="174"/>
    </row>
    <row r="585" ht="15.75" customHeight="1">
      <c r="S585" s="239"/>
      <c r="AE585" s="174"/>
    </row>
    <row r="586" ht="15.75" customHeight="1">
      <c r="S586" s="239"/>
      <c r="AE586" s="174"/>
    </row>
    <row r="587" ht="15.75" customHeight="1">
      <c r="S587" s="239"/>
      <c r="AE587" s="174"/>
    </row>
    <row r="588" ht="15.75" customHeight="1">
      <c r="S588" s="239"/>
      <c r="AE588" s="174"/>
    </row>
    <row r="589" ht="15.75" customHeight="1">
      <c r="S589" s="239"/>
      <c r="AE589" s="174"/>
    </row>
    <row r="590" ht="15.75" customHeight="1">
      <c r="S590" s="239"/>
      <c r="AE590" s="174"/>
    </row>
    <row r="591" ht="15.75" customHeight="1">
      <c r="S591" s="239"/>
      <c r="AE591" s="174"/>
    </row>
    <row r="592" ht="15.75" customHeight="1">
      <c r="S592" s="239"/>
      <c r="AE592" s="174"/>
    </row>
    <row r="593" ht="15.75" customHeight="1">
      <c r="S593" s="239"/>
      <c r="AE593" s="174"/>
    </row>
    <row r="594" ht="15.75" customHeight="1">
      <c r="S594" s="239"/>
      <c r="AE594" s="174"/>
    </row>
    <row r="595" ht="15.75" customHeight="1">
      <c r="S595" s="239"/>
      <c r="AE595" s="174"/>
    </row>
    <row r="596" ht="15.75" customHeight="1">
      <c r="S596" s="239"/>
      <c r="AE596" s="174"/>
    </row>
    <row r="597" ht="15.75" customHeight="1">
      <c r="S597" s="239"/>
      <c r="AE597" s="174"/>
    </row>
    <row r="598" ht="15.75" customHeight="1">
      <c r="S598" s="239"/>
      <c r="AE598" s="174"/>
    </row>
    <row r="599" ht="15.75" customHeight="1">
      <c r="S599" s="239"/>
      <c r="AE599" s="174"/>
    </row>
    <row r="600" ht="15.75" customHeight="1">
      <c r="S600" s="239"/>
      <c r="AE600" s="174"/>
    </row>
    <row r="601" ht="15.75" customHeight="1">
      <c r="S601" s="239"/>
      <c r="AE601" s="174"/>
    </row>
    <row r="602" ht="15.75" customHeight="1">
      <c r="S602" s="239"/>
      <c r="AE602" s="174"/>
    </row>
    <row r="603" ht="15.75" customHeight="1">
      <c r="S603" s="239"/>
      <c r="AE603" s="174"/>
    </row>
    <row r="604" ht="15.75" customHeight="1">
      <c r="S604" s="239"/>
      <c r="AE604" s="174"/>
    </row>
    <row r="605" ht="15.75" customHeight="1">
      <c r="S605" s="239"/>
      <c r="AE605" s="174"/>
    </row>
    <row r="606" ht="15.75" customHeight="1">
      <c r="S606" s="239"/>
      <c r="AE606" s="174"/>
    </row>
    <row r="607" ht="15.75" customHeight="1">
      <c r="S607" s="239"/>
      <c r="AE607" s="174"/>
    </row>
    <row r="608" ht="15.75" customHeight="1">
      <c r="S608" s="239"/>
      <c r="AE608" s="174"/>
    </row>
    <row r="609" ht="15.75" customHeight="1">
      <c r="S609" s="239"/>
      <c r="AE609" s="174"/>
    </row>
    <row r="610" ht="15.75" customHeight="1">
      <c r="S610" s="239"/>
      <c r="AE610" s="174"/>
    </row>
    <row r="611" ht="15.75" customHeight="1">
      <c r="S611" s="239"/>
      <c r="AE611" s="174"/>
    </row>
    <row r="612" ht="15.75" customHeight="1">
      <c r="S612" s="239"/>
      <c r="AE612" s="174"/>
    </row>
    <row r="613" ht="15.75" customHeight="1">
      <c r="S613" s="239"/>
      <c r="AE613" s="174"/>
    </row>
    <row r="614" ht="15.75" customHeight="1">
      <c r="S614" s="239"/>
      <c r="AE614" s="174"/>
    </row>
    <row r="615" ht="15.75" customHeight="1">
      <c r="S615" s="239"/>
      <c r="AE615" s="174"/>
    </row>
    <row r="616" ht="15.75" customHeight="1">
      <c r="S616" s="239"/>
      <c r="AE616" s="174"/>
    </row>
    <row r="617" ht="15.75" customHeight="1">
      <c r="S617" s="239"/>
      <c r="AE617" s="174"/>
    </row>
    <row r="618" ht="15.75" customHeight="1">
      <c r="S618" s="239"/>
      <c r="AE618" s="174"/>
    </row>
    <row r="619" ht="15.75" customHeight="1">
      <c r="S619" s="239"/>
      <c r="AE619" s="174"/>
    </row>
    <row r="620" ht="15.75" customHeight="1">
      <c r="S620" s="239"/>
      <c r="AE620" s="174"/>
    </row>
    <row r="621" ht="15.75" customHeight="1">
      <c r="S621" s="239"/>
      <c r="AE621" s="174"/>
    </row>
    <row r="622" ht="15.75" customHeight="1">
      <c r="S622" s="239"/>
      <c r="AE622" s="174"/>
    </row>
    <row r="623" ht="15.75" customHeight="1">
      <c r="S623" s="239"/>
      <c r="AE623" s="174"/>
    </row>
    <row r="624" ht="15.75" customHeight="1">
      <c r="S624" s="239"/>
      <c r="AE624" s="174"/>
    </row>
    <row r="625" ht="15.75" customHeight="1">
      <c r="S625" s="239"/>
      <c r="AE625" s="174"/>
    </row>
    <row r="626" ht="15.75" customHeight="1">
      <c r="S626" s="239"/>
      <c r="AE626" s="174"/>
    </row>
    <row r="627" ht="15.75" customHeight="1">
      <c r="S627" s="239"/>
      <c r="AE627" s="174"/>
    </row>
    <row r="628" ht="15.75" customHeight="1">
      <c r="S628" s="239"/>
      <c r="AE628" s="174"/>
    </row>
    <row r="629" ht="15.75" customHeight="1">
      <c r="S629" s="239"/>
      <c r="AE629" s="174"/>
    </row>
    <row r="630" ht="15.75" customHeight="1">
      <c r="S630" s="239"/>
      <c r="AE630" s="174"/>
    </row>
    <row r="631" ht="15.75" customHeight="1">
      <c r="S631" s="239"/>
      <c r="AE631" s="174"/>
    </row>
    <row r="632" ht="15.75" customHeight="1">
      <c r="S632" s="239"/>
      <c r="AE632" s="174"/>
    </row>
    <row r="633" ht="15.75" customHeight="1">
      <c r="S633" s="239"/>
      <c r="AE633" s="174"/>
    </row>
    <row r="634" ht="15.75" customHeight="1">
      <c r="S634" s="239"/>
      <c r="AE634" s="174"/>
    </row>
    <row r="635" ht="15.75" customHeight="1">
      <c r="S635" s="239"/>
      <c r="AE635" s="174"/>
    </row>
    <row r="636" ht="15.75" customHeight="1">
      <c r="S636" s="239"/>
      <c r="AE636" s="174"/>
    </row>
    <row r="637" ht="15.75" customHeight="1">
      <c r="S637" s="239"/>
      <c r="AE637" s="174"/>
    </row>
    <row r="638" ht="15.75" customHeight="1">
      <c r="S638" s="239"/>
      <c r="AE638" s="174"/>
    </row>
    <row r="639" ht="15.75" customHeight="1">
      <c r="S639" s="239"/>
      <c r="AE639" s="174"/>
    </row>
    <row r="640" ht="15.75" customHeight="1">
      <c r="S640" s="239"/>
      <c r="AE640" s="174"/>
    </row>
    <row r="641" ht="15.75" customHeight="1">
      <c r="S641" s="239"/>
      <c r="AE641" s="174"/>
    </row>
    <row r="642" ht="15.75" customHeight="1">
      <c r="S642" s="239"/>
      <c r="AE642" s="174"/>
    </row>
    <row r="643" ht="15.75" customHeight="1">
      <c r="S643" s="239"/>
      <c r="AE643" s="174"/>
    </row>
    <row r="644" ht="15.75" customHeight="1">
      <c r="S644" s="239"/>
      <c r="AE644" s="174"/>
    </row>
    <row r="645" ht="15.75" customHeight="1">
      <c r="S645" s="239"/>
      <c r="AE645" s="174"/>
    </row>
    <row r="646" ht="15.75" customHeight="1">
      <c r="S646" s="239"/>
      <c r="AE646" s="174"/>
    </row>
    <row r="647" ht="15.75" customHeight="1">
      <c r="S647" s="239"/>
      <c r="AE647" s="174"/>
    </row>
    <row r="648" ht="15.75" customHeight="1">
      <c r="S648" s="239"/>
      <c r="AE648" s="174"/>
    </row>
    <row r="649" ht="15.75" customHeight="1">
      <c r="S649" s="239"/>
      <c r="AE649" s="174"/>
    </row>
    <row r="650" ht="15.75" customHeight="1">
      <c r="S650" s="239"/>
      <c r="AE650" s="174"/>
    </row>
    <row r="651" ht="15.75" customHeight="1">
      <c r="S651" s="239"/>
      <c r="AE651" s="174"/>
    </row>
    <row r="652" ht="15.75" customHeight="1">
      <c r="S652" s="239"/>
      <c r="AE652" s="174"/>
    </row>
    <row r="653" ht="15.75" customHeight="1">
      <c r="S653" s="239"/>
      <c r="AE653" s="174"/>
    </row>
    <row r="654" ht="15.75" customHeight="1">
      <c r="S654" s="239"/>
      <c r="AE654" s="174"/>
    </row>
    <row r="655" ht="15.75" customHeight="1">
      <c r="S655" s="239"/>
      <c r="AE655" s="174"/>
    </row>
    <row r="656" ht="15.75" customHeight="1">
      <c r="S656" s="239"/>
      <c r="AE656" s="174"/>
    </row>
    <row r="657" ht="15.75" customHeight="1">
      <c r="S657" s="239"/>
      <c r="AE657" s="174"/>
    </row>
    <row r="658" ht="15.75" customHeight="1">
      <c r="S658" s="239"/>
      <c r="AE658" s="174"/>
    </row>
    <row r="659" ht="15.75" customHeight="1">
      <c r="S659" s="239"/>
      <c r="AE659" s="174"/>
    </row>
    <row r="660" ht="15.75" customHeight="1">
      <c r="S660" s="239"/>
      <c r="AE660" s="174"/>
    </row>
    <row r="661" ht="15.75" customHeight="1">
      <c r="S661" s="239"/>
      <c r="AE661" s="174"/>
    </row>
    <row r="662" ht="15.75" customHeight="1">
      <c r="S662" s="239"/>
      <c r="AE662" s="174"/>
    </row>
    <row r="663" ht="15.75" customHeight="1">
      <c r="S663" s="239"/>
      <c r="AE663" s="174"/>
    </row>
    <row r="664" ht="15.75" customHeight="1">
      <c r="S664" s="239"/>
      <c r="AE664" s="174"/>
    </row>
    <row r="665" ht="15.75" customHeight="1">
      <c r="S665" s="239"/>
      <c r="AE665" s="174"/>
    </row>
    <row r="666" ht="15.75" customHeight="1">
      <c r="S666" s="239"/>
      <c r="AE666" s="174"/>
    </row>
    <row r="667" ht="15.75" customHeight="1">
      <c r="S667" s="239"/>
      <c r="AE667" s="174"/>
    </row>
    <row r="668" ht="15.75" customHeight="1">
      <c r="S668" s="239"/>
      <c r="AE668" s="174"/>
    </row>
    <row r="669" ht="15.75" customHeight="1">
      <c r="S669" s="239"/>
      <c r="AE669" s="174"/>
    </row>
    <row r="670" ht="15.75" customHeight="1">
      <c r="S670" s="239"/>
      <c r="AE670" s="174"/>
    </row>
    <row r="671" ht="15.75" customHeight="1">
      <c r="S671" s="239"/>
      <c r="AE671" s="174"/>
    </row>
    <row r="672" ht="15.75" customHeight="1">
      <c r="S672" s="239"/>
      <c r="AE672" s="174"/>
    </row>
    <row r="673" ht="15.75" customHeight="1">
      <c r="S673" s="239"/>
      <c r="AE673" s="174"/>
    </row>
    <row r="674" ht="15.75" customHeight="1">
      <c r="S674" s="239"/>
      <c r="AE674" s="174"/>
    </row>
    <row r="675" ht="15.75" customHeight="1">
      <c r="S675" s="239"/>
      <c r="AE675" s="174"/>
    </row>
    <row r="676" ht="15.75" customHeight="1">
      <c r="S676" s="239"/>
      <c r="AE676" s="174"/>
    </row>
    <row r="677" ht="15.75" customHeight="1">
      <c r="S677" s="239"/>
      <c r="AE677" s="174"/>
    </row>
    <row r="678" ht="15.75" customHeight="1">
      <c r="S678" s="239"/>
      <c r="AE678" s="174"/>
    </row>
    <row r="679" ht="15.75" customHeight="1">
      <c r="S679" s="239"/>
      <c r="AE679" s="174"/>
    </row>
    <row r="680" ht="15.75" customHeight="1">
      <c r="S680" s="239"/>
      <c r="AE680" s="174"/>
    </row>
    <row r="681" ht="15.75" customHeight="1">
      <c r="S681" s="239"/>
      <c r="AE681" s="174"/>
    </row>
    <row r="682" ht="15.75" customHeight="1">
      <c r="S682" s="239"/>
      <c r="AE682" s="174"/>
    </row>
    <row r="683" ht="15.75" customHeight="1">
      <c r="S683" s="239"/>
      <c r="AE683" s="174"/>
    </row>
    <row r="684" ht="15.75" customHeight="1">
      <c r="S684" s="239"/>
      <c r="AE684" s="174"/>
    </row>
    <row r="685" ht="15.75" customHeight="1">
      <c r="S685" s="239"/>
      <c r="AE685" s="174"/>
    </row>
    <row r="686" ht="15.75" customHeight="1">
      <c r="S686" s="239"/>
      <c r="AE686" s="174"/>
    </row>
    <row r="687" ht="15.75" customHeight="1">
      <c r="S687" s="239"/>
      <c r="AE687" s="174"/>
    </row>
    <row r="688" ht="15.75" customHeight="1">
      <c r="S688" s="239"/>
      <c r="AE688" s="174"/>
    </row>
    <row r="689" ht="15.75" customHeight="1">
      <c r="S689" s="239"/>
      <c r="AE689" s="174"/>
    </row>
    <row r="690" ht="15.75" customHeight="1">
      <c r="S690" s="239"/>
      <c r="AE690" s="174"/>
    </row>
    <row r="691" ht="15.75" customHeight="1">
      <c r="S691" s="239"/>
      <c r="AE691" s="174"/>
    </row>
    <row r="692" ht="15.75" customHeight="1">
      <c r="S692" s="239"/>
      <c r="AE692" s="174"/>
    </row>
    <row r="693" ht="15.75" customHeight="1">
      <c r="S693" s="239"/>
      <c r="AE693" s="174"/>
    </row>
    <row r="694" ht="15.75" customHeight="1">
      <c r="S694" s="239"/>
      <c r="AE694" s="174"/>
    </row>
    <row r="695" ht="15.75" customHeight="1">
      <c r="S695" s="239"/>
      <c r="AE695" s="174"/>
    </row>
    <row r="696" ht="15.75" customHeight="1">
      <c r="S696" s="239"/>
      <c r="AE696" s="174"/>
    </row>
    <row r="697" ht="15.75" customHeight="1">
      <c r="S697" s="239"/>
      <c r="AE697" s="174"/>
    </row>
    <row r="698" ht="15.75" customHeight="1">
      <c r="S698" s="239"/>
      <c r="AE698" s="174"/>
    </row>
    <row r="699" ht="15.75" customHeight="1">
      <c r="S699" s="239"/>
      <c r="AE699" s="174"/>
    </row>
    <row r="700" ht="15.75" customHeight="1">
      <c r="S700" s="239"/>
      <c r="AE700" s="174"/>
    </row>
    <row r="701" ht="15.75" customHeight="1">
      <c r="S701" s="239"/>
      <c r="AE701" s="174"/>
    </row>
    <row r="702" ht="15.75" customHeight="1">
      <c r="S702" s="239"/>
      <c r="AE702" s="174"/>
    </row>
    <row r="703" ht="15.75" customHeight="1">
      <c r="S703" s="239"/>
      <c r="AE703" s="174"/>
    </row>
    <row r="704" ht="15.75" customHeight="1">
      <c r="S704" s="239"/>
      <c r="AE704" s="174"/>
    </row>
    <row r="705" ht="15.75" customHeight="1">
      <c r="S705" s="239"/>
      <c r="AE705" s="174"/>
    </row>
    <row r="706" ht="15.75" customHeight="1">
      <c r="S706" s="239"/>
      <c r="AE706" s="174"/>
    </row>
    <row r="707" ht="15.75" customHeight="1">
      <c r="S707" s="239"/>
      <c r="AE707" s="174"/>
    </row>
    <row r="708" ht="15.75" customHeight="1">
      <c r="S708" s="239"/>
      <c r="AE708" s="174"/>
    </row>
    <row r="709" ht="15.75" customHeight="1">
      <c r="S709" s="239"/>
      <c r="AE709" s="174"/>
    </row>
    <row r="710" ht="15.75" customHeight="1">
      <c r="S710" s="239"/>
      <c r="AE710" s="174"/>
    </row>
    <row r="711" ht="15.75" customHeight="1">
      <c r="S711" s="239"/>
      <c r="AE711" s="174"/>
    </row>
    <row r="712" ht="15.75" customHeight="1">
      <c r="S712" s="239"/>
      <c r="AE712" s="174"/>
    </row>
    <row r="713" ht="15.75" customHeight="1">
      <c r="S713" s="239"/>
      <c r="AE713" s="174"/>
    </row>
    <row r="714" ht="15.75" customHeight="1">
      <c r="S714" s="239"/>
      <c r="AE714" s="174"/>
    </row>
    <row r="715" ht="15.75" customHeight="1">
      <c r="S715" s="239"/>
      <c r="AE715" s="174"/>
    </row>
    <row r="716" ht="15.75" customHeight="1">
      <c r="S716" s="239"/>
      <c r="AE716" s="174"/>
    </row>
    <row r="717" ht="15.75" customHeight="1">
      <c r="S717" s="239"/>
      <c r="AE717" s="174"/>
    </row>
    <row r="718" ht="15.75" customHeight="1">
      <c r="S718" s="239"/>
      <c r="AE718" s="174"/>
    </row>
    <row r="719" ht="15.75" customHeight="1">
      <c r="S719" s="239"/>
      <c r="AE719" s="174"/>
    </row>
    <row r="720" ht="15.75" customHeight="1">
      <c r="S720" s="239"/>
      <c r="AE720" s="174"/>
    </row>
    <row r="721" ht="15.75" customHeight="1">
      <c r="S721" s="239"/>
      <c r="AE721" s="174"/>
    </row>
    <row r="722" ht="15.75" customHeight="1">
      <c r="S722" s="239"/>
      <c r="AE722" s="174"/>
    </row>
    <row r="723" ht="15.75" customHeight="1">
      <c r="S723" s="239"/>
      <c r="AE723" s="174"/>
    </row>
    <row r="724" ht="15.75" customHeight="1">
      <c r="S724" s="239"/>
      <c r="AE724" s="174"/>
    </row>
    <row r="725" ht="15.75" customHeight="1">
      <c r="S725" s="239"/>
      <c r="AE725" s="174"/>
    </row>
    <row r="726" ht="15.75" customHeight="1">
      <c r="S726" s="239"/>
      <c r="AE726" s="174"/>
    </row>
    <row r="727" ht="15.75" customHeight="1">
      <c r="S727" s="239"/>
      <c r="AE727" s="174"/>
    </row>
    <row r="728" ht="15.75" customHeight="1">
      <c r="S728" s="239"/>
      <c r="AE728" s="174"/>
    </row>
    <row r="729" ht="15.75" customHeight="1">
      <c r="S729" s="239"/>
      <c r="AE729" s="174"/>
    </row>
    <row r="730" ht="15.75" customHeight="1">
      <c r="S730" s="239"/>
      <c r="AE730" s="174"/>
    </row>
    <row r="731" ht="15.75" customHeight="1">
      <c r="S731" s="239"/>
      <c r="AE731" s="174"/>
    </row>
    <row r="732" ht="15.75" customHeight="1">
      <c r="S732" s="239"/>
      <c r="AE732" s="174"/>
    </row>
    <row r="733" ht="15.75" customHeight="1">
      <c r="S733" s="239"/>
      <c r="AE733" s="174"/>
    </row>
    <row r="734" ht="15.75" customHeight="1">
      <c r="S734" s="239"/>
      <c r="AE734" s="174"/>
    </row>
    <row r="735" ht="15.75" customHeight="1">
      <c r="S735" s="239"/>
      <c r="AE735" s="174"/>
    </row>
    <row r="736" ht="15.75" customHeight="1">
      <c r="S736" s="239"/>
      <c r="AE736" s="174"/>
    </row>
    <row r="737" ht="15.75" customHeight="1">
      <c r="S737" s="239"/>
      <c r="AE737" s="174"/>
    </row>
    <row r="738" ht="15.75" customHeight="1">
      <c r="S738" s="239"/>
      <c r="AE738" s="174"/>
    </row>
    <row r="739" ht="15.75" customHeight="1">
      <c r="S739" s="239"/>
      <c r="AE739" s="174"/>
    </row>
    <row r="740" ht="15.75" customHeight="1">
      <c r="S740" s="239"/>
      <c r="AE740" s="174"/>
    </row>
    <row r="741" ht="15.75" customHeight="1">
      <c r="S741" s="239"/>
      <c r="AE741" s="174"/>
    </row>
    <row r="742" ht="15.75" customHeight="1">
      <c r="S742" s="239"/>
      <c r="AE742" s="174"/>
    </row>
    <row r="743" ht="15.75" customHeight="1">
      <c r="S743" s="239"/>
      <c r="AE743" s="174"/>
    </row>
    <row r="744" ht="15.75" customHeight="1">
      <c r="S744" s="239"/>
      <c r="AE744" s="174"/>
    </row>
    <row r="745" ht="15.75" customHeight="1">
      <c r="S745" s="239"/>
      <c r="AE745" s="174"/>
    </row>
    <row r="746" ht="15.75" customHeight="1">
      <c r="S746" s="239"/>
      <c r="AE746" s="174"/>
    </row>
    <row r="747" ht="15.75" customHeight="1">
      <c r="S747" s="239"/>
      <c r="AE747" s="174"/>
    </row>
    <row r="748" ht="15.75" customHeight="1">
      <c r="S748" s="239"/>
      <c r="AE748" s="174"/>
    </row>
    <row r="749" ht="15.75" customHeight="1">
      <c r="S749" s="239"/>
      <c r="AE749" s="174"/>
    </row>
    <row r="750" ht="15.75" customHeight="1">
      <c r="S750" s="239"/>
      <c r="AE750" s="174"/>
    </row>
    <row r="751" ht="15.75" customHeight="1">
      <c r="S751" s="239"/>
      <c r="AE751" s="174"/>
    </row>
    <row r="752" ht="15.75" customHeight="1">
      <c r="S752" s="239"/>
      <c r="AE752" s="174"/>
    </row>
    <row r="753" ht="15.75" customHeight="1">
      <c r="S753" s="239"/>
      <c r="AE753" s="174"/>
    </row>
    <row r="754" ht="15.75" customHeight="1">
      <c r="S754" s="239"/>
      <c r="AE754" s="174"/>
    </row>
    <row r="755" ht="15.75" customHeight="1">
      <c r="S755" s="239"/>
      <c r="AE755" s="174"/>
    </row>
    <row r="756" ht="15.75" customHeight="1">
      <c r="S756" s="239"/>
      <c r="AE756" s="174"/>
    </row>
    <row r="757" ht="15.75" customHeight="1">
      <c r="S757" s="239"/>
      <c r="AE757" s="174"/>
    </row>
    <row r="758" ht="15.75" customHeight="1">
      <c r="S758" s="239"/>
      <c r="AE758" s="174"/>
    </row>
    <row r="759" ht="15.75" customHeight="1">
      <c r="S759" s="239"/>
      <c r="AE759" s="174"/>
    </row>
    <row r="760" ht="15.75" customHeight="1">
      <c r="S760" s="239"/>
      <c r="AE760" s="174"/>
    </row>
    <row r="761" ht="15.75" customHeight="1">
      <c r="S761" s="239"/>
      <c r="AE761" s="174"/>
    </row>
    <row r="762" ht="15.75" customHeight="1">
      <c r="S762" s="239"/>
      <c r="AE762" s="174"/>
    </row>
    <row r="763" ht="15.75" customHeight="1">
      <c r="S763" s="239"/>
      <c r="AE763" s="174"/>
    </row>
    <row r="764" ht="15.75" customHeight="1">
      <c r="S764" s="239"/>
      <c r="AE764" s="174"/>
    </row>
    <row r="765" ht="15.75" customHeight="1">
      <c r="S765" s="239"/>
      <c r="AE765" s="174"/>
    </row>
    <row r="766" ht="15.75" customHeight="1">
      <c r="S766" s="239"/>
      <c r="AE766" s="174"/>
    </row>
    <row r="767" ht="15.75" customHeight="1">
      <c r="S767" s="239"/>
      <c r="AE767" s="174"/>
    </row>
    <row r="768" ht="15.75" customHeight="1">
      <c r="S768" s="239"/>
      <c r="AE768" s="174"/>
    </row>
    <row r="769" ht="15.75" customHeight="1">
      <c r="S769" s="239"/>
      <c r="AE769" s="174"/>
    </row>
    <row r="770" ht="15.75" customHeight="1">
      <c r="S770" s="239"/>
      <c r="AE770" s="174"/>
    </row>
    <row r="771" ht="15.75" customHeight="1">
      <c r="S771" s="239"/>
      <c r="AE771" s="174"/>
    </row>
    <row r="772" ht="15.75" customHeight="1">
      <c r="S772" s="239"/>
      <c r="AE772" s="174"/>
    </row>
    <row r="773" ht="15.75" customHeight="1">
      <c r="S773" s="239"/>
      <c r="AE773" s="174"/>
    </row>
    <row r="774" ht="15.75" customHeight="1">
      <c r="S774" s="239"/>
      <c r="AE774" s="174"/>
    </row>
    <row r="775" ht="15.75" customHeight="1">
      <c r="S775" s="239"/>
      <c r="AE775" s="174"/>
    </row>
    <row r="776" ht="15.75" customHeight="1">
      <c r="S776" s="239"/>
      <c r="AE776" s="174"/>
    </row>
    <row r="777" ht="15.75" customHeight="1">
      <c r="S777" s="239"/>
      <c r="AE777" s="174"/>
    </row>
    <row r="778" ht="15.75" customHeight="1">
      <c r="S778" s="239"/>
      <c r="AE778" s="174"/>
    </row>
    <row r="779" ht="15.75" customHeight="1">
      <c r="S779" s="239"/>
      <c r="AE779" s="174"/>
    </row>
    <row r="780" ht="15.75" customHeight="1">
      <c r="S780" s="239"/>
      <c r="AE780" s="174"/>
    </row>
    <row r="781" ht="15.75" customHeight="1">
      <c r="S781" s="239"/>
      <c r="AE781" s="174"/>
    </row>
    <row r="782" ht="15.75" customHeight="1">
      <c r="S782" s="239"/>
      <c r="AE782" s="174"/>
    </row>
    <row r="783" ht="15.75" customHeight="1">
      <c r="S783" s="239"/>
      <c r="AE783" s="174"/>
    </row>
    <row r="784" ht="15.75" customHeight="1">
      <c r="S784" s="239"/>
      <c r="AE784" s="174"/>
    </row>
    <row r="785" ht="15.75" customHeight="1">
      <c r="S785" s="239"/>
      <c r="AE785" s="174"/>
    </row>
    <row r="786" ht="15.75" customHeight="1">
      <c r="S786" s="239"/>
      <c r="AE786" s="174"/>
    </row>
    <row r="787" ht="15.75" customHeight="1">
      <c r="S787" s="239"/>
      <c r="AE787" s="174"/>
    </row>
    <row r="788" ht="15.75" customHeight="1">
      <c r="S788" s="239"/>
      <c r="AE788" s="174"/>
    </row>
    <row r="789" ht="15.75" customHeight="1">
      <c r="S789" s="239"/>
      <c r="AE789" s="174"/>
    </row>
    <row r="790" ht="15.75" customHeight="1">
      <c r="S790" s="239"/>
      <c r="AE790" s="174"/>
    </row>
    <row r="791" ht="15.75" customHeight="1">
      <c r="S791" s="239"/>
      <c r="AE791" s="174"/>
    </row>
    <row r="792" ht="15.75" customHeight="1">
      <c r="S792" s="239"/>
      <c r="AE792" s="174"/>
    </row>
    <row r="793" ht="15.75" customHeight="1">
      <c r="S793" s="239"/>
      <c r="AE793" s="174"/>
    </row>
    <row r="794" ht="15.75" customHeight="1">
      <c r="S794" s="239"/>
      <c r="AE794" s="174"/>
    </row>
    <row r="795" ht="15.75" customHeight="1">
      <c r="S795" s="239"/>
      <c r="AE795" s="174"/>
    </row>
    <row r="796" ht="15.75" customHeight="1">
      <c r="S796" s="239"/>
      <c r="AE796" s="174"/>
    </row>
    <row r="797" ht="15.75" customHeight="1">
      <c r="S797" s="239"/>
      <c r="AE797" s="174"/>
    </row>
    <row r="798" ht="15.75" customHeight="1">
      <c r="S798" s="239"/>
      <c r="AE798" s="174"/>
    </row>
    <row r="799" ht="15.75" customHeight="1">
      <c r="S799" s="239"/>
      <c r="AE799" s="174"/>
    </row>
    <row r="800" ht="15.75" customHeight="1">
      <c r="S800" s="239"/>
      <c r="AE800" s="174"/>
    </row>
    <row r="801" ht="15.75" customHeight="1">
      <c r="S801" s="239"/>
      <c r="AE801" s="174"/>
    </row>
    <row r="802" ht="15.75" customHeight="1">
      <c r="S802" s="239"/>
      <c r="AE802" s="174"/>
    </row>
    <row r="803" ht="15.75" customHeight="1">
      <c r="S803" s="239"/>
      <c r="AE803" s="174"/>
    </row>
    <row r="804" ht="15.75" customHeight="1">
      <c r="S804" s="239"/>
      <c r="AE804" s="174"/>
    </row>
    <row r="805" ht="15.75" customHeight="1">
      <c r="S805" s="239"/>
      <c r="AE805" s="174"/>
    </row>
    <row r="806" ht="15.75" customHeight="1">
      <c r="S806" s="239"/>
      <c r="AE806" s="174"/>
    </row>
    <row r="807" ht="15.75" customHeight="1">
      <c r="S807" s="239"/>
      <c r="AE807" s="174"/>
    </row>
    <row r="808" ht="15.75" customHeight="1">
      <c r="S808" s="239"/>
      <c r="AE808" s="174"/>
    </row>
    <row r="809" ht="15.75" customHeight="1">
      <c r="S809" s="239"/>
      <c r="AE809" s="174"/>
    </row>
    <row r="810" ht="15.75" customHeight="1">
      <c r="S810" s="239"/>
      <c r="AE810" s="174"/>
    </row>
    <row r="811" ht="15.75" customHeight="1">
      <c r="S811" s="239"/>
      <c r="AE811" s="174"/>
    </row>
    <row r="812" ht="15.75" customHeight="1">
      <c r="S812" s="239"/>
      <c r="AE812" s="174"/>
    </row>
    <row r="813" ht="15.75" customHeight="1">
      <c r="S813" s="239"/>
      <c r="AE813" s="174"/>
    </row>
    <row r="814" ht="15.75" customHeight="1">
      <c r="S814" s="239"/>
      <c r="AE814" s="174"/>
    </row>
    <row r="815" ht="15.75" customHeight="1">
      <c r="S815" s="239"/>
      <c r="AE815" s="174"/>
    </row>
    <row r="816" ht="15.75" customHeight="1">
      <c r="S816" s="239"/>
      <c r="AE816" s="174"/>
    </row>
    <row r="817" ht="15.75" customHeight="1">
      <c r="S817" s="239"/>
      <c r="AE817" s="174"/>
    </row>
    <row r="818" ht="15.75" customHeight="1">
      <c r="S818" s="239"/>
      <c r="AE818" s="174"/>
    </row>
    <row r="819" ht="15.75" customHeight="1">
      <c r="S819" s="239"/>
      <c r="AE819" s="174"/>
    </row>
    <row r="820" ht="15.75" customHeight="1">
      <c r="S820" s="239"/>
      <c r="AE820" s="174"/>
    </row>
    <row r="821" ht="15.75" customHeight="1">
      <c r="S821" s="239"/>
      <c r="AE821" s="174"/>
    </row>
    <row r="822" ht="15.75" customHeight="1">
      <c r="S822" s="239"/>
      <c r="AE822" s="174"/>
    </row>
    <row r="823" ht="15.75" customHeight="1">
      <c r="S823" s="239"/>
      <c r="AE823" s="174"/>
    </row>
    <row r="824" ht="15.75" customHeight="1">
      <c r="S824" s="239"/>
      <c r="AE824" s="174"/>
    </row>
    <row r="825" ht="15.75" customHeight="1">
      <c r="S825" s="239"/>
      <c r="AE825" s="174"/>
    </row>
    <row r="826" ht="15.75" customHeight="1">
      <c r="S826" s="239"/>
      <c r="AE826" s="174"/>
    </row>
    <row r="827" ht="15.75" customHeight="1">
      <c r="S827" s="239"/>
      <c r="AE827" s="174"/>
    </row>
    <row r="828" ht="15.75" customHeight="1">
      <c r="S828" s="239"/>
      <c r="AE828" s="174"/>
    </row>
    <row r="829" ht="15.75" customHeight="1">
      <c r="S829" s="239"/>
      <c r="AE829" s="174"/>
    </row>
    <row r="830" ht="15.75" customHeight="1">
      <c r="S830" s="239"/>
      <c r="AE830" s="174"/>
    </row>
    <row r="831" ht="15.75" customHeight="1">
      <c r="S831" s="239"/>
      <c r="AE831" s="174"/>
    </row>
    <row r="832" ht="15.75" customHeight="1">
      <c r="S832" s="239"/>
      <c r="AE832" s="174"/>
    </row>
    <row r="833" ht="15.75" customHeight="1">
      <c r="S833" s="239"/>
      <c r="AE833" s="174"/>
    </row>
    <row r="834" ht="15.75" customHeight="1">
      <c r="S834" s="239"/>
      <c r="AE834" s="174"/>
    </row>
    <row r="835" ht="15.75" customHeight="1">
      <c r="S835" s="239"/>
      <c r="AE835" s="174"/>
    </row>
    <row r="836" ht="15.75" customHeight="1">
      <c r="S836" s="239"/>
      <c r="AE836" s="174"/>
    </row>
    <row r="837" ht="15.75" customHeight="1">
      <c r="S837" s="239"/>
      <c r="AE837" s="174"/>
    </row>
    <row r="838" ht="15.75" customHeight="1">
      <c r="S838" s="239"/>
      <c r="AE838" s="174"/>
    </row>
    <row r="839" ht="15.75" customHeight="1">
      <c r="S839" s="239"/>
      <c r="AE839" s="174"/>
    </row>
    <row r="840" ht="15.75" customHeight="1">
      <c r="S840" s="239"/>
      <c r="AE840" s="174"/>
    </row>
    <row r="841" ht="15.75" customHeight="1">
      <c r="S841" s="239"/>
      <c r="AE841" s="174"/>
    </row>
    <row r="842" ht="15.75" customHeight="1">
      <c r="S842" s="239"/>
      <c r="AE842" s="174"/>
    </row>
    <row r="843" ht="15.75" customHeight="1">
      <c r="S843" s="239"/>
      <c r="AE843" s="174"/>
    </row>
    <row r="844" ht="15.75" customHeight="1">
      <c r="S844" s="239"/>
      <c r="AE844" s="174"/>
    </row>
    <row r="845" ht="15.75" customHeight="1">
      <c r="S845" s="239"/>
      <c r="AE845" s="174"/>
    </row>
    <row r="846" ht="15.75" customHeight="1">
      <c r="S846" s="239"/>
      <c r="AE846" s="174"/>
    </row>
    <row r="847" ht="15.75" customHeight="1">
      <c r="S847" s="239"/>
      <c r="AE847" s="174"/>
    </row>
    <row r="848" ht="15.75" customHeight="1">
      <c r="S848" s="239"/>
      <c r="AE848" s="174"/>
    </row>
    <row r="849" ht="15.75" customHeight="1">
      <c r="S849" s="239"/>
      <c r="AE849" s="174"/>
    </row>
    <row r="850" ht="15.75" customHeight="1">
      <c r="S850" s="239"/>
      <c r="AE850" s="174"/>
    </row>
    <row r="851" ht="15.75" customHeight="1">
      <c r="S851" s="239"/>
      <c r="AE851" s="174"/>
    </row>
    <row r="852" ht="15.75" customHeight="1">
      <c r="S852" s="239"/>
      <c r="AE852" s="174"/>
    </row>
    <row r="853" ht="15.75" customHeight="1">
      <c r="S853" s="239"/>
      <c r="AE853" s="174"/>
    </row>
    <row r="854" ht="15.75" customHeight="1">
      <c r="S854" s="239"/>
      <c r="AE854" s="174"/>
    </row>
    <row r="855" ht="15.75" customHeight="1">
      <c r="S855" s="239"/>
      <c r="AE855" s="174"/>
    </row>
    <row r="856" ht="15.75" customHeight="1">
      <c r="S856" s="239"/>
      <c r="AE856" s="174"/>
    </row>
    <row r="857" ht="15.75" customHeight="1">
      <c r="S857" s="239"/>
      <c r="AE857" s="174"/>
    </row>
    <row r="858" ht="15.75" customHeight="1">
      <c r="S858" s="239"/>
      <c r="AE858" s="174"/>
    </row>
    <row r="859" ht="15.75" customHeight="1">
      <c r="S859" s="239"/>
      <c r="AE859" s="174"/>
    </row>
    <row r="860" ht="15.75" customHeight="1">
      <c r="S860" s="239"/>
      <c r="AE860" s="174"/>
    </row>
    <row r="861" ht="15.75" customHeight="1">
      <c r="S861" s="239"/>
      <c r="AE861" s="174"/>
    </row>
    <row r="862" ht="15.75" customHeight="1">
      <c r="S862" s="239"/>
      <c r="AE862" s="174"/>
    </row>
    <row r="863" ht="15.75" customHeight="1">
      <c r="S863" s="239"/>
      <c r="AE863" s="174"/>
    </row>
    <row r="864" ht="15.75" customHeight="1">
      <c r="S864" s="239"/>
      <c r="AE864" s="174"/>
    </row>
    <row r="865" ht="15.75" customHeight="1">
      <c r="S865" s="239"/>
      <c r="AE865" s="174"/>
    </row>
    <row r="866" ht="15.75" customHeight="1">
      <c r="S866" s="239"/>
      <c r="AE866" s="174"/>
    </row>
    <row r="867" ht="15.75" customHeight="1">
      <c r="S867" s="239"/>
      <c r="AE867" s="174"/>
    </row>
    <row r="868" ht="15.75" customHeight="1">
      <c r="S868" s="239"/>
      <c r="AE868" s="174"/>
    </row>
    <row r="869" ht="15.75" customHeight="1">
      <c r="S869" s="239"/>
      <c r="AE869" s="174"/>
    </row>
    <row r="870" ht="15.75" customHeight="1">
      <c r="S870" s="239"/>
      <c r="AE870" s="174"/>
    </row>
    <row r="871" ht="15.75" customHeight="1">
      <c r="S871" s="239"/>
      <c r="AE871" s="174"/>
    </row>
    <row r="872" ht="15.75" customHeight="1">
      <c r="S872" s="239"/>
      <c r="AE872" s="174"/>
    </row>
    <row r="873" ht="15.75" customHeight="1">
      <c r="S873" s="239"/>
      <c r="AE873" s="174"/>
    </row>
    <row r="874" ht="15.75" customHeight="1">
      <c r="S874" s="239"/>
      <c r="AE874" s="174"/>
    </row>
    <row r="875" ht="15.75" customHeight="1">
      <c r="S875" s="239"/>
      <c r="AE875" s="174"/>
    </row>
    <row r="876" ht="15.75" customHeight="1">
      <c r="S876" s="239"/>
      <c r="AE876" s="174"/>
    </row>
    <row r="877" ht="15.75" customHeight="1">
      <c r="S877" s="239"/>
      <c r="AE877" s="174"/>
    </row>
    <row r="878" ht="15.75" customHeight="1">
      <c r="S878" s="239"/>
      <c r="AE878" s="174"/>
    </row>
    <row r="879" ht="15.75" customHeight="1">
      <c r="S879" s="239"/>
      <c r="AE879" s="174"/>
    </row>
    <row r="880" ht="15.75" customHeight="1">
      <c r="S880" s="239"/>
      <c r="AE880" s="174"/>
    </row>
    <row r="881" ht="15.75" customHeight="1">
      <c r="S881" s="239"/>
      <c r="AE881" s="174"/>
    </row>
    <row r="882" ht="15.75" customHeight="1">
      <c r="S882" s="239"/>
      <c r="AE882" s="174"/>
    </row>
    <row r="883" ht="15.75" customHeight="1">
      <c r="S883" s="239"/>
      <c r="AE883" s="174"/>
    </row>
    <row r="884" ht="15.75" customHeight="1">
      <c r="S884" s="239"/>
      <c r="AE884" s="174"/>
    </row>
    <row r="885" ht="15.75" customHeight="1">
      <c r="S885" s="239"/>
      <c r="AE885" s="174"/>
    </row>
    <row r="886" ht="15.75" customHeight="1">
      <c r="S886" s="239"/>
      <c r="AE886" s="174"/>
    </row>
    <row r="887" ht="15.75" customHeight="1">
      <c r="S887" s="239"/>
      <c r="AE887" s="174"/>
    </row>
    <row r="888" ht="15.75" customHeight="1">
      <c r="S888" s="239"/>
      <c r="AE888" s="174"/>
    </row>
    <row r="889" ht="15.75" customHeight="1">
      <c r="S889" s="239"/>
      <c r="AE889" s="174"/>
    </row>
    <row r="890" ht="15.75" customHeight="1">
      <c r="S890" s="239"/>
      <c r="AE890" s="174"/>
    </row>
    <row r="891" ht="15.75" customHeight="1">
      <c r="S891" s="239"/>
      <c r="AE891" s="174"/>
    </row>
    <row r="892" ht="15.75" customHeight="1">
      <c r="S892" s="239"/>
      <c r="AE892" s="174"/>
    </row>
    <row r="893" ht="15.75" customHeight="1">
      <c r="S893" s="239"/>
      <c r="AE893" s="174"/>
    </row>
    <row r="894" ht="15.75" customHeight="1">
      <c r="S894" s="239"/>
      <c r="AE894" s="174"/>
    </row>
    <row r="895" ht="15.75" customHeight="1">
      <c r="S895" s="239"/>
      <c r="AE895" s="174"/>
    </row>
    <row r="896" ht="15.75" customHeight="1">
      <c r="S896" s="239"/>
      <c r="AE896" s="174"/>
    </row>
    <row r="897" ht="15.75" customHeight="1">
      <c r="S897" s="239"/>
      <c r="AE897" s="174"/>
    </row>
    <row r="898" ht="15.75" customHeight="1">
      <c r="S898" s="239"/>
      <c r="AE898" s="174"/>
    </row>
    <row r="899" ht="15.75" customHeight="1">
      <c r="S899" s="239"/>
      <c r="AE899" s="174"/>
    </row>
    <row r="900" ht="15.75" customHeight="1">
      <c r="S900" s="239"/>
      <c r="AE900" s="174"/>
    </row>
    <row r="901" ht="15.75" customHeight="1">
      <c r="S901" s="239"/>
      <c r="AE901" s="174"/>
    </row>
    <row r="902" ht="15.75" customHeight="1">
      <c r="S902" s="239"/>
      <c r="AE902" s="174"/>
    </row>
    <row r="903" ht="15.75" customHeight="1">
      <c r="S903" s="239"/>
      <c r="AE903" s="174"/>
    </row>
    <row r="904" ht="15.75" customHeight="1">
      <c r="S904" s="239"/>
      <c r="AE904" s="174"/>
    </row>
    <row r="905" ht="15.75" customHeight="1">
      <c r="S905" s="239"/>
      <c r="AE905" s="174"/>
    </row>
    <row r="906" ht="15.75" customHeight="1">
      <c r="S906" s="239"/>
      <c r="AE906" s="174"/>
    </row>
    <row r="907" ht="15.75" customHeight="1">
      <c r="S907" s="239"/>
      <c r="AE907" s="174"/>
    </row>
    <row r="908" ht="15.75" customHeight="1">
      <c r="S908" s="239"/>
      <c r="AE908" s="174"/>
    </row>
    <row r="909" ht="15.75" customHeight="1">
      <c r="S909" s="239"/>
      <c r="AE909" s="174"/>
    </row>
    <row r="910" ht="15.75" customHeight="1">
      <c r="S910" s="239"/>
      <c r="AE910" s="174"/>
    </row>
    <row r="911" ht="15.75" customHeight="1">
      <c r="S911" s="239"/>
      <c r="AE911" s="174"/>
    </row>
    <row r="912" ht="15.75" customHeight="1">
      <c r="S912" s="239"/>
      <c r="AE912" s="174"/>
    </row>
    <row r="913" ht="15.75" customHeight="1">
      <c r="S913" s="239"/>
      <c r="AE913" s="174"/>
    </row>
    <row r="914" ht="15.75" customHeight="1">
      <c r="S914" s="239"/>
      <c r="AE914" s="174"/>
    </row>
    <row r="915" ht="15.75" customHeight="1">
      <c r="S915" s="239"/>
      <c r="AE915" s="174"/>
    </row>
    <row r="916" ht="15.75" customHeight="1">
      <c r="S916" s="239"/>
      <c r="AE916" s="174"/>
    </row>
    <row r="917" ht="15.75" customHeight="1">
      <c r="S917" s="239"/>
      <c r="AE917" s="174"/>
    </row>
    <row r="918" ht="15.75" customHeight="1">
      <c r="S918" s="239"/>
      <c r="AE918" s="174"/>
    </row>
    <row r="919" ht="15.75" customHeight="1">
      <c r="S919" s="239"/>
      <c r="AE919" s="174"/>
    </row>
    <row r="920" ht="15.75" customHeight="1">
      <c r="S920" s="239"/>
      <c r="AE920" s="174"/>
    </row>
    <row r="921" ht="15.75" customHeight="1">
      <c r="S921" s="239"/>
      <c r="AE921" s="174"/>
    </row>
    <row r="922" ht="15.75" customHeight="1">
      <c r="S922" s="239"/>
      <c r="AE922" s="174"/>
    </row>
    <row r="923" ht="15.75" customHeight="1">
      <c r="S923" s="239"/>
      <c r="AE923" s="174"/>
    </row>
    <row r="924" ht="15.75" customHeight="1">
      <c r="S924" s="239"/>
      <c r="AE924" s="174"/>
    </row>
    <row r="925" ht="15.75" customHeight="1">
      <c r="S925" s="239"/>
      <c r="AE925" s="174"/>
    </row>
    <row r="926" ht="15.75" customHeight="1">
      <c r="S926" s="239"/>
      <c r="AE926" s="174"/>
    </row>
    <row r="927" ht="15.75" customHeight="1">
      <c r="S927" s="239"/>
      <c r="AE927" s="174"/>
    </row>
    <row r="928" ht="15.75" customHeight="1">
      <c r="S928" s="239"/>
      <c r="AE928" s="174"/>
    </row>
    <row r="929" ht="15.75" customHeight="1">
      <c r="S929" s="239"/>
      <c r="AE929" s="174"/>
    </row>
    <row r="930" ht="15.75" customHeight="1">
      <c r="S930" s="239"/>
      <c r="AE930" s="174"/>
    </row>
    <row r="931" ht="15.75" customHeight="1">
      <c r="S931" s="239"/>
      <c r="AE931" s="174"/>
    </row>
    <row r="932" ht="15.75" customHeight="1">
      <c r="S932" s="239"/>
      <c r="AE932" s="174"/>
    </row>
    <row r="933" ht="15.75" customHeight="1">
      <c r="S933" s="239"/>
      <c r="AE933" s="174"/>
    </row>
    <row r="934" ht="15.75" customHeight="1">
      <c r="S934" s="239"/>
      <c r="AE934" s="174"/>
    </row>
    <row r="935" ht="15.75" customHeight="1">
      <c r="S935" s="239"/>
      <c r="AE935" s="174"/>
    </row>
    <row r="936" ht="15.75" customHeight="1">
      <c r="S936" s="239"/>
      <c r="AE936" s="174"/>
    </row>
    <row r="937" ht="15.75" customHeight="1">
      <c r="S937" s="239"/>
      <c r="AE937" s="174"/>
    </row>
    <row r="938" ht="15.75" customHeight="1">
      <c r="S938" s="239"/>
      <c r="AE938" s="174"/>
    </row>
    <row r="939" ht="15.75" customHeight="1">
      <c r="S939" s="239"/>
      <c r="AE939" s="174"/>
    </row>
    <row r="940" ht="15.75" customHeight="1">
      <c r="S940" s="239"/>
      <c r="AE940" s="174"/>
    </row>
    <row r="941" ht="15.75" customHeight="1">
      <c r="S941" s="239"/>
      <c r="AE941" s="174"/>
    </row>
    <row r="942" ht="15.75" customHeight="1">
      <c r="S942" s="239"/>
      <c r="AE942" s="174"/>
    </row>
    <row r="943" ht="15.75" customHeight="1">
      <c r="S943" s="239"/>
      <c r="AE943" s="174"/>
    </row>
    <row r="944" ht="15.75" customHeight="1">
      <c r="S944" s="239"/>
      <c r="AE944" s="174"/>
    </row>
    <row r="945" ht="15.75" customHeight="1">
      <c r="S945" s="239"/>
      <c r="AE945" s="174"/>
    </row>
    <row r="946" ht="15.75" customHeight="1">
      <c r="S946" s="239"/>
      <c r="AE946" s="174"/>
    </row>
    <row r="947" ht="15.75" customHeight="1">
      <c r="S947" s="239"/>
      <c r="AE947" s="174"/>
    </row>
    <row r="948" ht="15.75" customHeight="1">
      <c r="S948" s="239"/>
      <c r="AE948" s="174"/>
    </row>
    <row r="949" ht="15.75" customHeight="1">
      <c r="S949" s="239"/>
      <c r="AE949" s="174"/>
    </row>
    <row r="950" ht="15.75" customHeight="1">
      <c r="S950" s="239"/>
      <c r="AE950" s="174"/>
    </row>
    <row r="951" ht="15.75" customHeight="1">
      <c r="S951" s="239"/>
      <c r="AE951" s="174"/>
    </row>
    <row r="952" ht="15.75" customHeight="1">
      <c r="S952" s="239"/>
      <c r="AE952" s="174"/>
    </row>
    <row r="953" ht="15.75" customHeight="1">
      <c r="S953" s="239"/>
      <c r="AE953" s="174"/>
    </row>
    <row r="954" ht="15.75" customHeight="1">
      <c r="S954" s="239"/>
      <c r="AE954" s="174"/>
    </row>
    <row r="955" ht="15.75" customHeight="1">
      <c r="S955" s="239"/>
      <c r="AE955" s="174"/>
    </row>
    <row r="956" ht="15.75" customHeight="1">
      <c r="S956" s="239"/>
      <c r="AE956" s="174"/>
    </row>
    <row r="957" ht="15.75" customHeight="1">
      <c r="S957" s="239"/>
      <c r="AE957" s="174"/>
    </row>
    <row r="958" ht="15.75" customHeight="1">
      <c r="S958" s="239"/>
      <c r="AE958" s="174"/>
    </row>
    <row r="959" ht="15.75" customHeight="1">
      <c r="S959" s="239"/>
      <c r="AE959" s="174"/>
    </row>
    <row r="960" ht="15.75" customHeight="1">
      <c r="S960" s="239"/>
      <c r="AE960" s="174"/>
    </row>
    <row r="961" ht="15.75" customHeight="1">
      <c r="S961" s="239"/>
      <c r="AE961" s="174"/>
    </row>
    <row r="962" ht="15.75" customHeight="1">
      <c r="S962" s="239"/>
      <c r="AE962" s="174"/>
    </row>
    <row r="963" ht="15.75" customHeight="1">
      <c r="S963" s="239"/>
      <c r="AE963" s="174"/>
    </row>
    <row r="964" ht="15.75" customHeight="1">
      <c r="S964" s="239"/>
      <c r="AE964" s="174"/>
    </row>
    <row r="965" ht="15.75" customHeight="1">
      <c r="S965" s="239"/>
      <c r="AE965" s="174"/>
    </row>
    <row r="966" ht="15.75" customHeight="1">
      <c r="S966" s="239"/>
      <c r="AE966" s="174"/>
    </row>
    <row r="967" ht="15.75" customHeight="1">
      <c r="S967" s="239"/>
      <c r="AE967" s="174"/>
    </row>
    <row r="968" ht="15.75" customHeight="1">
      <c r="S968" s="239"/>
      <c r="AE968" s="174"/>
    </row>
    <row r="969" ht="15.75" customHeight="1">
      <c r="S969" s="239"/>
      <c r="AE969" s="174"/>
    </row>
    <row r="970" ht="15.75" customHeight="1">
      <c r="S970" s="239"/>
      <c r="AE970" s="174"/>
    </row>
    <row r="971" ht="15.75" customHeight="1">
      <c r="S971" s="239"/>
      <c r="AE971" s="174"/>
    </row>
    <row r="972" ht="15.75" customHeight="1">
      <c r="S972" s="239"/>
      <c r="AE972" s="174"/>
    </row>
    <row r="973" ht="15.75" customHeight="1">
      <c r="S973" s="239"/>
      <c r="AE973" s="174"/>
    </row>
    <row r="974" ht="15.75" customHeight="1">
      <c r="S974" s="239"/>
      <c r="AE974" s="174"/>
    </row>
    <row r="975" ht="15.75" customHeight="1">
      <c r="S975" s="239"/>
      <c r="AE975" s="174"/>
    </row>
    <row r="976" ht="15.75" customHeight="1">
      <c r="S976" s="239"/>
      <c r="AE976" s="174"/>
    </row>
    <row r="977" ht="15.75" customHeight="1">
      <c r="S977" s="239"/>
      <c r="AE977" s="174"/>
    </row>
    <row r="978" ht="15.75" customHeight="1">
      <c r="S978" s="239"/>
      <c r="AE978" s="174"/>
    </row>
    <row r="979" ht="15.75" customHeight="1">
      <c r="S979" s="239"/>
      <c r="AE979" s="174"/>
    </row>
    <row r="980" ht="15.75" customHeight="1">
      <c r="S980" s="239"/>
      <c r="AE980" s="174"/>
    </row>
    <row r="981" ht="15.75" customHeight="1">
      <c r="S981" s="239"/>
      <c r="AE981" s="174"/>
    </row>
    <row r="982" ht="15.75" customHeight="1">
      <c r="S982" s="239"/>
      <c r="AE982" s="174"/>
    </row>
    <row r="983" ht="15.75" customHeight="1">
      <c r="S983" s="239"/>
      <c r="AE983" s="174"/>
    </row>
    <row r="984" ht="15.75" customHeight="1">
      <c r="S984" s="239"/>
      <c r="AE984" s="174"/>
    </row>
    <row r="985" ht="15.75" customHeight="1">
      <c r="S985" s="239"/>
      <c r="AE985" s="174"/>
    </row>
    <row r="986" ht="15.75" customHeight="1">
      <c r="S986" s="239"/>
      <c r="AE986" s="174"/>
    </row>
    <row r="987" ht="15.75" customHeight="1">
      <c r="S987" s="239"/>
      <c r="AE987" s="174"/>
    </row>
    <row r="988" ht="15.75" customHeight="1">
      <c r="S988" s="239"/>
      <c r="AE988" s="174"/>
    </row>
    <row r="989" ht="15.75" customHeight="1">
      <c r="S989" s="239"/>
      <c r="AE989" s="174"/>
    </row>
    <row r="990" ht="15.75" customHeight="1">
      <c r="S990" s="239"/>
      <c r="AE990" s="174"/>
    </row>
    <row r="991" ht="15.75" customHeight="1">
      <c r="S991" s="239"/>
      <c r="AE991" s="174"/>
    </row>
    <row r="992" ht="15.75" customHeight="1">
      <c r="S992" s="239"/>
      <c r="AE992" s="174"/>
    </row>
    <row r="993" ht="15.75" customHeight="1">
      <c r="S993" s="239"/>
      <c r="AE993" s="174"/>
    </row>
    <row r="994" ht="15.75" customHeight="1">
      <c r="S994" s="239"/>
      <c r="AE994" s="174"/>
    </row>
    <row r="995" ht="15.75" customHeight="1">
      <c r="S995" s="239"/>
      <c r="AE995" s="174"/>
    </row>
    <row r="996" ht="15.75" customHeight="1">
      <c r="S996" s="239"/>
      <c r="AE996" s="174"/>
    </row>
    <row r="997" ht="15.75" customHeight="1">
      <c r="S997" s="239"/>
      <c r="AE997" s="174"/>
    </row>
    <row r="998" ht="15.75" customHeight="1">
      <c r="S998" s="239"/>
      <c r="AE998" s="174"/>
    </row>
    <row r="999" ht="15.75" customHeight="1">
      <c r="S999" s="239"/>
      <c r="AE999" s="174"/>
    </row>
    <row r="1000" ht="15.75" customHeight="1">
      <c r="S1000" s="239"/>
      <c r="AE1000" s="174"/>
    </row>
    <row r="1001" ht="15.75" customHeight="1">
      <c r="S1001" s="239"/>
      <c r="AE1001" s="174"/>
    </row>
    <row r="1002" ht="15.75" customHeight="1">
      <c r="S1002" s="239"/>
      <c r="AE1002" s="174"/>
    </row>
    <row r="1003" ht="15.75" customHeight="1">
      <c r="S1003" s="239"/>
      <c r="AE1003" s="174"/>
    </row>
  </sheetData>
  <dataValidations>
    <dataValidation type="list" allowBlank="1" showErrorMessage="1" sqref="Z2:AD8">
      <formula1>"A+,A,B,C,D,E"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2" width="24.25"/>
    <col customWidth="1" min="3" max="3" width="9.13"/>
    <col customWidth="1" min="4" max="4" width="7.88"/>
    <col customWidth="1" min="5" max="5" width="10.5"/>
    <col customWidth="1" min="6" max="6" width="9.38"/>
    <col customWidth="1" min="7" max="7" width="6.25"/>
    <col customWidth="1" min="8" max="8" width="7.88"/>
    <col customWidth="1" min="9" max="9" width="9.13"/>
    <col customWidth="1" min="10" max="10" width="6.0"/>
    <col customWidth="1" min="11" max="11" width="9.25"/>
    <col customWidth="1" min="12" max="12" width="5.63"/>
    <col customWidth="1" min="13" max="13" width="7.25"/>
    <col customWidth="1" min="14" max="14" width="5.63"/>
    <col customWidth="1" min="15" max="15" width="7.63"/>
    <col customWidth="1" min="16" max="16" width="5.75"/>
    <col customWidth="1" min="17" max="17" width="6.25"/>
    <col customWidth="1" min="18" max="18" width="6.88"/>
    <col customWidth="1" min="19" max="19" width="8.5"/>
    <col customWidth="1" min="20" max="20" width="5.5"/>
    <col customWidth="1" min="21" max="21" width="5.63"/>
    <col customWidth="1" min="22" max="22" width="7.13"/>
    <col customWidth="1" min="24" max="24" width="13.63"/>
    <col customWidth="1" min="26" max="26" width="14.0"/>
    <col customWidth="1" min="30" max="30" width="11.5"/>
    <col customWidth="1" min="31" max="31" width="118.0"/>
  </cols>
  <sheetData>
    <row r="1" ht="15.75" customHeight="1">
      <c r="A1" s="42"/>
      <c r="B1" s="43" t="s">
        <v>61</v>
      </c>
      <c r="C1" s="77" t="s">
        <v>393</v>
      </c>
      <c r="D1" s="77" t="s">
        <v>83</v>
      </c>
      <c r="E1" s="219" t="s">
        <v>63</v>
      </c>
      <c r="F1" s="219" t="s">
        <v>83</v>
      </c>
      <c r="G1" s="249" t="s">
        <v>394</v>
      </c>
      <c r="H1" s="249" t="s">
        <v>83</v>
      </c>
      <c r="I1" s="220" t="s">
        <v>395</v>
      </c>
      <c r="J1" s="220" t="s">
        <v>83</v>
      </c>
      <c r="K1" s="250" t="s">
        <v>440</v>
      </c>
      <c r="L1" s="250" t="s">
        <v>83</v>
      </c>
      <c r="M1" s="251" t="s">
        <v>397</v>
      </c>
      <c r="N1" s="251" t="s">
        <v>83</v>
      </c>
      <c r="O1" s="252" t="s">
        <v>592</v>
      </c>
      <c r="P1" s="253" t="s">
        <v>83</v>
      </c>
      <c r="Q1" s="254" t="s">
        <v>57</v>
      </c>
      <c r="R1" s="255" t="s">
        <v>83</v>
      </c>
      <c r="S1" s="256" t="s">
        <v>399</v>
      </c>
      <c r="T1" s="257" t="s">
        <v>83</v>
      </c>
      <c r="U1" s="258" t="s">
        <v>32</v>
      </c>
      <c r="V1" s="258" t="s">
        <v>83</v>
      </c>
      <c r="W1" s="42"/>
      <c r="X1" s="43" t="s">
        <v>33</v>
      </c>
      <c r="Y1" s="43" t="s">
        <v>73</v>
      </c>
      <c r="Z1" s="43" t="s">
        <v>74</v>
      </c>
      <c r="AA1" s="42" t="s">
        <v>75</v>
      </c>
      <c r="AB1" s="42" t="s">
        <v>76</v>
      </c>
      <c r="AC1" s="42" t="s">
        <v>77</v>
      </c>
      <c r="AD1" s="42" t="s">
        <v>210</v>
      </c>
      <c r="AE1" s="96" t="s">
        <v>79</v>
      </c>
    </row>
    <row r="2" ht="15.75" customHeight="1">
      <c r="A2" s="42">
        <v>1.0</v>
      </c>
      <c r="B2" s="244" t="s">
        <v>608</v>
      </c>
      <c r="C2" s="63">
        <v>47.0</v>
      </c>
      <c r="D2" s="56" t="str">
        <f t="shared" ref="D2:D6" si="1">VLOOKUP(C2,$B$41:$C$49,2)</f>
        <v>E</v>
      </c>
      <c r="E2" s="72"/>
      <c r="F2" s="56" t="str">
        <f t="shared" ref="F2:F6" si="2">VLOOKUP(E2,$B$41:$C$49,2)</f>
        <v>U</v>
      </c>
      <c r="G2" s="73">
        <v>42.0</v>
      </c>
      <c r="H2" s="56" t="str">
        <f t="shared" ref="H2:H6" si="3">VLOOKUP(G2,$B$41:$C$49,2)</f>
        <v>E</v>
      </c>
      <c r="I2" s="72"/>
      <c r="J2" s="56" t="str">
        <f t="shared" ref="J2:J6" si="4">VLOOKUP(I2,$B$41:$C$49,2)</f>
        <v>U</v>
      </c>
      <c r="K2" s="72"/>
      <c r="L2" s="56" t="str">
        <f t="shared" ref="L2:L6" si="5">VLOOKUP(K2,$B$41:$C$49,2)</f>
        <v>U</v>
      </c>
      <c r="M2" s="72"/>
      <c r="N2" s="56" t="str">
        <f t="shared" ref="N2:N6" si="6">VLOOKUP(M2,$B$41:$C$49,2)</f>
        <v>U</v>
      </c>
      <c r="O2" s="72"/>
      <c r="P2" s="56" t="str">
        <f t="shared" ref="P2:P6" si="7">VLOOKUP(O2,$B$41:$C$49,2)</f>
        <v>U</v>
      </c>
      <c r="Q2" s="72"/>
      <c r="R2" s="56" t="str">
        <f t="shared" ref="R2:R6" si="8">VLOOKUP(Q2,$B$41:$C$49,2)</f>
        <v>U</v>
      </c>
      <c r="S2" s="72"/>
      <c r="T2" s="56" t="str">
        <f t="shared" ref="T2:T6" si="9">VLOOKUP(S2,$B$41:$C$49,2)</f>
        <v>U</v>
      </c>
      <c r="U2" s="241"/>
      <c r="V2" s="56" t="str">
        <f t="shared" ref="V2:V6" si="10">VLOOKUP(U2,$B$41:$C$49,2)</f>
        <v>U</v>
      </c>
      <c r="W2" s="72"/>
      <c r="X2" s="233">
        <f t="shared" ref="X2:X6" si="11">AVERAGE(C2,E2,G2,I2,K2,M2,O2,Q2,S2,U2)</f>
        <v>44.5</v>
      </c>
      <c r="Y2" s="72" t="str">
        <f t="shared" ref="Y2:Y6" si="12">RANK(X2,$X$2:$X$30)</f>
        <v>#DIV/0!</v>
      </c>
      <c r="Z2" s="134" t="s">
        <v>87</v>
      </c>
      <c r="AA2" s="134" t="s">
        <v>93</v>
      </c>
      <c r="AB2" s="134" t="s">
        <v>90</v>
      </c>
      <c r="AC2" s="134" t="s">
        <v>90</v>
      </c>
      <c r="AD2" s="134" t="s">
        <v>90</v>
      </c>
      <c r="AE2" s="259" t="s">
        <v>609</v>
      </c>
    </row>
    <row r="3" ht="15.75" customHeight="1">
      <c r="A3" s="42">
        <v>2.0</v>
      </c>
      <c r="B3" s="176" t="s">
        <v>610</v>
      </c>
      <c r="C3" s="63">
        <v>27.0</v>
      </c>
      <c r="D3" s="56" t="str">
        <f t="shared" si="1"/>
        <v>G</v>
      </c>
      <c r="E3" s="72"/>
      <c r="F3" s="56" t="str">
        <f t="shared" si="2"/>
        <v>U</v>
      </c>
      <c r="G3" s="72"/>
      <c r="H3" s="56" t="str">
        <f t="shared" si="3"/>
        <v>U</v>
      </c>
      <c r="I3" s="72"/>
      <c r="J3" s="56" t="str">
        <f t="shared" si="4"/>
        <v>U</v>
      </c>
      <c r="K3" s="72"/>
      <c r="L3" s="56" t="str">
        <f t="shared" si="5"/>
        <v>U</v>
      </c>
      <c r="M3" s="73">
        <v>58.0</v>
      </c>
      <c r="N3" s="56" t="str">
        <f t="shared" si="6"/>
        <v>D</v>
      </c>
      <c r="O3" s="73">
        <v>44.0</v>
      </c>
      <c r="P3" s="56" t="str">
        <f t="shared" si="7"/>
        <v>E</v>
      </c>
      <c r="Q3" s="72"/>
      <c r="R3" s="56" t="str">
        <f t="shared" si="8"/>
        <v>U</v>
      </c>
      <c r="S3" s="236"/>
      <c r="T3" s="56" t="str">
        <f t="shared" si="9"/>
        <v>U</v>
      </c>
      <c r="U3" s="42"/>
      <c r="V3" s="56" t="str">
        <f t="shared" si="10"/>
        <v>U</v>
      </c>
      <c r="W3" s="42"/>
      <c r="X3" s="233">
        <f t="shared" si="11"/>
        <v>43</v>
      </c>
      <c r="Y3" s="72" t="str">
        <f t="shared" si="12"/>
        <v>#DIV/0!</v>
      </c>
      <c r="Z3" s="134" t="s">
        <v>87</v>
      </c>
      <c r="AA3" s="134" t="s">
        <v>85</v>
      </c>
      <c r="AB3" s="134" t="s">
        <v>87</v>
      </c>
      <c r="AC3" s="134" t="s">
        <v>85</v>
      </c>
      <c r="AD3" s="134" t="s">
        <v>87</v>
      </c>
      <c r="AE3" s="259" t="s">
        <v>611</v>
      </c>
    </row>
    <row r="4" ht="15.75" customHeight="1">
      <c r="A4" s="42">
        <v>3.0</v>
      </c>
      <c r="B4" s="176" t="s">
        <v>612</v>
      </c>
      <c r="C4" s="88"/>
      <c r="D4" s="56" t="str">
        <f t="shared" si="1"/>
        <v>U</v>
      </c>
      <c r="E4" s="72"/>
      <c r="F4" s="56" t="str">
        <f t="shared" si="2"/>
        <v>U</v>
      </c>
      <c r="G4" s="72"/>
      <c r="H4" s="56" t="str">
        <f t="shared" si="3"/>
        <v>U</v>
      </c>
      <c r="I4" s="72"/>
      <c r="J4" s="56" t="str">
        <f t="shared" si="4"/>
        <v>U</v>
      </c>
      <c r="K4" s="72"/>
      <c r="L4" s="56" t="str">
        <f t="shared" si="5"/>
        <v>U</v>
      </c>
      <c r="M4" s="73"/>
      <c r="N4" s="56" t="str">
        <f t="shared" si="6"/>
        <v>U</v>
      </c>
      <c r="O4" s="73"/>
      <c r="P4" s="56" t="str">
        <f t="shared" si="7"/>
        <v>U</v>
      </c>
      <c r="Q4" s="72"/>
      <c r="R4" s="56" t="str">
        <f t="shared" si="8"/>
        <v>U</v>
      </c>
      <c r="S4" s="236"/>
      <c r="T4" s="56" t="str">
        <f t="shared" si="9"/>
        <v>U</v>
      </c>
      <c r="U4" s="42"/>
      <c r="V4" s="56" t="str">
        <f t="shared" si="10"/>
        <v>U</v>
      </c>
      <c r="W4" s="42"/>
      <c r="X4" s="233" t="str">
        <f t="shared" si="11"/>
        <v>#DIV/0!</v>
      </c>
      <c r="Y4" s="72" t="str">
        <f t="shared" si="12"/>
        <v>#DIV/0!</v>
      </c>
      <c r="Z4" s="134" t="s">
        <v>86</v>
      </c>
      <c r="AA4" s="134" t="s">
        <v>86</v>
      </c>
      <c r="AB4" s="134" t="s">
        <v>85</v>
      </c>
      <c r="AC4" s="134" t="s">
        <v>86</v>
      </c>
      <c r="AD4" s="134" t="s">
        <v>85</v>
      </c>
      <c r="AE4" s="83" t="s">
        <v>613</v>
      </c>
    </row>
    <row r="5" ht="15.75" customHeight="1">
      <c r="A5" s="42">
        <v>4.0</v>
      </c>
      <c r="B5" s="176" t="s">
        <v>614</v>
      </c>
      <c r="C5" s="88"/>
      <c r="D5" s="56" t="str">
        <f t="shared" si="1"/>
        <v>U</v>
      </c>
      <c r="E5" s="72"/>
      <c r="F5" s="56" t="str">
        <f t="shared" si="2"/>
        <v>U</v>
      </c>
      <c r="G5" s="73">
        <v>40.0</v>
      </c>
      <c r="H5" s="56" t="str">
        <f t="shared" si="3"/>
        <v>E</v>
      </c>
      <c r="I5" s="73">
        <v>67.0</v>
      </c>
      <c r="J5" s="56" t="str">
        <f t="shared" si="4"/>
        <v>C</v>
      </c>
      <c r="K5" s="72"/>
      <c r="L5" s="56" t="str">
        <f t="shared" si="5"/>
        <v>U</v>
      </c>
      <c r="M5" s="72"/>
      <c r="N5" s="56" t="str">
        <f t="shared" si="6"/>
        <v>U</v>
      </c>
      <c r="O5" s="72"/>
      <c r="P5" s="56" t="str">
        <f t="shared" si="7"/>
        <v>U</v>
      </c>
      <c r="Q5" s="72"/>
      <c r="R5" s="56" t="str">
        <f t="shared" si="8"/>
        <v>U</v>
      </c>
      <c r="S5" s="73">
        <v>34.0</v>
      </c>
      <c r="T5" s="56" t="str">
        <f t="shared" si="9"/>
        <v>F</v>
      </c>
      <c r="U5" s="42"/>
      <c r="V5" s="56" t="str">
        <f t="shared" si="10"/>
        <v>U</v>
      </c>
      <c r="W5" s="42"/>
      <c r="X5" s="233">
        <f t="shared" si="11"/>
        <v>47</v>
      </c>
      <c r="Y5" s="72" t="str">
        <f t="shared" si="12"/>
        <v>#DIV/0!</v>
      </c>
      <c r="Z5" s="134" t="s">
        <v>87</v>
      </c>
      <c r="AA5" s="134" t="s">
        <v>86</v>
      </c>
      <c r="AB5" s="134" t="s">
        <v>87</v>
      </c>
      <c r="AC5" s="134" t="s">
        <v>86</v>
      </c>
      <c r="AD5" s="134" t="s">
        <v>90</v>
      </c>
      <c r="AE5" s="246" t="s">
        <v>615</v>
      </c>
    </row>
    <row r="6" ht="15.75" customHeight="1">
      <c r="A6" s="42">
        <v>5.0</v>
      </c>
      <c r="B6" s="176" t="s">
        <v>616</v>
      </c>
      <c r="C6" s="63">
        <v>28.0</v>
      </c>
      <c r="D6" s="56" t="str">
        <f t="shared" si="1"/>
        <v>G</v>
      </c>
      <c r="E6" s="73">
        <v>62.0</v>
      </c>
      <c r="F6" s="56" t="str">
        <f t="shared" si="2"/>
        <v>C</v>
      </c>
      <c r="G6" s="73"/>
      <c r="H6" s="56" t="str">
        <f t="shared" si="3"/>
        <v>U</v>
      </c>
      <c r="I6" s="73">
        <v>75.0</v>
      </c>
      <c r="J6" s="56" t="str">
        <f t="shared" si="4"/>
        <v>B</v>
      </c>
      <c r="K6" s="72"/>
      <c r="L6" s="56" t="str">
        <f t="shared" si="5"/>
        <v>U</v>
      </c>
      <c r="M6" s="72"/>
      <c r="N6" s="56" t="str">
        <f t="shared" si="6"/>
        <v>U</v>
      </c>
      <c r="O6" s="72"/>
      <c r="P6" s="56" t="str">
        <f t="shared" si="7"/>
        <v>U</v>
      </c>
      <c r="Q6" s="72"/>
      <c r="R6" s="56" t="str">
        <f t="shared" si="8"/>
        <v>U</v>
      </c>
      <c r="S6" s="207">
        <v>45.0</v>
      </c>
      <c r="T6" s="56" t="str">
        <f t="shared" si="9"/>
        <v>E</v>
      </c>
      <c r="U6" s="42"/>
      <c r="V6" s="56" t="str">
        <f t="shared" si="10"/>
        <v>U</v>
      </c>
      <c r="W6" s="42"/>
      <c r="X6" s="233">
        <f t="shared" si="11"/>
        <v>52.5</v>
      </c>
      <c r="Y6" s="72" t="str">
        <f t="shared" si="12"/>
        <v>#DIV/0!</v>
      </c>
      <c r="Z6" s="134" t="s">
        <v>90</v>
      </c>
      <c r="AA6" s="134" t="s">
        <v>85</v>
      </c>
      <c r="AB6" s="134" t="s">
        <v>87</v>
      </c>
      <c r="AC6" s="134" t="s">
        <v>87</v>
      </c>
      <c r="AD6" s="134" t="s">
        <v>90</v>
      </c>
      <c r="AE6" s="83" t="s">
        <v>617</v>
      </c>
    </row>
    <row r="7" ht="15.75" customHeight="1">
      <c r="A7" s="42">
        <v>6.0</v>
      </c>
      <c r="B7" s="176"/>
      <c r="C7" s="88"/>
      <c r="D7" s="56"/>
      <c r="E7" s="72"/>
      <c r="F7" s="56"/>
      <c r="G7" s="72"/>
      <c r="H7" s="56"/>
      <c r="I7" s="72"/>
      <c r="J7" s="56"/>
      <c r="K7" s="72"/>
      <c r="L7" s="56"/>
      <c r="M7" s="72"/>
      <c r="N7" s="56"/>
      <c r="O7" s="72"/>
      <c r="P7" s="56"/>
      <c r="Q7" s="72"/>
      <c r="R7" s="56"/>
      <c r="S7" s="72"/>
      <c r="T7" s="56"/>
      <c r="U7" s="42"/>
      <c r="V7" s="56"/>
      <c r="W7" s="42"/>
      <c r="X7" s="233"/>
      <c r="Y7" s="72"/>
      <c r="Z7" s="176"/>
      <c r="AA7" s="176"/>
      <c r="AB7" s="176"/>
      <c r="AC7" s="176"/>
      <c r="AD7" s="176"/>
      <c r="AE7" s="192"/>
    </row>
    <row r="8" ht="15.75" customHeight="1">
      <c r="A8" s="42">
        <v>7.0</v>
      </c>
      <c r="B8" s="176"/>
      <c r="C8" s="88"/>
      <c r="D8" s="56"/>
      <c r="E8" s="72"/>
      <c r="F8" s="56"/>
      <c r="G8" s="72"/>
      <c r="H8" s="56"/>
      <c r="I8" s="72"/>
      <c r="J8" s="56"/>
      <c r="K8" s="72"/>
      <c r="L8" s="56"/>
      <c r="M8" s="72"/>
      <c r="N8" s="56"/>
      <c r="O8" s="72"/>
      <c r="P8" s="56"/>
      <c r="Q8" s="72"/>
      <c r="R8" s="56"/>
      <c r="S8" s="72"/>
      <c r="T8" s="56"/>
      <c r="U8" s="42"/>
      <c r="V8" s="56"/>
      <c r="W8" s="42"/>
      <c r="X8" s="233"/>
      <c r="Y8" s="72"/>
      <c r="Z8" s="176"/>
      <c r="AA8" s="176"/>
      <c r="AB8" s="176"/>
      <c r="AC8" s="176"/>
      <c r="AD8" s="176"/>
      <c r="AE8" s="192"/>
    </row>
    <row r="9" ht="15.75" customHeight="1">
      <c r="A9" s="42">
        <v>8.0</v>
      </c>
      <c r="B9" s="176"/>
      <c r="C9" s="88"/>
      <c r="D9" s="56"/>
      <c r="E9" s="72"/>
      <c r="F9" s="56"/>
      <c r="G9" s="72"/>
      <c r="H9" s="56"/>
      <c r="I9" s="72"/>
      <c r="J9" s="56"/>
      <c r="K9" s="72"/>
      <c r="L9" s="56"/>
      <c r="M9" s="72"/>
      <c r="N9" s="56"/>
      <c r="O9" s="72"/>
      <c r="P9" s="56"/>
      <c r="Q9" s="72"/>
      <c r="R9" s="56"/>
      <c r="S9" s="236"/>
      <c r="T9" s="56"/>
      <c r="U9" s="42"/>
      <c r="V9" s="56"/>
      <c r="W9" s="42"/>
      <c r="X9" s="233"/>
      <c r="Y9" s="72"/>
      <c r="Z9" s="176"/>
      <c r="AA9" s="176"/>
      <c r="AB9" s="176"/>
      <c r="AC9" s="176"/>
      <c r="AD9" s="176"/>
      <c r="AE9" s="192"/>
    </row>
    <row r="10" ht="18.75" customHeight="1">
      <c r="A10" s="42">
        <v>9.0</v>
      </c>
      <c r="B10" s="176"/>
      <c r="C10" s="88"/>
      <c r="D10" s="56"/>
      <c r="E10" s="72"/>
      <c r="F10" s="56"/>
      <c r="G10" s="72"/>
      <c r="H10" s="56"/>
      <c r="I10" s="72"/>
      <c r="J10" s="56"/>
      <c r="K10" s="72"/>
      <c r="L10" s="56"/>
      <c r="M10" s="72"/>
      <c r="N10" s="56"/>
      <c r="O10" s="72"/>
      <c r="P10" s="56"/>
      <c r="Q10" s="72"/>
      <c r="R10" s="56"/>
      <c r="S10" s="236"/>
      <c r="T10" s="56"/>
      <c r="U10" s="42"/>
      <c r="V10" s="56"/>
      <c r="W10" s="42"/>
      <c r="X10" s="233"/>
      <c r="Y10" s="72"/>
      <c r="Z10" s="176"/>
      <c r="AA10" s="176"/>
      <c r="AB10" s="176"/>
      <c r="AC10" s="176"/>
      <c r="AD10" s="176"/>
      <c r="AE10" s="193"/>
    </row>
    <row r="11" ht="24.0" customHeight="1">
      <c r="A11" s="42">
        <v>10.0</v>
      </c>
      <c r="B11" s="176"/>
      <c r="C11" s="88"/>
      <c r="D11" s="56"/>
      <c r="E11" s="72"/>
      <c r="F11" s="56"/>
      <c r="G11" s="72"/>
      <c r="H11" s="56"/>
      <c r="I11" s="72"/>
      <c r="J11" s="56"/>
      <c r="K11" s="72"/>
      <c r="L11" s="56"/>
      <c r="M11" s="72"/>
      <c r="N11" s="56"/>
      <c r="O11" s="72"/>
      <c r="P11" s="56"/>
      <c r="Q11" s="72"/>
      <c r="R11" s="56"/>
      <c r="S11" s="236"/>
      <c r="T11" s="56"/>
      <c r="U11" s="42"/>
      <c r="V11" s="56"/>
      <c r="W11" s="42"/>
      <c r="X11" s="233"/>
      <c r="Y11" s="72"/>
      <c r="Z11" s="176"/>
      <c r="AA11" s="176"/>
      <c r="AB11" s="176"/>
      <c r="AC11" s="176"/>
      <c r="AD11" s="176"/>
      <c r="AE11" s="193"/>
    </row>
    <row r="12" ht="23.25" customHeight="1">
      <c r="A12" s="42">
        <v>11.0</v>
      </c>
      <c r="B12" s="176"/>
      <c r="C12" s="88"/>
      <c r="D12" s="56"/>
      <c r="E12" s="72"/>
      <c r="F12" s="56"/>
      <c r="G12" s="72"/>
      <c r="H12" s="56"/>
      <c r="I12" s="72"/>
      <c r="J12" s="56"/>
      <c r="K12" s="72"/>
      <c r="L12" s="56"/>
      <c r="M12" s="72"/>
      <c r="N12" s="56"/>
      <c r="O12" s="72"/>
      <c r="P12" s="56"/>
      <c r="Q12" s="72"/>
      <c r="R12" s="56"/>
      <c r="S12" s="236"/>
      <c r="T12" s="56"/>
      <c r="U12" s="43"/>
      <c r="V12" s="56"/>
      <c r="W12" s="42"/>
      <c r="X12" s="233"/>
      <c r="Y12" s="72"/>
      <c r="Z12" s="176"/>
      <c r="AA12" s="176"/>
      <c r="AB12" s="176"/>
      <c r="AC12" s="176"/>
      <c r="AD12" s="176"/>
      <c r="AE12" s="193"/>
    </row>
    <row r="13" ht="27.75" customHeight="1">
      <c r="A13" s="42">
        <v>12.0</v>
      </c>
      <c r="B13" s="176"/>
      <c r="C13" s="88"/>
      <c r="D13" s="56"/>
      <c r="E13" s="72"/>
      <c r="F13" s="56"/>
      <c r="G13" s="72"/>
      <c r="H13" s="56"/>
      <c r="I13" s="72"/>
      <c r="J13" s="56"/>
      <c r="K13" s="72"/>
      <c r="L13" s="56"/>
      <c r="M13" s="72"/>
      <c r="N13" s="56"/>
      <c r="O13" s="72"/>
      <c r="P13" s="56"/>
      <c r="Q13" s="72"/>
      <c r="R13" s="56"/>
      <c r="S13" s="236"/>
      <c r="T13" s="56"/>
      <c r="U13" s="43"/>
      <c r="V13" s="56"/>
      <c r="W13" s="42"/>
      <c r="X13" s="233"/>
      <c r="Y13" s="72"/>
      <c r="Z13" s="176"/>
      <c r="AA13" s="176"/>
      <c r="AB13" s="176"/>
      <c r="AC13" s="176"/>
      <c r="AD13" s="176"/>
      <c r="AE13" s="193"/>
    </row>
    <row r="14" ht="29.25" customHeight="1">
      <c r="A14" s="42">
        <v>13.0</v>
      </c>
      <c r="B14" s="176"/>
      <c r="C14" s="88"/>
      <c r="D14" s="56"/>
      <c r="E14" s="72"/>
      <c r="F14" s="56"/>
      <c r="G14" s="72"/>
      <c r="H14" s="56"/>
      <c r="I14" s="56"/>
      <c r="J14" s="56"/>
      <c r="K14" s="72"/>
      <c r="L14" s="56"/>
      <c r="M14" s="72"/>
      <c r="N14" s="56"/>
      <c r="O14" s="72"/>
      <c r="P14" s="56"/>
      <c r="Q14" s="72"/>
      <c r="R14" s="56"/>
      <c r="S14" s="72"/>
      <c r="T14" s="56"/>
      <c r="U14" s="42"/>
      <c r="V14" s="56"/>
      <c r="W14" s="42"/>
      <c r="X14" s="233"/>
      <c r="Y14" s="72"/>
      <c r="Z14" s="176"/>
      <c r="AA14" s="176"/>
      <c r="AB14" s="176"/>
      <c r="AC14" s="176"/>
      <c r="AD14" s="176"/>
      <c r="AE14" s="193"/>
    </row>
    <row r="15" ht="28.5" customHeight="1">
      <c r="A15" s="42">
        <v>14.0</v>
      </c>
      <c r="B15" s="176"/>
      <c r="C15" s="88"/>
      <c r="D15" s="56"/>
      <c r="E15" s="72"/>
      <c r="F15" s="56"/>
      <c r="G15" s="72"/>
      <c r="H15" s="56"/>
      <c r="I15" s="72"/>
      <c r="J15" s="56"/>
      <c r="K15" s="72"/>
      <c r="L15" s="56"/>
      <c r="M15" s="72"/>
      <c r="N15" s="56"/>
      <c r="O15" s="72"/>
      <c r="P15" s="56"/>
      <c r="Q15" s="72"/>
      <c r="R15" s="56"/>
      <c r="S15" s="236"/>
      <c r="T15" s="56"/>
      <c r="U15" s="42"/>
      <c r="V15" s="56"/>
      <c r="W15" s="42"/>
      <c r="X15" s="233"/>
      <c r="Y15" s="72"/>
      <c r="Z15" s="176"/>
      <c r="AA15" s="176"/>
      <c r="AB15" s="176"/>
      <c r="AC15" s="176"/>
      <c r="AD15" s="176"/>
      <c r="AE15" s="193"/>
    </row>
    <row r="16" ht="24.75" customHeight="1">
      <c r="A16" s="42">
        <v>15.0</v>
      </c>
      <c r="B16" s="176"/>
      <c r="C16" s="88"/>
      <c r="D16" s="56"/>
      <c r="E16" s="72"/>
      <c r="F16" s="56"/>
      <c r="G16" s="72"/>
      <c r="H16" s="56"/>
      <c r="I16" s="72"/>
      <c r="J16" s="56"/>
      <c r="K16" s="72"/>
      <c r="L16" s="56"/>
      <c r="M16" s="72"/>
      <c r="N16" s="56"/>
      <c r="O16" s="72"/>
      <c r="P16" s="56"/>
      <c r="Q16" s="72"/>
      <c r="R16" s="56"/>
      <c r="S16" s="236"/>
      <c r="T16" s="56"/>
      <c r="U16" s="42"/>
      <c r="V16" s="56"/>
      <c r="W16" s="42"/>
      <c r="X16" s="233"/>
      <c r="Y16" s="72"/>
      <c r="Z16" s="176"/>
      <c r="AA16" s="176"/>
      <c r="AB16" s="176"/>
      <c r="AC16" s="176"/>
      <c r="AD16" s="176"/>
      <c r="AE16" s="193"/>
    </row>
    <row r="17" ht="21.0" customHeight="1">
      <c r="A17" s="42">
        <v>16.0</v>
      </c>
      <c r="B17" s="176"/>
      <c r="C17" s="88"/>
      <c r="D17" s="56"/>
      <c r="E17" s="72"/>
      <c r="F17" s="56"/>
      <c r="G17" s="72"/>
      <c r="H17" s="56"/>
      <c r="I17" s="72"/>
      <c r="J17" s="56"/>
      <c r="K17" s="72"/>
      <c r="L17" s="56"/>
      <c r="M17" s="72"/>
      <c r="N17" s="56"/>
      <c r="O17" s="72"/>
      <c r="P17" s="56"/>
      <c r="Q17" s="72"/>
      <c r="R17" s="56"/>
      <c r="S17" s="72"/>
      <c r="T17" s="56"/>
      <c r="U17" s="42"/>
      <c r="V17" s="56"/>
      <c r="W17" s="42"/>
      <c r="X17" s="233"/>
      <c r="Y17" s="72"/>
      <c r="Z17" s="176"/>
      <c r="AA17" s="176"/>
      <c r="AB17" s="176"/>
      <c r="AC17" s="176"/>
      <c r="AD17" s="176"/>
      <c r="AE17" s="193"/>
    </row>
    <row r="18" ht="18.0" customHeight="1">
      <c r="A18" s="42">
        <v>17.0</v>
      </c>
      <c r="B18" s="176"/>
      <c r="C18" s="88"/>
      <c r="D18" s="56"/>
      <c r="E18" s="72"/>
      <c r="F18" s="56"/>
      <c r="G18" s="72"/>
      <c r="H18" s="56"/>
      <c r="I18" s="72"/>
      <c r="J18" s="56"/>
      <c r="K18" s="72"/>
      <c r="L18" s="56"/>
      <c r="M18" s="72"/>
      <c r="N18" s="56"/>
      <c r="O18" s="72"/>
      <c r="P18" s="56"/>
      <c r="Q18" s="72"/>
      <c r="R18" s="56"/>
      <c r="S18" s="236"/>
      <c r="T18" s="56"/>
      <c r="U18" s="43"/>
      <c r="V18" s="56"/>
      <c r="W18" s="42"/>
      <c r="X18" s="233"/>
      <c r="Y18" s="72"/>
      <c r="Z18" s="176"/>
      <c r="AA18" s="176"/>
      <c r="AB18" s="176"/>
      <c r="AC18" s="176"/>
      <c r="AD18" s="176"/>
      <c r="AE18" s="193"/>
    </row>
    <row r="19" ht="22.5" customHeight="1">
      <c r="A19" s="42">
        <v>18.0</v>
      </c>
      <c r="B19" s="176"/>
      <c r="C19" s="88"/>
      <c r="D19" s="56"/>
      <c r="E19" s="72"/>
      <c r="F19" s="56"/>
      <c r="G19" s="72"/>
      <c r="H19" s="56"/>
      <c r="I19" s="72"/>
      <c r="J19" s="56"/>
      <c r="K19" s="72"/>
      <c r="L19" s="56"/>
      <c r="M19" s="72"/>
      <c r="N19" s="56"/>
      <c r="O19" s="72"/>
      <c r="P19" s="56"/>
      <c r="Q19" s="72"/>
      <c r="R19" s="56"/>
      <c r="S19" s="72"/>
      <c r="T19" s="56"/>
      <c r="U19" s="42"/>
      <c r="V19" s="56"/>
      <c r="W19" s="42"/>
      <c r="X19" s="233"/>
      <c r="Y19" s="72"/>
      <c r="Z19" s="176"/>
      <c r="AA19" s="176"/>
      <c r="AB19" s="176"/>
      <c r="AC19" s="176"/>
      <c r="AD19" s="176"/>
      <c r="AE19" s="193"/>
    </row>
    <row r="20" ht="41.25" customHeight="1">
      <c r="A20" s="42">
        <v>19.0</v>
      </c>
      <c r="B20" s="95"/>
      <c r="C20" s="88"/>
      <c r="D20" s="56"/>
      <c r="E20" s="72"/>
      <c r="F20" s="56"/>
      <c r="G20" s="72"/>
      <c r="H20" s="56"/>
      <c r="I20" s="72"/>
      <c r="J20" s="56"/>
      <c r="K20" s="72"/>
      <c r="L20" s="56"/>
      <c r="M20" s="72"/>
      <c r="N20" s="56"/>
      <c r="O20" s="72"/>
      <c r="P20" s="56"/>
      <c r="Q20" s="72"/>
      <c r="R20" s="56"/>
      <c r="S20" s="72"/>
      <c r="T20" s="56"/>
      <c r="U20" s="43"/>
      <c r="V20" s="56"/>
      <c r="W20" s="42"/>
      <c r="X20" s="233"/>
      <c r="Y20" s="72"/>
      <c r="Z20" s="176"/>
      <c r="AA20" s="176"/>
      <c r="AB20" s="176"/>
      <c r="AC20" s="176"/>
      <c r="AD20" s="176"/>
      <c r="AE20" s="193"/>
    </row>
    <row r="21" ht="64.5" customHeight="1">
      <c r="A21" s="42">
        <v>20.0</v>
      </c>
      <c r="B21" s="95"/>
      <c r="C21" s="88"/>
      <c r="D21" s="56" t="str">
        <f t="shared" ref="D21:D30" si="13">VLOOKUP(C21,$B$41:$C$49,2)</f>
        <v>U</v>
      </c>
      <c r="E21" s="72"/>
      <c r="F21" s="56" t="str">
        <f t="shared" ref="F21:F30" si="14">VLOOKUP(E21,$B$41:$C$49,2)</f>
        <v>U</v>
      </c>
      <c r="G21" s="72"/>
      <c r="H21" s="56" t="str">
        <f t="shared" ref="H21:H30" si="15">VLOOKUP(G21,$B$41:$C$49,2)</f>
        <v>U</v>
      </c>
      <c r="I21" s="72"/>
      <c r="J21" s="56" t="str">
        <f t="shared" ref="J21:J30" si="16">VLOOKUP(I21,$B$41:$C$49,2)</f>
        <v>U</v>
      </c>
      <c r="K21" s="72"/>
      <c r="L21" s="56" t="str">
        <f t="shared" ref="L21:L30" si="17">VLOOKUP(K21,$B$41:$C$49,2)</f>
        <v>U</v>
      </c>
      <c r="M21" s="72"/>
      <c r="N21" s="56" t="str">
        <f t="shared" ref="N21:N30" si="18">VLOOKUP(M21,$B$41:$C$49,2)</f>
        <v>U</v>
      </c>
      <c r="O21" s="72"/>
      <c r="P21" s="56" t="str">
        <f t="shared" ref="P21:P30" si="19">VLOOKUP(O21,$B$41:$C$49,2)</f>
        <v>U</v>
      </c>
      <c r="Q21" s="72"/>
      <c r="R21" s="56" t="str">
        <f t="shared" ref="R21:R30" si="20">VLOOKUP(Q21,$B$41:$C$49,2)</f>
        <v>U</v>
      </c>
      <c r="S21" s="236"/>
      <c r="T21" s="56" t="str">
        <f t="shared" ref="T21:T30" si="21">VLOOKUP(S21,$B$41:$C$49,2)</f>
        <v>U</v>
      </c>
      <c r="U21" s="43"/>
      <c r="V21" s="56" t="str">
        <f t="shared" ref="V21:V30" si="22">VLOOKUP(U21,$B$41:$C$49,2)</f>
        <v>U</v>
      </c>
      <c r="W21" s="42"/>
      <c r="X21" s="233" t="str">
        <f t="shared" ref="X21:X30" si="23">AVERAGE(C21,E21,G21,I21,K21,M21,O21,Q21,S21,U21)</f>
        <v>#DIV/0!</v>
      </c>
      <c r="Y21" s="72" t="str">
        <f t="shared" ref="Y21:Y30" si="24">RANK(X21,$X$2:$X$30)</f>
        <v>#DIV/0!</v>
      </c>
      <c r="Z21" s="176"/>
      <c r="AA21" s="176"/>
      <c r="AB21" s="176"/>
      <c r="AC21" s="176"/>
      <c r="AD21" s="176"/>
      <c r="AE21" s="193"/>
    </row>
    <row r="22" ht="73.5" customHeight="1">
      <c r="A22" s="42">
        <v>21.0</v>
      </c>
      <c r="B22" s="95"/>
      <c r="C22" s="88"/>
      <c r="D22" s="56" t="str">
        <f t="shared" si="13"/>
        <v>U</v>
      </c>
      <c r="E22" s="72"/>
      <c r="F22" s="56" t="str">
        <f t="shared" si="14"/>
        <v>U</v>
      </c>
      <c r="G22" s="72"/>
      <c r="H22" s="56" t="str">
        <f t="shared" si="15"/>
        <v>U</v>
      </c>
      <c r="I22" s="72"/>
      <c r="J22" s="56" t="str">
        <f t="shared" si="16"/>
        <v>U</v>
      </c>
      <c r="K22" s="72"/>
      <c r="L22" s="56" t="str">
        <f t="shared" si="17"/>
        <v>U</v>
      </c>
      <c r="M22" s="72"/>
      <c r="N22" s="56" t="str">
        <f t="shared" si="18"/>
        <v>U</v>
      </c>
      <c r="O22" s="72"/>
      <c r="P22" s="56" t="str">
        <f t="shared" si="19"/>
        <v>U</v>
      </c>
      <c r="Q22" s="72"/>
      <c r="R22" s="56" t="str">
        <f t="shared" si="20"/>
        <v>U</v>
      </c>
      <c r="S22" s="236"/>
      <c r="T22" s="56" t="str">
        <f t="shared" si="21"/>
        <v>U</v>
      </c>
      <c r="U22" s="43"/>
      <c r="V22" s="56" t="str">
        <f t="shared" si="22"/>
        <v>U</v>
      </c>
      <c r="W22" s="42"/>
      <c r="X22" s="233" t="str">
        <f t="shared" si="23"/>
        <v>#DIV/0!</v>
      </c>
      <c r="Y22" s="72" t="str">
        <f t="shared" si="24"/>
        <v>#DIV/0!</v>
      </c>
      <c r="Z22" s="176"/>
      <c r="AA22" s="176"/>
      <c r="AB22" s="176"/>
      <c r="AC22" s="176"/>
      <c r="AD22" s="176"/>
      <c r="AE22" s="193"/>
    </row>
    <row r="23" ht="37.5" customHeight="1">
      <c r="A23" s="42">
        <v>22.0</v>
      </c>
      <c r="B23" s="95"/>
      <c r="C23" s="88"/>
      <c r="D23" s="56" t="str">
        <f t="shared" si="13"/>
        <v>U</v>
      </c>
      <c r="E23" s="72"/>
      <c r="F23" s="56" t="str">
        <f t="shared" si="14"/>
        <v>U</v>
      </c>
      <c r="G23" s="72"/>
      <c r="H23" s="56" t="str">
        <f t="shared" si="15"/>
        <v>U</v>
      </c>
      <c r="I23" s="72"/>
      <c r="J23" s="56" t="str">
        <f t="shared" si="16"/>
        <v>U</v>
      </c>
      <c r="K23" s="72"/>
      <c r="L23" s="56" t="str">
        <f t="shared" si="17"/>
        <v>U</v>
      </c>
      <c r="M23" s="72"/>
      <c r="N23" s="56" t="str">
        <f t="shared" si="18"/>
        <v>U</v>
      </c>
      <c r="O23" s="72"/>
      <c r="P23" s="56" t="str">
        <f t="shared" si="19"/>
        <v>U</v>
      </c>
      <c r="Q23" s="72"/>
      <c r="R23" s="56" t="str">
        <f t="shared" si="20"/>
        <v>U</v>
      </c>
      <c r="S23" s="236"/>
      <c r="T23" s="56" t="str">
        <f t="shared" si="21"/>
        <v>U</v>
      </c>
      <c r="U23" s="43"/>
      <c r="V23" s="56" t="str">
        <f t="shared" si="22"/>
        <v>U</v>
      </c>
      <c r="W23" s="42"/>
      <c r="X23" s="233" t="str">
        <f t="shared" si="23"/>
        <v>#DIV/0!</v>
      </c>
      <c r="Y23" s="72" t="str">
        <f t="shared" si="24"/>
        <v>#DIV/0!</v>
      </c>
      <c r="Z23" s="176"/>
      <c r="AA23" s="176"/>
      <c r="AB23" s="176"/>
      <c r="AC23" s="176"/>
      <c r="AD23" s="176"/>
      <c r="AE23" s="193"/>
    </row>
    <row r="24" ht="48.75" customHeight="1">
      <c r="A24" s="42">
        <v>23.0</v>
      </c>
      <c r="B24" s="95"/>
      <c r="C24" s="88"/>
      <c r="D24" s="56" t="str">
        <f t="shared" si="13"/>
        <v>U</v>
      </c>
      <c r="E24" s="72"/>
      <c r="F24" s="56" t="str">
        <f t="shared" si="14"/>
        <v>U</v>
      </c>
      <c r="G24" s="72"/>
      <c r="H24" s="56" t="str">
        <f t="shared" si="15"/>
        <v>U</v>
      </c>
      <c r="I24" s="72"/>
      <c r="J24" s="56" t="str">
        <f t="shared" si="16"/>
        <v>U</v>
      </c>
      <c r="K24" s="72"/>
      <c r="L24" s="56" t="str">
        <f t="shared" si="17"/>
        <v>U</v>
      </c>
      <c r="M24" s="72"/>
      <c r="N24" s="56" t="str">
        <f t="shared" si="18"/>
        <v>U</v>
      </c>
      <c r="O24" s="72"/>
      <c r="P24" s="56" t="str">
        <f t="shared" si="19"/>
        <v>U</v>
      </c>
      <c r="Q24" s="72"/>
      <c r="R24" s="56" t="str">
        <f t="shared" si="20"/>
        <v>U</v>
      </c>
      <c r="S24" s="236"/>
      <c r="T24" s="56" t="str">
        <f t="shared" si="21"/>
        <v>U</v>
      </c>
      <c r="U24" s="43"/>
      <c r="V24" s="56" t="str">
        <f t="shared" si="22"/>
        <v>U</v>
      </c>
      <c r="W24" s="42"/>
      <c r="X24" s="233" t="str">
        <f t="shared" si="23"/>
        <v>#DIV/0!</v>
      </c>
      <c r="Y24" s="72" t="str">
        <f t="shared" si="24"/>
        <v>#DIV/0!</v>
      </c>
      <c r="Z24" s="176"/>
      <c r="AA24" s="176"/>
      <c r="AB24" s="176"/>
      <c r="AC24" s="176"/>
      <c r="AD24" s="176"/>
      <c r="AE24" s="193"/>
    </row>
    <row r="25" ht="25.5" customHeight="1">
      <c r="A25" s="42">
        <v>24.0</v>
      </c>
      <c r="B25" s="95"/>
      <c r="C25" s="88"/>
      <c r="D25" s="56" t="str">
        <f t="shared" si="13"/>
        <v>U</v>
      </c>
      <c r="E25" s="72"/>
      <c r="F25" s="56" t="str">
        <f t="shared" si="14"/>
        <v>U</v>
      </c>
      <c r="G25" s="72"/>
      <c r="H25" s="56" t="str">
        <f t="shared" si="15"/>
        <v>U</v>
      </c>
      <c r="I25" s="72"/>
      <c r="J25" s="56" t="str">
        <f t="shared" si="16"/>
        <v>U</v>
      </c>
      <c r="K25" s="72"/>
      <c r="L25" s="56" t="str">
        <f t="shared" si="17"/>
        <v>U</v>
      </c>
      <c r="M25" s="72"/>
      <c r="N25" s="56" t="str">
        <f t="shared" si="18"/>
        <v>U</v>
      </c>
      <c r="O25" s="72"/>
      <c r="P25" s="56" t="str">
        <f t="shared" si="19"/>
        <v>U</v>
      </c>
      <c r="Q25" s="72"/>
      <c r="R25" s="56" t="str">
        <f t="shared" si="20"/>
        <v>U</v>
      </c>
      <c r="S25" s="236"/>
      <c r="T25" s="56" t="str">
        <f t="shared" si="21"/>
        <v>U</v>
      </c>
      <c r="U25" s="43"/>
      <c r="V25" s="56" t="str">
        <f t="shared" si="22"/>
        <v>U</v>
      </c>
      <c r="W25" s="42"/>
      <c r="X25" s="233" t="str">
        <f t="shared" si="23"/>
        <v>#DIV/0!</v>
      </c>
      <c r="Y25" s="72" t="str">
        <f t="shared" si="24"/>
        <v>#DIV/0!</v>
      </c>
      <c r="Z25" s="176"/>
      <c r="AA25" s="176"/>
      <c r="AB25" s="176"/>
      <c r="AC25" s="176"/>
      <c r="AD25" s="176"/>
      <c r="AE25" s="193"/>
    </row>
    <row r="26" ht="27.0" customHeight="1">
      <c r="A26" s="42">
        <v>25.0</v>
      </c>
      <c r="B26" s="95"/>
      <c r="C26" s="88"/>
      <c r="D26" s="56" t="str">
        <f t="shared" si="13"/>
        <v>U</v>
      </c>
      <c r="E26" s="72"/>
      <c r="F26" s="56" t="str">
        <f t="shared" si="14"/>
        <v>U</v>
      </c>
      <c r="G26" s="72"/>
      <c r="H26" s="56" t="str">
        <f t="shared" si="15"/>
        <v>U</v>
      </c>
      <c r="I26" s="72"/>
      <c r="J26" s="56" t="str">
        <f t="shared" si="16"/>
        <v>U</v>
      </c>
      <c r="K26" s="72"/>
      <c r="L26" s="56" t="str">
        <f t="shared" si="17"/>
        <v>U</v>
      </c>
      <c r="M26" s="72"/>
      <c r="N26" s="56" t="str">
        <f t="shared" si="18"/>
        <v>U</v>
      </c>
      <c r="O26" s="72"/>
      <c r="P26" s="56" t="str">
        <f t="shared" si="19"/>
        <v>U</v>
      </c>
      <c r="Q26" s="72"/>
      <c r="R26" s="56" t="str">
        <f t="shared" si="20"/>
        <v>U</v>
      </c>
      <c r="S26" s="236"/>
      <c r="T26" s="56" t="str">
        <f t="shared" si="21"/>
        <v>U</v>
      </c>
      <c r="U26" s="43"/>
      <c r="V26" s="56" t="str">
        <f t="shared" si="22"/>
        <v>U</v>
      </c>
      <c r="W26" s="42"/>
      <c r="X26" s="233" t="str">
        <f t="shared" si="23"/>
        <v>#DIV/0!</v>
      </c>
      <c r="Y26" s="72" t="str">
        <f t="shared" si="24"/>
        <v>#DIV/0!</v>
      </c>
      <c r="Z26" s="42"/>
      <c r="AA26" s="42"/>
      <c r="AB26" s="42"/>
      <c r="AC26" s="42"/>
      <c r="AD26" s="42"/>
      <c r="AE26" s="193"/>
    </row>
    <row r="27" ht="27.0" customHeight="1">
      <c r="A27" s="42">
        <v>26.0</v>
      </c>
      <c r="B27" s="95"/>
      <c r="C27" s="88"/>
      <c r="D27" s="56" t="str">
        <f t="shared" si="13"/>
        <v>U</v>
      </c>
      <c r="E27" s="72"/>
      <c r="F27" s="56" t="str">
        <f t="shared" si="14"/>
        <v>U</v>
      </c>
      <c r="G27" s="72"/>
      <c r="H27" s="56" t="str">
        <f t="shared" si="15"/>
        <v>U</v>
      </c>
      <c r="I27" s="72"/>
      <c r="J27" s="56" t="str">
        <f t="shared" si="16"/>
        <v>U</v>
      </c>
      <c r="K27" s="72"/>
      <c r="L27" s="56" t="str">
        <f t="shared" si="17"/>
        <v>U</v>
      </c>
      <c r="M27" s="72"/>
      <c r="N27" s="56" t="str">
        <f t="shared" si="18"/>
        <v>U</v>
      </c>
      <c r="O27" s="72"/>
      <c r="P27" s="56" t="str">
        <f t="shared" si="19"/>
        <v>U</v>
      </c>
      <c r="Q27" s="72"/>
      <c r="R27" s="56" t="str">
        <f t="shared" si="20"/>
        <v>U</v>
      </c>
      <c r="S27" s="236"/>
      <c r="T27" s="56" t="str">
        <f t="shared" si="21"/>
        <v>U</v>
      </c>
      <c r="U27" s="43"/>
      <c r="V27" s="56" t="str">
        <f t="shared" si="22"/>
        <v>U</v>
      </c>
      <c r="W27" s="42"/>
      <c r="X27" s="233" t="str">
        <f t="shared" si="23"/>
        <v>#DIV/0!</v>
      </c>
      <c r="Y27" s="72" t="str">
        <f t="shared" si="24"/>
        <v>#DIV/0!</v>
      </c>
      <c r="Z27" s="42"/>
      <c r="AA27" s="42"/>
      <c r="AB27" s="42"/>
      <c r="AC27" s="42"/>
      <c r="AD27" s="42"/>
      <c r="AE27" s="193"/>
    </row>
    <row r="28" ht="39.0" customHeight="1">
      <c r="A28" s="42">
        <v>27.0</v>
      </c>
      <c r="B28" s="95"/>
      <c r="C28" s="88"/>
      <c r="D28" s="56" t="str">
        <f t="shared" si="13"/>
        <v>U</v>
      </c>
      <c r="E28" s="72"/>
      <c r="F28" s="56" t="str">
        <f t="shared" si="14"/>
        <v>U</v>
      </c>
      <c r="G28" s="72"/>
      <c r="H28" s="56" t="str">
        <f t="shared" si="15"/>
        <v>U</v>
      </c>
      <c r="I28" s="72"/>
      <c r="J28" s="56" t="str">
        <f t="shared" si="16"/>
        <v>U</v>
      </c>
      <c r="K28" s="72"/>
      <c r="L28" s="56" t="str">
        <f t="shared" si="17"/>
        <v>U</v>
      </c>
      <c r="M28" s="72"/>
      <c r="N28" s="56" t="str">
        <f t="shared" si="18"/>
        <v>U</v>
      </c>
      <c r="O28" s="72"/>
      <c r="P28" s="56" t="str">
        <f t="shared" si="19"/>
        <v>U</v>
      </c>
      <c r="Q28" s="72"/>
      <c r="R28" s="56" t="str">
        <f t="shared" si="20"/>
        <v>U</v>
      </c>
      <c r="S28" s="72"/>
      <c r="T28" s="56" t="str">
        <f t="shared" si="21"/>
        <v>U</v>
      </c>
      <c r="U28" s="42"/>
      <c r="V28" s="56" t="str">
        <f t="shared" si="22"/>
        <v>U</v>
      </c>
      <c r="W28" s="42"/>
      <c r="X28" s="233" t="str">
        <f t="shared" si="23"/>
        <v>#DIV/0!</v>
      </c>
      <c r="Y28" s="72" t="str">
        <f t="shared" si="24"/>
        <v>#DIV/0!</v>
      </c>
      <c r="Z28" s="42"/>
      <c r="AA28" s="42"/>
      <c r="AB28" s="42"/>
      <c r="AC28" s="42"/>
      <c r="AD28" s="42"/>
      <c r="AE28" s="193"/>
    </row>
    <row r="29" ht="27.75" customHeight="1">
      <c r="A29" s="42">
        <v>28.0</v>
      </c>
      <c r="B29" s="95"/>
      <c r="C29" s="88"/>
      <c r="D29" s="56" t="str">
        <f t="shared" si="13"/>
        <v>U</v>
      </c>
      <c r="E29" s="72"/>
      <c r="F29" s="56" t="str">
        <f t="shared" si="14"/>
        <v>U</v>
      </c>
      <c r="G29" s="72"/>
      <c r="H29" s="56" t="str">
        <f t="shared" si="15"/>
        <v>U</v>
      </c>
      <c r="I29" s="72"/>
      <c r="J29" s="56" t="str">
        <f t="shared" si="16"/>
        <v>U</v>
      </c>
      <c r="K29" s="72"/>
      <c r="L29" s="56" t="str">
        <f t="shared" si="17"/>
        <v>U</v>
      </c>
      <c r="M29" s="72"/>
      <c r="N29" s="56" t="str">
        <f t="shared" si="18"/>
        <v>U</v>
      </c>
      <c r="O29" s="72"/>
      <c r="P29" s="56" t="str">
        <f t="shared" si="19"/>
        <v>U</v>
      </c>
      <c r="Q29" s="72"/>
      <c r="R29" s="56" t="str">
        <f t="shared" si="20"/>
        <v>U</v>
      </c>
      <c r="S29" s="72"/>
      <c r="T29" s="56" t="str">
        <f t="shared" si="21"/>
        <v>U</v>
      </c>
      <c r="U29" s="42"/>
      <c r="V29" s="56" t="str">
        <f t="shared" si="22"/>
        <v>U</v>
      </c>
      <c r="W29" s="42"/>
      <c r="X29" s="233" t="str">
        <f t="shared" si="23"/>
        <v>#DIV/0!</v>
      </c>
      <c r="Y29" s="72" t="str">
        <f t="shared" si="24"/>
        <v>#DIV/0!</v>
      </c>
      <c r="Z29" s="42"/>
      <c r="AA29" s="42"/>
      <c r="AB29" s="42"/>
      <c r="AC29" s="42"/>
      <c r="AD29" s="42"/>
      <c r="AE29" s="193"/>
    </row>
    <row r="30" ht="27.0" customHeight="1">
      <c r="A30" s="192">
        <v>29.0</v>
      </c>
      <c r="B30" s="192"/>
      <c r="C30" s="88"/>
      <c r="D30" s="56" t="str">
        <f t="shared" si="13"/>
        <v>U</v>
      </c>
      <c r="E30" s="72"/>
      <c r="F30" s="56" t="str">
        <f t="shared" si="14"/>
        <v>U</v>
      </c>
      <c r="G30" s="72"/>
      <c r="H30" s="56" t="str">
        <f t="shared" si="15"/>
        <v>U</v>
      </c>
      <c r="I30" s="72"/>
      <c r="J30" s="56" t="str">
        <f t="shared" si="16"/>
        <v>U</v>
      </c>
      <c r="K30" s="72"/>
      <c r="L30" s="56" t="str">
        <f t="shared" si="17"/>
        <v>U</v>
      </c>
      <c r="M30" s="72"/>
      <c r="N30" s="56" t="str">
        <f t="shared" si="18"/>
        <v>U</v>
      </c>
      <c r="O30" s="72"/>
      <c r="P30" s="56" t="str">
        <f t="shared" si="19"/>
        <v>U</v>
      </c>
      <c r="Q30" s="72"/>
      <c r="R30" s="56" t="str">
        <f t="shared" si="20"/>
        <v>U</v>
      </c>
      <c r="S30" s="72"/>
      <c r="T30" s="56" t="str">
        <f t="shared" si="21"/>
        <v>U</v>
      </c>
      <c r="U30" s="42"/>
      <c r="V30" s="56" t="str">
        <f t="shared" si="22"/>
        <v>U</v>
      </c>
      <c r="W30" s="192"/>
      <c r="X30" s="233" t="str">
        <f t="shared" si="23"/>
        <v>#DIV/0!</v>
      </c>
      <c r="Y30" s="72" t="str">
        <f t="shared" si="24"/>
        <v>#DIV/0!</v>
      </c>
      <c r="Z30" s="192"/>
      <c r="AA30" s="192"/>
      <c r="AB30" s="192"/>
      <c r="AC30" s="192"/>
      <c r="AD30" s="192"/>
      <c r="AE30" s="193"/>
    </row>
    <row r="31" ht="15.75" customHeight="1">
      <c r="A31" s="113">
        <v>30.0</v>
      </c>
      <c r="B31" s="101"/>
      <c r="C31" s="147"/>
      <c r="D31" s="103"/>
      <c r="E31" s="33"/>
      <c r="F31" s="105"/>
      <c r="G31" s="33"/>
      <c r="H31" s="105"/>
      <c r="I31" s="33"/>
      <c r="J31" s="105"/>
      <c r="K31" s="33"/>
      <c r="L31" s="105"/>
      <c r="M31" s="33"/>
      <c r="N31" s="105"/>
      <c r="O31" s="33"/>
      <c r="P31" s="105"/>
      <c r="Q31" s="33"/>
      <c r="R31" s="105"/>
      <c r="S31" s="33"/>
      <c r="T31" s="101"/>
      <c r="U31" s="33"/>
      <c r="V31" s="101"/>
      <c r="W31" s="101"/>
      <c r="X31" s="101"/>
      <c r="Y31" s="101"/>
      <c r="Z31" s="101"/>
      <c r="AA31" s="101"/>
    </row>
    <row r="32" ht="15.75" customHeight="1">
      <c r="B32" s="101"/>
      <c r="C32" s="147"/>
      <c r="D32" s="103"/>
      <c r="E32" s="33"/>
      <c r="F32" s="105"/>
      <c r="G32" s="33"/>
      <c r="H32" s="105"/>
      <c r="I32" s="33"/>
      <c r="J32" s="105"/>
      <c r="K32" s="33"/>
      <c r="L32" s="105"/>
      <c r="M32" s="33"/>
      <c r="N32" s="105"/>
      <c r="O32" s="33"/>
      <c r="P32" s="105"/>
      <c r="Q32" s="33"/>
      <c r="R32" s="105"/>
      <c r="S32" s="33"/>
      <c r="T32" s="101"/>
      <c r="U32" s="33"/>
      <c r="V32" s="101"/>
      <c r="W32" s="101"/>
      <c r="X32" s="101"/>
      <c r="Y32" s="101"/>
      <c r="Z32" s="101"/>
      <c r="AA32" s="101"/>
      <c r="AE32" s="174"/>
    </row>
    <row r="33" ht="15.75" customHeight="1">
      <c r="B33" s="101"/>
      <c r="C33" s="147"/>
      <c r="D33" s="103"/>
      <c r="E33" s="33"/>
      <c r="F33" s="105"/>
      <c r="G33" s="33"/>
      <c r="H33" s="105"/>
      <c r="I33" s="33"/>
      <c r="J33" s="105"/>
      <c r="K33" s="33"/>
      <c r="L33" s="105"/>
      <c r="M33" s="33"/>
      <c r="N33" s="105"/>
      <c r="O33" s="33"/>
      <c r="P33" s="105"/>
      <c r="Q33" s="33"/>
      <c r="R33" s="105"/>
      <c r="S33" s="33"/>
      <c r="T33" s="101"/>
      <c r="U33" s="33"/>
      <c r="V33" s="101"/>
      <c r="W33" s="101"/>
      <c r="X33" s="101"/>
      <c r="Y33" s="101"/>
      <c r="Z33" s="101"/>
      <c r="AA33" s="101"/>
      <c r="AE33" s="174"/>
    </row>
    <row r="34" ht="15.75" customHeight="1">
      <c r="B34" s="101" t="s">
        <v>33</v>
      </c>
      <c r="C34" s="237">
        <f>AVERAGE(C2:C30)</f>
        <v>34</v>
      </c>
      <c r="D34" s="238"/>
      <c r="E34" s="237">
        <f>AVERAGE(E2:E30)</f>
        <v>62</v>
      </c>
      <c r="F34" s="105"/>
      <c r="G34" s="237">
        <f>AVERAGE(G2:G30)</f>
        <v>41</v>
      </c>
      <c r="H34" s="105"/>
      <c r="I34" s="237">
        <f>AVERAGE(I2:I30)</f>
        <v>71</v>
      </c>
      <c r="J34" s="105"/>
      <c r="K34" s="237" t="str">
        <f>AVERAGE(K2:K30)</f>
        <v>#DIV/0!</v>
      </c>
      <c r="L34" s="105"/>
      <c r="M34" s="237">
        <f>AVERAGE(M2:M30)</f>
        <v>58</v>
      </c>
      <c r="N34" s="105"/>
      <c r="O34" s="237">
        <f>AVERAGE(O2:O30)</f>
        <v>44</v>
      </c>
      <c r="P34" s="105"/>
      <c r="Q34" s="237" t="str">
        <f>AVERAGE(Q2:Q30)</f>
        <v>#DIV/0!</v>
      </c>
      <c r="R34" s="105"/>
      <c r="S34" s="237">
        <f>AVERAGE(S2:S30)</f>
        <v>39.5</v>
      </c>
      <c r="T34" s="101"/>
      <c r="U34" s="237" t="str">
        <f>AVERAGE(U2:U30)</f>
        <v>#DIV/0!</v>
      </c>
      <c r="V34" s="101"/>
      <c r="W34" s="101"/>
      <c r="X34" s="101"/>
      <c r="Y34" s="101"/>
      <c r="Z34" s="101"/>
      <c r="AA34" s="101"/>
      <c r="AE34" s="174"/>
    </row>
    <row r="35" ht="15.75" customHeight="1">
      <c r="B35" s="101" t="s">
        <v>34</v>
      </c>
      <c r="C35" s="104">
        <f>COUNT(C2:C30)</f>
        <v>3</v>
      </c>
      <c r="D35" s="104"/>
      <c r="E35" s="104">
        <f>COUNT(E2:E30)</f>
        <v>1</v>
      </c>
      <c r="F35" s="105"/>
      <c r="G35" s="104">
        <f>COUNT(G2:G30)</f>
        <v>2</v>
      </c>
      <c r="H35" s="105"/>
      <c r="I35" s="104">
        <f>COUNT(I2:I30)</f>
        <v>2</v>
      </c>
      <c r="J35" s="105"/>
      <c r="K35" s="104">
        <f>COUNT(K2:K30)</f>
        <v>0</v>
      </c>
      <c r="L35" s="105"/>
      <c r="M35" s="104">
        <f>COUNT(M2:M30)</f>
        <v>1</v>
      </c>
      <c r="N35" s="105"/>
      <c r="O35" s="104">
        <f>COUNT(O2:O30)</f>
        <v>1</v>
      </c>
      <c r="P35" s="105"/>
      <c r="Q35" s="104">
        <f>COUNT(Q2:Q30)</f>
        <v>0</v>
      </c>
      <c r="R35" s="105"/>
      <c r="S35" s="104">
        <f>COUNT(S2:S30)</f>
        <v>2</v>
      </c>
      <c r="T35" s="101"/>
      <c r="U35" s="104">
        <f>COUNT(U2:U30)</f>
        <v>0</v>
      </c>
      <c r="V35" s="101"/>
      <c r="W35" s="101"/>
      <c r="X35" s="101"/>
      <c r="Y35" s="101"/>
      <c r="Z35" s="101"/>
      <c r="AA35" s="101"/>
      <c r="AE35" s="174"/>
    </row>
    <row r="36" ht="15.75" customHeight="1">
      <c r="B36" s="101" t="s">
        <v>35</v>
      </c>
      <c r="C36" s="104">
        <f>COUNTIF(C2:C30,"&gt;49")</f>
        <v>0</v>
      </c>
      <c r="D36" s="104"/>
      <c r="E36" s="104">
        <f>COUNTIF(E2:E30,"&gt;49")</f>
        <v>1</v>
      </c>
      <c r="F36" s="105"/>
      <c r="G36" s="104">
        <f>COUNTIF(G2:G30,"&gt;49")</f>
        <v>0</v>
      </c>
      <c r="H36" s="105"/>
      <c r="I36" s="104">
        <f>COUNTIF(I2:I30,"&gt;49")</f>
        <v>2</v>
      </c>
      <c r="J36" s="105"/>
      <c r="K36" s="104">
        <f>COUNTIF(K2:K30,"&gt;49")</f>
        <v>0</v>
      </c>
      <c r="L36" s="105"/>
      <c r="M36" s="104">
        <f>COUNTIF(M2:M30,"&gt;49")</f>
        <v>1</v>
      </c>
      <c r="N36" s="105"/>
      <c r="O36" s="104">
        <f>COUNTIF(O2:O30,"&gt;49")</f>
        <v>0</v>
      </c>
      <c r="P36" s="105"/>
      <c r="Q36" s="104">
        <f>COUNTIF(Q2:Q30,"&gt;49")</f>
        <v>0</v>
      </c>
      <c r="R36" s="105"/>
      <c r="S36" s="104">
        <f>COUNTIF(S2:S30,"&gt;49")</f>
        <v>0</v>
      </c>
      <c r="T36" s="101"/>
      <c r="U36" s="104">
        <f>COUNTIF(U2:U30,"&gt;49")</f>
        <v>0</v>
      </c>
      <c r="V36" s="101"/>
      <c r="W36" s="101"/>
      <c r="X36" s="101"/>
      <c r="Y36" s="101"/>
      <c r="Z36" s="101"/>
      <c r="AA36" s="101"/>
      <c r="AE36" s="174"/>
    </row>
    <row r="37" ht="15.75" customHeight="1">
      <c r="B37" s="101" t="s">
        <v>36</v>
      </c>
      <c r="C37" s="104">
        <f>COUNTIF(C2:C30,"&lt;50")</f>
        <v>3</v>
      </c>
      <c r="D37" s="104"/>
      <c r="E37" s="104">
        <f>COUNTIF(E2:E30,"&lt;50")</f>
        <v>0</v>
      </c>
      <c r="F37" s="105"/>
      <c r="G37" s="104">
        <f>COUNTIF(G2:G30,"&lt;50")</f>
        <v>2</v>
      </c>
      <c r="H37" s="105"/>
      <c r="I37" s="104">
        <f>COUNTIF(I2:I30,"&lt;50")</f>
        <v>0</v>
      </c>
      <c r="J37" s="105"/>
      <c r="K37" s="104">
        <f>COUNTIF(K2:K30,"&lt;50")</f>
        <v>0</v>
      </c>
      <c r="L37" s="105"/>
      <c r="M37" s="104">
        <f>COUNTIF(M2:M30,"&lt;50")</f>
        <v>0</v>
      </c>
      <c r="N37" s="105"/>
      <c r="O37" s="104">
        <f>COUNTIF($O$2:$O$30,"&lt;50")</f>
        <v>1</v>
      </c>
      <c r="P37" s="105"/>
      <c r="Q37" s="104">
        <f>COUNTIF(Q2:Q30,"&lt;50")</f>
        <v>0</v>
      </c>
      <c r="R37" s="105"/>
      <c r="S37" s="104">
        <f>COUNTIF($S$2:$S$30,"&lt;50")</f>
        <v>2</v>
      </c>
      <c r="T37" s="101"/>
      <c r="U37" s="104">
        <f>COUNTIF($U$2:$U$30,"&lt;50")</f>
        <v>0</v>
      </c>
      <c r="V37" s="101"/>
      <c r="W37" s="101"/>
      <c r="X37" s="101"/>
      <c r="Y37" s="101"/>
      <c r="Z37" s="101"/>
      <c r="AA37" s="101"/>
      <c r="AE37" s="174"/>
    </row>
    <row r="38" ht="15.75" customHeight="1">
      <c r="B38" s="31" t="s">
        <v>37</v>
      </c>
      <c r="C38" s="107">
        <f>C36*100/C35</f>
        <v>0</v>
      </c>
      <c r="D38" s="109"/>
      <c r="E38" s="107">
        <f>E36*100/E35</f>
        <v>100</v>
      </c>
      <c r="F38" s="110"/>
      <c r="G38" s="107">
        <f>G36*100/G35</f>
        <v>0</v>
      </c>
      <c r="H38" s="110"/>
      <c r="I38" s="107">
        <f>I36*100/I35</f>
        <v>100</v>
      </c>
      <c r="J38" s="110"/>
      <c r="K38" s="107" t="str">
        <f>K36*100/K35</f>
        <v>#DIV/0!</v>
      </c>
      <c r="L38" s="110"/>
      <c r="M38" s="107">
        <f>M36*100/M35</f>
        <v>100</v>
      </c>
      <c r="N38" s="110"/>
      <c r="O38" s="107">
        <f>O36*100/O35</f>
        <v>0</v>
      </c>
      <c r="P38" s="110"/>
      <c r="Q38" s="107" t="str">
        <f>Q36*100/Q35</f>
        <v>#DIV/0!</v>
      </c>
      <c r="R38" s="110"/>
      <c r="S38" s="107">
        <f>S36*100/S35</f>
        <v>0</v>
      </c>
      <c r="T38" s="31"/>
      <c r="U38" s="107" t="str">
        <f>U36*100/U35</f>
        <v>#DIV/0!</v>
      </c>
      <c r="V38" s="31"/>
      <c r="W38" s="31"/>
      <c r="X38" s="31"/>
      <c r="Y38" s="31"/>
      <c r="Z38" s="31"/>
      <c r="AA38" s="31"/>
      <c r="AE38" s="174"/>
    </row>
    <row r="39" ht="15.75" customHeight="1">
      <c r="C39" s="98"/>
      <c r="D39" s="98"/>
      <c r="E39" s="39"/>
      <c r="F39" s="39"/>
      <c r="G39" s="39"/>
      <c r="H39" s="39"/>
      <c r="I39" s="39"/>
      <c r="J39" s="39"/>
      <c r="K39" s="39"/>
      <c r="L39" s="39"/>
      <c r="M39" s="39"/>
      <c r="N39" s="39"/>
      <c r="O39" s="39"/>
      <c r="P39" s="39"/>
      <c r="Q39" s="39"/>
      <c r="R39" s="39"/>
      <c r="S39" s="239"/>
      <c r="AE39" s="174"/>
    </row>
    <row r="40" ht="15.75" customHeight="1">
      <c r="C40" s="98"/>
      <c r="D40" s="98"/>
      <c r="E40" s="39"/>
      <c r="F40" s="39"/>
      <c r="G40" s="39"/>
      <c r="H40" s="39"/>
      <c r="I40" s="39"/>
      <c r="J40" s="39"/>
      <c r="K40" s="39"/>
      <c r="L40" s="39"/>
      <c r="M40" s="39"/>
      <c r="N40" s="39"/>
      <c r="O40" s="39"/>
      <c r="P40" s="39"/>
      <c r="Q40" s="39"/>
      <c r="R40" s="39"/>
      <c r="S40" s="239"/>
      <c r="AE40" s="174"/>
    </row>
    <row r="41" ht="15.75" customHeight="1">
      <c r="A41" s="26" t="s">
        <v>139</v>
      </c>
      <c r="B41" s="26">
        <v>0.0</v>
      </c>
      <c r="C41" s="113" t="s">
        <v>140</v>
      </c>
      <c r="D41" s="98"/>
      <c r="E41" s="39"/>
      <c r="F41" s="39"/>
      <c r="G41" s="39"/>
      <c r="H41" s="39"/>
      <c r="I41" s="39"/>
      <c r="J41" s="39"/>
      <c r="K41" s="39"/>
      <c r="L41" s="39"/>
      <c r="M41" s="39"/>
      <c r="N41" s="39"/>
      <c r="O41" s="39"/>
      <c r="P41" s="39"/>
      <c r="Q41" s="39"/>
      <c r="R41" s="39"/>
      <c r="S41" s="239"/>
      <c r="AE41" s="174"/>
    </row>
    <row r="42" ht="15.75" customHeight="1">
      <c r="A42" s="26" t="s">
        <v>141</v>
      </c>
      <c r="B42" s="26">
        <v>20.0</v>
      </c>
      <c r="C42" s="113" t="s">
        <v>142</v>
      </c>
      <c r="D42" s="98"/>
      <c r="E42" s="39"/>
      <c r="F42" s="39"/>
      <c r="G42" s="39"/>
      <c r="H42" s="39"/>
      <c r="I42" s="39"/>
      <c r="J42" s="39"/>
      <c r="K42" s="39"/>
      <c r="L42" s="39"/>
      <c r="M42" s="39"/>
      <c r="N42" s="39"/>
      <c r="O42" s="39"/>
      <c r="P42" s="39"/>
      <c r="Q42" s="39"/>
      <c r="R42" s="39"/>
      <c r="S42" s="239"/>
      <c r="AE42" s="174"/>
    </row>
    <row r="43" ht="15.75" customHeight="1">
      <c r="A43" s="114" t="s">
        <v>143</v>
      </c>
      <c r="B43" s="115">
        <v>30.0</v>
      </c>
      <c r="C43" s="114" t="s">
        <v>144</v>
      </c>
      <c r="D43" s="98"/>
      <c r="E43" s="39"/>
      <c r="F43" s="39"/>
      <c r="G43" s="39"/>
      <c r="H43" s="39"/>
      <c r="I43" s="39"/>
      <c r="J43" s="39"/>
      <c r="K43" s="39"/>
      <c r="L43" s="39"/>
      <c r="M43" s="39"/>
      <c r="N43" s="39"/>
      <c r="O43" s="39"/>
      <c r="P43" s="39"/>
      <c r="Q43" s="39"/>
      <c r="R43" s="39"/>
      <c r="S43" s="239"/>
      <c r="AE43" s="174"/>
    </row>
    <row r="44" ht="15.75" customHeight="1">
      <c r="A44" s="114" t="s">
        <v>145</v>
      </c>
      <c r="B44" s="115">
        <v>40.0</v>
      </c>
      <c r="C44" s="114" t="s">
        <v>146</v>
      </c>
      <c r="D44" s="98"/>
      <c r="E44" s="39"/>
      <c r="F44" s="39"/>
      <c r="G44" s="39"/>
      <c r="H44" s="39"/>
      <c r="I44" s="39"/>
      <c r="J44" s="39"/>
      <c r="K44" s="39"/>
      <c r="L44" s="39"/>
      <c r="M44" s="39"/>
      <c r="N44" s="39"/>
      <c r="O44" s="39"/>
      <c r="P44" s="39"/>
      <c r="Q44" s="39"/>
      <c r="R44" s="39"/>
      <c r="S44" s="239"/>
      <c r="AE44" s="174"/>
    </row>
    <row r="45" ht="15.75" customHeight="1">
      <c r="A45" s="114" t="s">
        <v>147</v>
      </c>
      <c r="B45" s="115">
        <v>50.0</v>
      </c>
      <c r="C45" s="114" t="s">
        <v>93</v>
      </c>
      <c r="D45" s="98"/>
      <c r="E45" s="39"/>
      <c r="F45" s="39"/>
      <c r="G45" s="39"/>
      <c r="H45" s="39"/>
      <c r="I45" s="39"/>
      <c r="J45" s="39"/>
      <c r="K45" s="39"/>
      <c r="L45" s="39"/>
      <c r="M45" s="39"/>
      <c r="N45" s="39"/>
      <c r="O45" s="39"/>
      <c r="P45" s="39"/>
      <c r="Q45" s="39"/>
      <c r="R45" s="39"/>
      <c r="S45" s="239"/>
      <c r="AE45" s="174"/>
    </row>
    <row r="46" ht="15.75" customHeight="1">
      <c r="A46" s="114" t="s">
        <v>148</v>
      </c>
      <c r="B46" s="115">
        <v>60.0</v>
      </c>
      <c r="C46" s="114" t="s">
        <v>90</v>
      </c>
      <c r="D46" s="98"/>
      <c r="E46" s="39"/>
      <c r="F46" s="39"/>
      <c r="G46" s="39"/>
      <c r="H46" s="39"/>
      <c r="I46" s="39"/>
      <c r="J46" s="39"/>
      <c r="K46" s="39"/>
      <c r="L46" s="39"/>
      <c r="M46" s="39"/>
      <c r="N46" s="39"/>
      <c r="O46" s="39"/>
      <c r="P46" s="39"/>
      <c r="Q46" s="39"/>
      <c r="R46" s="39"/>
      <c r="S46" s="239"/>
      <c r="AE46" s="174"/>
    </row>
    <row r="47" ht="15.75" customHeight="1">
      <c r="A47" s="114" t="s">
        <v>149</v>
      </c>
      <c r="B47" s="115">
        <v>70.0</v>
      </c>
      <c r="C47" s="114" t="s">
        <v>87</v>
      </c>
      <c r="D47" s="98"/>
      <c r="E47" s="39"/>
      <c r="F47" s="39"/>
      <c r="G47" s="39"/>
      <c r="H47" s="39"/>
      <c r="I47" s="39"/>
      <c r="J47" s="39"/>
      <c r="K47" s="39"/>
      <c r="L47" s="39"/>
      <c r="M47" s="39"/>
      <c r="N47" s="39"/>
      <c r="O47" s="39"/>
      <c r="P47" s="39"/>
      <c r="Q47" s="39"/>
      <c r="R47" s="39"/>
      <c r="S47" s="239"/>
      <c r="AE47" s="174"/>
    </row>
    <row r="48" ht="15.75" customHeight="1">
      <c r="A48" s="116" t="s">
        <v>150</v>
      </c>
      <c r="B48" s="117">
        <v>80.0</v>
      </c>
      <c r="C48" s="116" t="s">
        <v>85</v>
      </c>
      <c r="D48" s="98"/>
      <c r="E48" s="39"/>
      <c r="F48" s="39"/>
      <c r="G48" s="39"/>
      <c r="H48" s="39"/>
      <c r="I48" s="39"/>
      <c r="J48" s="39"/>
      <c r="K48" s="39"/>
      <c r="L48" s="39"/>
      <c r="M48" s="39"/>
      <c r="N48" s="39"/>
      <c r="O48" s="39"/>
      <c r="P48" s="39"/>
      <c r="Q48" s="39"/>
      <c r="R48" s="39"/>
      <c r="S48" s="239"/>
      <c r="AE48" s="174"/>
    </row>
    <row r="49" ht="15.75" customHeight="1">
      <c r="A49" s="116" t="s">
        <v>151</v>
      </c>
      <c r="B49" s="117">
        <v>90.0</v>
      </c>
      <c r="C49" s="116" t="s">
        <v>152</v>
      </c>
      <c r="D49" s="98"/>
      <c r="E49" s="39"/>
      <c r="F49" s="39"/>
      <c r="G49" s="39"/>
      <c r="H49" s="39"/>
      <c r="I49" s="39"/>
      <c r="J49" s="39"/>
      <c r="K49" s="39"/>
      <c r="L49" s="39"/>
      <c r="M49" s="39"/>
      <c r="N49" s="39"/>
      <c r="O49" s="39"/>
      <c r="P49" s="39"/>
      <c r="Q49" s="39"/>
      <c r="R49" s="39"/>
      <c r="S49" s="239"/>
      <c r="AE49" s="174"/>
    </row>
    <row r="50" ht="15.75" customHeight="1">
      <c r="C50" s="98"/>
      <c r="D50" s="98"/>
      <c r="E50" s="39"/>
      <c r="F50" s="39"/>
      <c r="G50" s="39"/>
      <c r="H50" s="39"/>
      <c r="I50" s="39"/>
      <c r="J50" s="39"/>
      <c r="K50" s="39"/>
      <c r="L50" s="39"/>
      <c r="M50" s="39"/>
      <c r="N50" s="39"/>
      <c r="O50" s="39"/>
      <c r="P50" s="39"/>
      <c r="Q50" s="39"/>
      <c r="R50" s="39"/>
      <c r="S50" s="239"/>
      <c r="AE50" s="174"/>
    </row>
    <row r="51" ht="15.75" customHeight="1">
      <c r="C51" s="98"/>
      <c r="D51" s="98"/>
      <c r="E51" s="39"/>
      <c r="F51" s="39"/>
      <c r="G51" s="39"/>
      <c r="H51" s="39"/>
      <c r="I51" s="39"/>
      <c r="J51" s="39"/>
      <c r="K51" s="39"/>
      <c r="L51" s="39"/>
      <c r="M51" s="39"/>
      <c r="N51" s="39"/>
      <c r="O51" s="39"/>
      <c r="P51" s="39"/>
      <c r="Q51" s="39"/>
      <c r="R51" s="39"/>
      <c r="S51" s="239"/>
      <c r="AE51" s="174"/>
    </row>
    <row r="52" ht="15.75" customHeight="1">
      <c r="C52" s="98"/>
      <c r="D52" s="98"/>
      <c r="E52" s="39"/>
      <c r="F52" s="39"/>
      <c r="G52" s="39"/>
      <c r="H52" s="39"/>
      <c r="I52" s="39"/>
      <c r="J52" s="39"/>
      <c r="K52" s="39"/>
      <c r="L52" s="39"/>
      <c r="M52" s="39"/>
      <c r="N52" s="39"/>
      <c r="O52" s="39"/>
      <c r="P52" s="39"/>
      <c r="Q52" s="39"/>
      <c r="R52" s="39"/>
      <c r="S52" s="239"/>
      <c r="AE52" s="174"/>
    </row>
    <row r="53" ht="15.75" customHeight="1">
      <c r="C53" s="98"/>
      <c r="D53" s="98"/>
      <c r="E53" s="39"/>
      <c r="F53" s="39"/>
      <c r="G53" s="39"/>
      <c r="H53" s="39"/>
      <c r="I53" s="39"/>
      <c r="J53" s="39"/>
      <c r="K53" s="39"/>
      <c r="L53" s="39"/>
      <c r="M53" s="39"/>
      <c r="N53" s="39"/>
      <c r="O53" s="39"/>
      <c r="P53" s="39"/>
      <c r="Q53" s="39"/>
      <c r="R53" s="39"/>
      <c r="S53" s="239"/>
      <c r="AE53" s="174"/>
    </row>
    <row r="54" ht="15.75" customHeight="1">
      <c r="C54" s="98"/>
      <c r="D54" s="98"/>
      <c r="E54" s="39"/>
      <c r="F54" s="39"/>
      <c r="G54" s="39"/>
      <c r="H54" s="39"/>
      <c r="I54" s="39"/>
      <c r="J54" s="39"/>
      <c r="K54" s="39"/>
      <c r="L54" s="39"/>
      <c r="M54" s="39"/>
      <c r="N54" s="39"/>
      <c r="O54" s="39"/>
      <c r="P54" s="39"/>
      <c r="Q54" s="39"/>
      <c r="R54" s="39"/>
      <c r="S54" s="239"/>
      <c r="AE54" s="174"/>
    </row>
    <row r="55" ht="15.75" customHeight="1">
      <c r="C55" s="98"/>
      <c r="D55" s="98"/>
      <c r="E55" s="39"/>
      <c r="F55" s="39"/>
      <c r="G55" s="39"/>
      <c r="H55" s="39"/>
      <c r="I55" s="39"/>
      <c r="J55" s="39"/>
      <c r="K55" s="39"/>
      <c r="L55" s="39"/>
      <c r="M55" s="39"/>
      <c r="N55" s="39"/>
      <c r="O55" s="39"/>
      <c r="P55" s="39"/>
      <c r="Q55" s="39"/>
      <c r="R55" s="39"/>
      <c r="S55" s="239"/>
      <c r="AE55" s="174"/>
    </row>
    <row r="56" ht="15.75" customHeight="1">
      <c r="C56" s="98"/>
      <c r="D56" s="98"/>
      <c r="E56" s="39"/>
      <c r="F56" s="39"/>
      <c r="G56" s="39"/>
      <c r="H56" s="39"/>
      <c r="I56" s="39"/>
      <c r="J56" s="39"/>
      <c r="K56" s="39"/>
      <c r="L56" s="39"/>
      <c r="M56" s="39"/>
      <c r="N56" s="39"/>
      <c r="O56" s="39"/>
      <c r="P56" s="39"/>
      <c r="Q56" s="39"/>
      <c r="R56" s="39"/>
      <c r="S56" s="239"/>
      <c r="AE56" s="174"/>
    </row>
    <row r="57" ht="15.75" customHeight="1">
      <c r="C57" s="98"/>
      <c r="D57" s="98"/>
      <c r="E57" s="39"/>
      <c r="F57" s="39"/>
      <c r="G57" s="39"/>
      <c r="H57" s="39"/>
      <c r="I57" s="39"/>
      <c r="J57" s="39"/>
      <c r="K57" s="39"/>
      <c r="L57" s="39"/>
      <c r="M57" s="39"/>
      <c r="N57" s="39"/>
      <c r="O57" s="39"/>
      <c r="P57" s="39"/>
      <c r="Q57" s="39"/>
      <c r="R57" s="39"/>
      <c r="S57" s="239"/>
      <c r="AE57" s="174"/>
    </row>
    <row r="58" ht="15.75" customHeight="1">
      <c r="C58" s="98"/>
      <c r="D58" s="98"/>
      <c r="E58" s="39"/>
      <c r="F58" s="39"/>
      <c r="G58" s="39"/>
      <c r="H58" s="39"/>
      <c r="I58" s="39"/>
      <c r="J58" s="39"/>
      <c r="K58" s="39"/>
      <c r="L58" s="39"/>
      <c r="M58" s="39"/>
      <c r="N58" s="39"/>
      <c r="O58" s="39"/>
      <c r="P58" s="39"/>
      <c r="Q58" s="39"/>
      <c r="R58" s="39"/>
      <c r="S58" s="239"/>
      <c r="AE58" s="174"/>
    </row>
    <row r="59" ht="15.75" customHeight="1">
      <c r="C59" s="98"/>
      <c r="D59" s="98"/>
      <c r="E59" s="39"/>
      <c r="F59" s="39"/>
      <c r="G59" s="39"/>
      <c r="H59" s="39"/>
      <c r="I59" s="39"/>
      <c r="J59" s="39"/>
      <c r="K59" s="39"/>
      <c r="L59" s="39"/>
      <c r="M59" s="39"/>
      <c r="N59" s="39"/>
      <c r="O59" s="39"/>
      <c r="P59" s="39"/>
      <c r="Q59" s="39"/>
      <c r="R59" s="39"/>
      <c r="S59" s="239"/>
      <c r="AE59" s="174"/>
    </row>
    <row r="60" ht="15.75" customHeight="1">
      <c r="C60" s="98"/>
      <c r="D60" s="98"/>
      <c r="E60" s="39"/>
      <c r="F60" s="39"/>
      <c r="G60" s="39"/>
      <c r="H60" s="39"/>
      <c r="I60" s="39"/>
      <c r="J60" s="39"/>
      <c r="K60" s="39"/>
      <c r="L60" s="39"/>
      <c r="M60" s="39"/>
      <c r="N60" s="39"/>
      <c r="O60" s="39"/>
      <c r="P60" s="39"/>
      <c r="Q60" s="39"/>
      <c r="R60" s="39"/>
      <c r="S60" s="239"/>
      <c r="AE60" s="174"/>
    </row>
    <row r="61" ht="15.75" customHeight="1">
      <c r="C61" s="98"/>
      <c r="D61" s="98"/>
      <c r="E61" s="39"/>
      <c r="F61" s="39"/>
      <c r="G61" s="39"/>
      <c r="H61" s="39"/>
      <c r="I61" s="39"/>
      <c r="J61" s="39"/>
      <c r="K61" s="39"/>
      <c r="L61" s="39"/>
      <c r="M61" s="39"/>
      <c r="N61" s="39"/>
      <c r="O61" s="39"/>
      <c r="P61" s="39"/>
      <c r="Q61" s="39"/>
      <c r="R61" s="39"/>
      <c r="S61" s="239"/>
      <c r="AE61" s="174"/>
    </row>
    <row r="62" ht="15.75" customHeight="1">
      <c r="C62" s="98"/>
      <c r="D62" s="98"/>
      <c r="E62" s="39"/>
      <c r="F62" s="39"/>
      <c r="G62" s="39"/>
      <c r="H62" s="39"/>
      <c r="I62" s="39"/>
      <c r="J62" s="39"/>
      <c r="K62" s="39"/>
      <c r="L62" s="39"/>
      <c r="M62" s="39"/>
      <c r="N62" s="39"/>
      <c r="O62" s="39"/>
      <c r="P62" s="39"/>
      <c r="Q62" s="39"/>
      <c r="R62" s="39"/>
      <c r="S62" s="239"/>
      <c r="AE62" s="174"/>
    </row>
    <row r="63" ht="15.75" customHeight="1">
      <c r="C63" s="98"/>
      <c r="D63" s="98"/>
      <c r="E63" s="39"/>
      <c r="F63" s="39"/>
      <c r="G63" s="39"/>
      <c r="H63" s="39"/>
      <c r="I63" s="39"/>
      <c r="J63" s="39"/>
      <c r="K63" s="39"/>
      <c r="L63" s="39"/>
      <c r="M63" s="39"/>
      <c r="N63" s="39"/>
      <c r="O63" s="39"/>
      <c r="P63" s="39"/>
      <c r="Q63" s="39"/>
      <c r="R63" s="39"/>
      <c r="S63" s="239"/>
      <c r="AE63" s="174"/>
    </row>
    <row r="64" ht="15.75" customHeight="1">
      <c r="C64" s="98"/>
      <c r="D64" s="98"/>
      <c r="E64" s="39"/>
      <c r="F64" s="39"/>
      <c r="G64" s="39"/>
      <c r="H64" s="39"/>
      <c r="I64" s="39"/>
      <c r="J64" s="39"/>
      <c r="K64" s="39"/>
      <c r="L64" s="39"/>
      <c r="M64" s="39"/>
      <c r="N64" s="39"/>
      <c r="O64" s="39"/>
      <c r="P64" s="39"/>
      <c r="Q64" s="39"/>
      <c r="R64" s="39"/>
      <c r="S64" s="239"/>
      <c r="AE64" s="174"/>
    </row>
    <row r="65" ht="15.75" customHeight="1">
      <c r="C65" s="98"/>
      <c r="D65" s="98"/>
      <c r="E65" s="39"/>
      <c r="F65" s="39"/>
      <c r="G65" s="39"/>
      <c r="H65" s="39"/>
      <c r="I65" s="39"/>
      <c r="J65" s="39"/>
      <c r="K65" s="39"/>
      <c r="L65" s="39"/>
      <c r="M65" s="39"/>
      <c r="N65" s="39"/>
      <c r="O65" s="39"/>
      <c r="P65" s="39"/>
      <c r="Q65" s="39"/>
      <c r="R65" s="39"/>
      <c r="S65" s="239"/>
      <c r="AE65" s="174"/>
    </row>
    <row r="66" ht="15.75" customHeight="1">
      <c r="C66" s="98"/>
      <c r="D66" s="98"/>
      <c r="E66" s="39"/>
      <c r="F66" s="39"/>
      <c r="G66" s="39"/>
      <c r="H66" s="39"/>
      <c r="I66" s="39"/>
      <c r="J66" s="39"/>
      <c r="K66" s="39"/>
      <c r="L66" s="39"/>
      <c r="M66" s="39"/>
      <c r="N66" s="39"/>
      <c r="O66" s="39"/>
      <c r="P66" s="39"/>
      <c r="Q66" s="39"/>
      <c r="R66" s="39"/>
      <c r="S66" s="239"/>
      <c r="AE66" s="174"/>
    </row>
    <row r="67" ht="15.75" customHeight="1">
      <c r="C67" s="98"/>
      <c r="D67" s="98"/>
      <c r="E67" s="39"/>
      <c r="F67" s="39"/>
      <c r="G67" s="39"/>
      <c r="H67" s="39"/>
      <c r="I67" s="39"/>
      <c r="J67" s="39"/>
      <c r="K67" s="39"/>
      <c r="L67" s="39"/>
      <c r="M67" s="39"/>
      <c r="N67" s="39"/>
      <c r="O67" s="39"/>
      <c r="P67" s="39"/>
      <c r="Q67" s="39"/>
      <c r="R67" s="39"/>
      <c r="S67" s="239"/>
      <c r="AE67" s="174"/>
    </row>
    <row r="68" ht="15.75" customHeight="1">
      <c r="C68" s="98"/>
      <c r="D68" s="98"/>
      <c r="E68" s="39"/>
      <c r="F68" s="39"/>
      <c r="G68" s="39"/>
      <c r="H68" s="39"/>
      <c r="I68" s="39"/>
      <c r="J68" s="39"/>
      <c r="K68" s="39"/>
      <c r="L68" s="39"/>
      <c r="M68" s="39"/>
      <c r="N68" s="39"/>
      <c r="O68" s="39"/>
      <c r="P68" s="39"/>
      <c r="Q68" s="39"/>
      <c r="R68" s="39"/>
      <c r="S68" s="239"/>
      <c r="AE68" s="174"/>
    </row>
    <row r="69" ht="15.75" customHeight="1">
      <c r="C69" s="98"/>
      <c r="D69" s="98"/>
      <c r="E69" s="39"/>
      <c r="F69" s="39"/>
      <c r="G69" s="39"/>
      <c r="H69" s="39"/>
      <c r="I69" s="39"/>
      <c r="J69" s="39"/>
      <c r="K69" s="39"/>
      <c r="L69" s="39"/>
      <c r="M69" s="39"/>
      <c r="N69" s="39"/>
      <c r="O69" s="39"/>
      <c r="P69" s="39"/>
      <c r="Q69" s="39"/>
      <c r="R69" s="39"/>
      <c r="S69" s="239"/>
      <c r="AE69" s="174"/>
    </row>
    <row r="70" ht="15.75" customHeight="1">
      <c r="C70" s="98"/>
      <c r="D70" s="98"/>
      <c r="E70" s="39"/>
      <c r="F70" s="39"/>
      <c r="G70" s="39"/>
      <c r="H70" s="39"/>
      <c r="I70" s="39"/>
      <c r="J70" s="39"/>
      <c r="K70" s="39"/>
      <c r="L70" s="39"/>
      <c r="M70" s="39"/>
      <c r="N70" s="39"/>
      <c r="O70" s="39"/>
      <c r="P70" s="39"/>
      <c r="Q70" s="39"/>
      <c r="R70" s="39"/>
      <c r="S70" s="239"/>
      <c r="AE70" s="174"/>
    </row>
    <row r="71" ht="15.75" customHeight="1">
      <c r="C71" s="98"/>
      <c r="D71" s="98"/>
      <c r="E71" s="39"/>
      <c r="F71" s="39"/>
      <c r="G71" s="39"/>
      <c r="H71" s="39"/>
      <c r="I71" s="39"/>
      <c r="J71" s="39"/>
      <c r="K71" s="39"/>
      <c r="L71" s="39"/>
      <c r="M71" s="39"/>
      <c r="N71" s="39"/>
      <c r="O71" s="39"/>
      <c r="P71" s="39"/>
      <c r="Q71" s="39"/>
      <c r="R71" s="39"/>
      <c r="S71" s="239"/>
      <c r="AE71" s="174"/>
    </row>
    <row r="72" ht="15.75" customHeight="1">
      <c r="C72" s="98"/>
      <c r="D72" s="98"/>
      <c r="E72" s="39"/>
      <c r="F72" s="39"/>
      <c r="G72" s="39"/>
      <c r="H72" s="39"/>
      <c r="I72" s="39"/>
      <c r="J72" s="39"/>
      <c r="K72" s="39"/>
      <c r="L72" s="39"/>
      <c r="M72" s="39"/>
      <c r="N72" s="39"/>
      <c r="O72" s="39"/>
      <c r="P72" s="39"/>
      <c r="Q72" s="39"/>
      <c r="R72" s="39"/>
      <c r="S72" s="239"/>
      <c r="AE72" s="174"/>
    </row>
    <row r="73" ht="15.75" customHeight="1">
      <c r="C73" s="98"/>
      <c r="D73" s="98"/>
      <c r="E73" s="39"/>
      <c r="F73" s="39"/>
      <c r="G73" s="39"/>
      <c r="H73" s="39"/>
      <c r="I73" s="39"/>
      <c r="J73" s="39"/>
      <c r="K73" s="39"/>
      <c r="L73" s="39"/>
      <c r="M73" s="39"/>
      <c r="N73" s="39"/>
      <c r="O73" s="39"/>
      <c r="P73" s="39"/>
      <c r="Q73" s="39"/>
      <c r="R73" s="39"/>
      <c r="S73" s="239"/>
      <c r="AE73" s="174"/>
    </row>
    <row r="74" ht="15.75" customHeight="1">
      <c r="C74" s="98"/>
      <c r="D74" s="98"/>
      <c r="E74" s="39"/>
      <c r="F74" s="39"/>
      <c r="G74" s="39"/>
      <c r="H74" s="39"/>
      <c r="I74" s="39"/>
      <c r="J74" s="39"/>
      <c r="K74" s="39"/>
      <c r="L74" s="39"/>
      <c r="M74" s="39"/>
      <c r="N74" s="39"/>
      <c r="O74" s="39"/>
      <c r="P74" s="39"/>
      <c r="Q74" s="39"/>
      <c r="R74" s="39"/>
      <c r="S74" s="239"/>
      <c r="AE74" s="174"/>
    </row>
    <row r="75" ht="15.75" customHeight="1">
      <c r="C75" s="98"/>
      <c r="D75" s="98"/>
      <c r="E75" s="39"/>
      <c r="F75" s="39"/>
      <c r="G75" s="39"/>
      <c r="H75" s="39"/>
      <c r="I75" s="39"/>
      <c r="J75" s="39"/>
      <c r="K75" s="39"/>
      <c r="L75" s="39"/>
      <c r="M75" s="39"/>
      <c r="N75" s="39"/>
      <c r="O75" s="39"/>
      <c r="P75" s="39"/>
      <c r="Q75" s="39"/>
      <c r="R75" s="39"/>
      <c r="S75" s="239"/>
      <c r="AE75" s="174"/>
    </row>
    <row r="76" ht="15.75" customHeight="1">
      <c r="C76" s="98"/>
      <c r="D76" s="98"/>
      <c r="E76" s="39"/>
      <c r="F76" s="39"/>
      <c r="G76" s="39"/>
      <c r="H76" s="39"/>
      <c r="I76" s="39"/>
      <c r="J76" s="39"/>
      <c r="K76" s="39"/>
      <c r="L76" s="39"/>
      <c r="M76" s="39"/>
      <c r="N76" s="39"/>
      <c r="O76" s="39"/>
      <c r="P76" s="39"/>
      <c r="Q76" s="39"/>
      <c r="R76" s="39"/>
      <c r="S76" s="239"/>
      <c r="AE76" s="174"/>
    </row>
    <row r="77" ht="15.75" customHeight="1">
      <c r="C77" s="98"/>
      <c r="D77" s="98"/>
      <c r="E77" s="39"/>
      <c r="F77" s="39"/>
      <c r="G77" s="39"/>
      <c r="H77" s="39"/>
      <c r="I77" s="39"/>
      <c r="J77" s="39"/>
      <c r="K77" s="39"/>
      <c r="L77" s="39"/>
      <c r="M77" s="39"/>
      <c r="N77" s="39"/>
      <c r="O77" s="39"/>
      <c r="P77" s="39"/>
      <c r="Q77" s="39"/>
      <c r="R77" s="39"/>
      <c r="S77" s="239"/>
      <c r="AE77" s="174"/>
    </row>
    <row r="78" ht="15.75" customHeight="1">
      <c r="C78" s="98"/>
      <c r="D78" s="98"/>
      <c r="E78" s="39"/>
      <c r="F78" s="39"/>
      <c r="G78" s="39"/>
      <c r="H78" s="39"/>
      <c r="I78" s="39"/>
      <c r="J78" s="39"/>
      <c r="K78" s="39"/>
      <c r="L78" s="39"/>
      <c r="M78" s="39"/>
      <c r="N78" s="39"/>
      <c r="O78" s="39"/>
      <c r="P78" s="39"/>
      <c r="Q78" s="39"/>
      <c r="R78" s="39"/>
      <c r="S78" s="239"/>
      <c r="AE78" s="174"/>
    </row>
    <row r="79" ht="15.75" customHeight="1">
      <c r="C79" s="98"/>
      <c r="D79" s="98"/>
      <c r="E79" s="39"/>
      <c r="F79" s="39"/>
      <c r="G79" s="39"/>
      <c r="H79" s="39"/>
      <c r="I79" s="39"/>
      <c r="J79" s="39"/>
      <c r="K79" s="39"/>
      <c r="L79" s="39"/>
      <c r="M79" s="39"/>
      <c r="N79" s="39"/>
      <c r="O79" s="39"/>
      <c r="P79" s="39"/>
      <c r="Q79" s="39"/>
      <c r="R79" s="39"/>
      <c r="S79" s="239"/>
      <c r="AE79" s="174"/>
    </row>
    <row r="80" ht="15.75" customHeight="1">
      <c r="C80" s="98"/>
      <c r="D80" s="98"/>
      <c r="E80" s="39"/>
      <c r="F80" s="39"/>
      <c r="G80" s="39"/>
      <c r="H80" s="39"/>
      <c r="I80" s="39"/>
      <c r="J80" s="39"/>
      <c r="K80" s="39"/>
      <c r="L80" s="39"/>
      <c r="M80" s="39"/>
      <c r="N80" s="39"/>
      <c r="O80" s="39"/>
      <c r="P80" s="39"/>
      <c r="Q80" s="39"/>
      <c r="R80" s="39"/>
      <c r="S80" s="239"/>
      <c r="AE80" s="174"/>
    </row>
    <row r="81" ht="15.75" customHeight="1">
      <c r="C81" s="98"/>
      <c r="D81" s="98"/>
      <c r="E81" s="39"/>
      <c r="F81" s="39"/>
      <c r="G81" s="39"/>
      <c r="H81" s="39"/>
      <c r="I81" s="39"/>
      <c r="J81" s="39"/>
      <c r="K81" s="39"/>
      <c r="L81" s="39"/>
      <c r="M81" s="39"/>
      <c r="N81" s="39"/>
      <c r="O81" s="39"/>
      <c r="P81" s="39"/>
      <c r="Q81" s="39"/>
      <c r="R81" s="39"/>
      <c r="S81" s="239"/>
      <c r="AE81" s="174"/>
    </row>
    <row r="82" ht="15.75" customHeight="1">
      <c r="C82" s="98"/>
      <c r="D82" s="98"/>
      <c r="E82" s="39"/>
      <c r="F82" s="39"/>
      <c r="G82" s="39"/>
      <c r="H82" s="39"/>
      <c r="I82" s="39"/>
      <c r="J82" s="39"/>
      <c r="K82" s="39"/>
      <c r="L82" s="39"/>
      <c r="M82" s="39"/>
      <c r="N82" s="39"/>
      <c r="O82" s="39"/>
      <c r="P82" s="39"/>
      <c r="Q82" s="39"/>
      <c r="R82" s="39"/>
      <c r="S82" s="239"/>
      <c r="AE82" s="174"/>
    </row>
    <row r="83" ht="15.75" customHeight="1">
      <c r="C83" s="98"/>
      <c r="D83" s="98"/>
      <c r="E83" s="39"/>
      <c r="F83" s="39"/>
      <c r="G83" s="39"/>
      <c r="H83" s="39"/>
      <c r="I83" s="39"/>
      <c r="J83" s="39"/>
      <c r="K83" s="39"/>
      <c r="L83" s="39"/>
      <c r="M83" s="39"/>
      <c r="N83" s="39"/>
      <c r="O83" s="39"/>
      <c r="P83" s="39"/>
      <c r="Q83" s="39"/>
      <c r="R83" s="39"/>
      <c r="S83" s="239"/>
      <c r="AE83" s="174"/>
    </row>
    <row r="84" ht="15.75" customHeight="1">
      <c r="C84" s="98"/>
      <c r="D84" s="98"/>
      <c r="E84" s="39"/>
      <c r="F84" s="39"/>
      <c r="G84" s="39"/>
      <c r="H84" s="39"/>
      <c r="I84" s="39"/>
      <c r="J84" s="39"/>
      <c r="K84" s="39"/>
      <c r="L84" s="39"/>
      <c r="M84" s="39"/>
      <c r="N84" s="39"/>
      <c r="O84" s="39"/>
      <c r="P84" s="39"/>
      <c r="Q84" s="39"/>
      <c r="R84" s="39"/>
      <c r="S84" s="239"/>
      <c r="AE84" s="174"/>
    </row>
    <row r="85" ht="15.75" customHeight="1">
      <c r="C85" s="98"/>
      <c r="D85" s="98"/>
      <c r="E85" s="39"/>
      <c r="F85" s="39"/>
      <c r="G85" s="39"/>
      <c r="H85" s="39"/>
      <c r="I85" s="39"/>
      <c r="J85" s="39"/>
      <c r="K85" s="39"/>
      <c r="L85" s="39"/>
      <c r="M85" s="39"/>
      <c r="N85" s="39"/>
      <c r="O85" s="39"/>
      <c r="P85" s="39"/>
      <c r="Q85" s="39"/>
      <c r="R85" s="39"/>
      <c r="S85" s="239"/>
      <c r="AE85" s="174"/>
    </row>
    <row r="86" ht="15.75" customHeight="1">
      <c r="C86" s="98"/>
      <c r="D86" s="98"/>
      <c r="E86" s="39"/>
      <c r="F86" s="39"/>
      <c r="G86" s="39"/>
      <c r="H86" s="39"/>
      <c r="I86" s="39"/>
      <c r="J86" s="39"/>
      <c r="K86" s="39"/>
      <c r="L86" s="39"/>
      <c r="M86" s="39"/>
      <c r="N86" s="39"/>
      <c r="O86" s="39"/>
      <c r="P86" s="39"/>
      <c r="Q86" s="39"/>
      <c r="R86" s="39"/>
      <c r="S86" s="239"/>
      <c r="AE86" s="174"/>
    </row>
    <row r="87" ht="15.75" customHeight="1">
      <c r="C87" s="98"/>
      <c r="D87" s="98"/>
      <c r="E87" s="39"/>
      <c r="F87" s="39"/>
      <c r="G87" s="39"/>
      <c r="H87" s="39"/>
      <c r="I87" s="39"/>
      <c r="J87" s="39"/>
      <c r="K87" s="39"/>
      <c r="L87" s="39"/>
      <c r="M87" s="39"/>
      <c r="N87" s="39"/>
      <c r="O87" s="39"/>
      <c r="P87" s="39"/>
      <c r="Q87" s="39"/>
      <c r="R87" s="39"/>
      <c r="S87" s="239"/>
      <c r="AE87" s="174"/>
    </row>
    <row r="88" ht="15.75" customHeight="1">
      <c r="C88" s="98"/>
      <c r="D88" s="98"/>
      <c r="E88" s="39"/>
      <c r="F88" s="39"/>
      <c r="G88" s="39"/>
      <c r="H88" s="39"/>
      <c r="I88" s="39"/>
      <c r="J88" s="39"/>
      <c r="K88" s="39"/>
      <c r="L88" s="39"/>
      <c r="M88" s="39"/>
      <c r="N88" s="39"/>
      <c r="O88" s="39"/>
      <c r="P88" s="39"/>
      <c r="Q88" s="39"/>
      <c r="R88" s="39"/>
      <c r="S88" s="239"/>
      <c r="AE88" s="174"/>
    </row>
    <row r="89" ht="15.75" customHeight="1">
      <c r="C89" s="98"/>
      <c r="D89" s="98"/>
      <c r="E89" s="39"/>
      <c r="F89" s="39"/>
      <c r="G89" s="39"/>
      <c r="H89" s="39"/>
      <c r="I89" s="39"/>
      <c r="J89" s="39"/>
      <c r="K89" s="39"/>
      <c r="L89" s="39"/>
      <c r="M89" s="39"/>
      <c r="N89" s="39"/>
      <c r="O89" s="39"/>
      <c r="P89" s="39"/>
      <c r="Q89" s="39"/>
      <c r="R89" s="39"/>
      <c r="S89" s="239"/>
      <c r="AE89" s="174"/>
    </row>
    <row r="90" ht="15.75" customHeight="1">
      <c r="C90" s="98"/>
      <c r="D90" s="98"/>
      <c r="E90" s="39"/>
      <c r="F90" s="39"/>
      <c r="G90" s="39"/>
      <c r="H90" s="39"/>
      <c r="I90" s="39"/>
      <c r="J90" s="39"/>
      <c r="K90" s="39"/>
      <c r="L90" s="39"/>
      <c r="M90" s="39"/>
      <c r="N90" s="39"/>
      <c r="O90" s="39"/>
      <c r="P90" s="39"/>
      <c r="Q90" s="39"/>
      <c r="R90" s="39"/>
      <c r="S90" s="239"/>
      <c r="AE90" s="174"/>
    </row>
    <row r="91" ht="15.75" customHeight="1">
      <c r="C91" s="98"/>
      <c r="D91" s="98"/>
      <c r="E91" s="39"/>
      <c r="F91" s="39"/>
      <c r="G91" s="39"/>
      <c r="H91" s="39"/>
      <c r="I91" s="39"/>
      <c r="J91" s="39"/>
      <c r="K91" s="39"/>
      <c r="L91" s="39"/>
      <c r="M91" s="39"/>
      <c r="N91" s="39"/>
      <c r="O91" s="39"/>
      <c r="P91" s="39"/>
      <c r="Q91" s="39"/>
      <c r="R91" s="39"/>
      <c r="S91" s="239"/>
      <c r="AE91" s="174"/>
    </row>
    <row r="92" ht="15.75" customHeight="1">
      <c r="C92" s="98"/>
      <c r="D92" s="98"/>
      <c r="E92" s="39"/>
      <c r="F92" s="39"/>
      <c r="G92" s="39"/>
      <c r="H92" s="39"/>
      <c r="I92" s="39"/>
      <c r="J92" s="39"/>
      <c r="K92" s="39"/>
      <c r="L92" s="39"/>
      <c r="M92" s="39"/>
      <c r="N92" s="39"/>
      <c r="O92" s="39"/>
      <c r="P92" s="39"/>
      <c r="Q92" s="39"/>
      <c r="R92" s="39"/>
      <c r="S92" s="239"/>
      <c r="AE92" s="174"/>
    </row>
    <row r="93" ht="15.75" customHeight="1">
      <c r="C93" s="98"/>
      <c r="D93" s="98"/>
      <c r="E93" s="39"/>
      <c r="F93" s="39"/>
      <c r="G93" s="39"/>
      <c r="H93" s="39"/>
      <c r="I93" s="39"/>
      <c r="J93" s="39"/>
      <c r="K93" s="39"/>
      <c r="L93" s="39"/>
      <c r="M93" s="39"/>
      <c r="N93" s="39"/>
      <c r="O93" s="39"/>
      <c r="P93" s="39"/>
      <c r="Q93" s="39"/>
      <c r="R93" s="39"/>
      <c r="S93" s="239"/>
      <c r="AE93" s="174"/>
    </row>
    <row r="94" ht="15.75" customHeight="1">
      <c r="C94" s="98"/>
      <c r="D94" s="98"/>
      <c r="E94" s="39"/>
      <c r="F94" s="39"/>
      <c r="G94" s="39"/>
      <c r="H94" s="39"/>
      <c r="I94" s="39"/>
      <c r="J94" s="39"/>
      <c r="K94" s="39"/>
      <c r="L94" s="39"/>
      <c r="M94" s="39"/>
      <c r="N94" s="39"/>
      <c r="O94" s="39"/>
      <c r="P94" s="39"/>
      <c r="Q94" s="39"/>
      <c r="R94" s="39"/>
      <c r="S94" s="239"/>
      <c r="AE94" s="174"/>
    </row>
    <row r="95" ht="15.75" customHeight="1">
      <c r="C95" s="98"/>
      <c r="D95" s="98"/>
      <c r="E95" s="39"/>
      <c r="F95" s="39"/>
      <c r="G95" s="39"/>
      <c r="H95" s="39"/>
      <c r="I95" s="39"/>
      <c r="J95" s="39"/>
      <c r="K95" s="39"/>
      <c r="L95" s="39"/>
      <c r="M95" s="39"/>
      <c r="N95" s="39"/>
      <c r="O95" s="39"/>
      <c r="P95" s="39"/>
      <c r="Q95" s="39"/>
      <c r="R95" s="39"/>
      <c r="S95" s="239"/>
      <c r="AE95" s="174"/>
    </row>
    <row r="96" ht="15.75" customHeight="1">
      <c r="C96" s="98"/>
      <c r="D96" s="98"/>
      <c r="E96" s="39"/>
      <c r="F96" s="39"/>
      <c r="G96" s="39"/>
      <c r="H96" s="39"/>
      <c r="I96" s="39"/>
      <c r="J96" s="39"/>
      <c r="K96" s="39"/>
      <c r="L96" s="39"/>
      <c r="M96" s="39"/>
      <c r="N96" s="39"/>
      <c r="O96" s="39"/>
      <c r="P96" s="39"/>
      <c r="Q96" s="39"/>
      <c r="R96" s="39"/>
      <c r="S96" s="239"/>
      <c r="AE96" s="174"/>
    </row>
    <row r="97" ht="15.75" customHeight="1">
      <c r="C97" s="98"/>
      <c r="D97" s="98"/>
      <c r="E97" s="39"/>
      <c r="F97" s="39"/>
      <c r="G97" s="39"/>
      <c r="H97" s="39"/>
      <c r="I97" s="39"/>
      <c r="J97" s="39"/>
      <c r="K97" s="39"/>
      <c r="L97" s="39"/>
      <c r="M97" s="39"/>
      <c r="N97" s="39"/>
      <c r="O97" s="39"/>
      <c r="P97" s="39"/>
      <c r="Q97" s="39"/>
      <c r="R97" s="39"/>
      <c r="S97" s="239"/>
      <c r="AE97" s="174"/>
    </row>
    <row r="98" ht="15.75" customHeight="1">
      <c r="C98" s="98"/>
      <c r="D98" s="98"/>
      <c r="E98" s="39"/>
      <c r="F98" s="39"/>
      <c r="G98" s="39"/>
      <c r="H98" s="39"/>
      <c r="I98" s="39"/>
      <c r="J98" s="39"/>
      <c r="K98" s="39"/>
      <c r="L98" s="39"/>
      <c r="M98" s="39"/>
      <c r="N98" s="39"/>
      <c r="O98" s="39"/>
      <c r="P98" s="39"/>
      <c r="Q98" s="39"/>
      <c r="R98" s="39"/>
      <c r="S98" s="239"/>
      <c r="AE98" s="174"/>
    </row>
    <row r="99" ht="15.75" customHeight="1">
      <c r="C99" s="98"/>
      <c r="D99" s="98"/>
      <c r="E99" s="39"/>
      <c r="F99" s="39"/>
      <c r="G99" s="39"/>
      <c r="H99" s="39"/>
      <c r="I99" s="39"/>
      <c r="J99" s="39"/>
      <c r="K99" s="39"/>
      <c r="L99" s="39"/>
      <c r="M99" s="39"/>
      <c r="N99" s="39"/>
      <c r="O99" s="39"/>
      <c r="P99" s="39"/>
      <c r="Q99" s="39"/>
      <c r="R99" s="39"/>
      <c r="S99" s="239"/>
      <c r="AE99" s="174"/>
    </row>
    <row r="100" ht="15.75" customHeight="1">
      <c r="C100" s="98"/>
      <c r="D100" s="98"/>
      <c r="E100" s="39"/>
      <c r="F100" s="39"/>
      <c r="G100" s="39"/>
      <c r="H100" s="39"/>
      <c r="I100" s="39"/>
      <c r="J100" s="39"/>
      <c r="K100" s="39"/>
      <c r="L100" s="39"/>
      <c r="M100" s="39"/>
      <c r="N100" s="39"/>
      <c r="O100" s="39"/>
      <c r="P100" s="39"/>
      <c r="Q100" s="39"/>
      <c r="R100" s="39"/>
      <c r="S100" s="239"/>
      <c r="AE100" s="174"/>
    </row>
    <row r="101" ht="15.75" customHeight="1">
      <c r="C101" s="98"/>
      <c r="D101" s="98"/>
      <c r="E101" s="39"/>
      <c r="F101" s="39"/>
      <c r="G101" s="39"/>
      <c r="H101" s="39"/>
      <c r="I101" s="39"/>
      <c r="J101" s="39"/>
      <c r="K101" s="39"/>
      <c r="L101" s="39"/>
      <c r="M101" s="39"/>
      <c r="N101" s="39"/>
      <c r="O101" s="39"/>
      <c r="P101" s="39"/>
      <c r="Q101" s="39"/>
      <c r="R101" s="39"/>
      <c r="S101" s="239"/>
      <c r="AE101" s="174"/>
    </row>
    <row r="102" ht="15.75" customHeight="1">
      <c r="C102" s="98"/>
      <c r="D102" s="98"/>
      <c r="E102" s="39"/>
      <c r="F102" s="39"/>
      <c r="G102" s="39"/>
      <c r="H102" s="39"/>
      <c r="I102" s="39"/>
      <c r="J102" s="39"/>
      <c r="K102" s="39"/>
      <c r="L102" s="39"/>
      <c r="M102" s="39"/>
      <c r="N102" s="39"/>
      <c r="O102" s="39"/>
      <c r="P102" s="39"/>
      <c r="Q102" s="39"/>
      <c r="R102" s="39"/>
      <c r="S102" s="239"/>
      <c r="AE102" s="174"/>
    </row>
    <row r="103" ht="15.75" customHeight="1">
      <c r="C103" s="98"/>
      <c r="D103" s="98"/>
      <c r="E103" s="39"/>
      <c r="F103" s="39"/>
      <c r="G103" s="39"/>
      <c r="H103" s="39"/>
      <c r="I103" s="39"/>
      <c r="J103" s="39"/>
      <c r="K103" s="39"/>
      <c r="L103" s="39"/>
      <c r="M103" s="39"/>
      <c r="N103" s="39"/>
      <c r="O103" s="39"/>
      <c r="P103" s="39"/>
      <c r="Q103" s="39"/>
      <c r="R103" s="39"/>
      <c r="S103" s="239"/>
      <c r="AE103" s="174"/>
    </row>
    <row r="104" ht="15.75" customHeight="1">
      <c r="C104" s="98"/>
      <c r="D104" s="98"/>
      <c r="E104" s="39"/>
      <c r="F104" s="39"/>
      <c r="G104" s="39"/>
      <c r="H104" s="39"/>
      <c r="I104" s="39"/>
      <c r="J104" s="39"/>
      <c r="K104" s="39"/>
      <c r="L104" s="39"/>
      <c r="M104" s="39"/>
      <c r="N104" s="39"/>
      <c r="O104" s="39"/>
      <c r="P104" s="39"/>
      <c r="Q104" s="39"/>
      <c r="R104" s="39"/>
      <c r="S104" s="239"/>
      <c r="AE104" s="174"/>
    </row>
    <row r="105" ht="15.75" customHeight="1">
      <c r="C105" s="98"/>
      <c r="D105" s="98"/>
      <c r="E105" s="39"/>
      <c r="F105" s="39"/>
      <c r="G105" s="39"/>
      <c r="H105" s="39"/>
      <c r="I105" s="39"/>
      <c r="J105" s="39"/>
      <c r="K105" s="39"/>
      <c r="L105" s="39"/>
      <c r="M105" s="39"/>
      <c r="N105" s="39"/>
      <c r="O105" s="39"/>
      <c r="P105" s="39"/>
      <c r="Q105" s="39"/>
      <c r="R105" s="39"/>
      <c r="S105" s="239"/>
      <c r="AE105" s="174"/>
    </row>
    <row r="106" ht="15.75" customHeight="1">
      <c r="C106" s="98"/>
      <c r="D106" s="98"/>
      <c r="E106" s="39"/>
      <c r="F106" s="39"/>
      <c r="G106" s="39"/>
      <c r="H106" s="39"/>
      <c r="I106" s="39"/>
      <c r="J106" s="39"/>
      <c r="K106" s="39"/>
      <c r="L106" s="39"/>
      <c r="M106" s="39"/>
      <c r="N106" s="39"/>
      <c r="O106" s="39"/>
      <c r="P106" s="39"/>
      <c r="Q106" s="39"/>
      <c r="R106" s="39"/>
      <c r="S106" s="239"/>
      <c r="AE106" s="174"/>
    </row>
    <row r="107" ht="15.75" customHeight="1">
      <c r="C107" s="98"/>
      <c r="D107" s="98"/>
      <c r="E107" s="39"/>
      <c r="F107" s="39"/>
      <c r="G107" s="39"/>
      <c r="H107" s="39"/>
      <c r="I107" s="39"/>
      <c r="J107" s="39"/>
      <c r="K107" s="39"/>
      <c r="L107" s="39"/>
      <c r="M107" s="39"/>
      <c r="N107" s="39"/>
      <c r="O107" s="39"/>
      <c r="P107" s="39"/>
      <c r="Q107" s="39"/>
      <c r="R107" s="39"/>
      <c r="S107" s="239"/>
      <c r="AE107" s="174"/>
    </row>
    <row r="108" ht="15.75" customHeight="1">
      <c r="C108" s="98"/>
      <c r="D108" s="98"/>
      <c r="E108" s="39"/>
      <c r="F108" s="39"/>
      <c r="G108" s="39"/>
      <c r="H108" s="39"/>
      <c r="I108" s="39"/>
      <c r="J108" s="39"/>
      <c r="K108" s="39"/>
      <c r="L108" s="39"/>
      <c r="M108" s="39"/>
      <c r="N108" s="39"/>
      <c r="O108" s="39"/>
      <c r="P108" s="39"/>
      <c r="Q108" s="39"/>
      <c r="R108" s="39"/>
      <c r="S108" s="239"/>
      <c r="AE108" s="174"/>
    </row>
    <row r="109" ht="15.75" customHeight="1">
      <c r="C109" s="98"/>
      <c r="D109" s="98"/>
      <c r="E109" s="39"/>
      <c r="F109" s="39"/>
      <c r="G109" s="39"/>
      <c r="H109" s="39"/>
      <c r="I109" s="39"/>
      <c r="J109" s="39"/>
      <c r="K109" s="39"/>
      <c r="L109" s="39"/>
      <c r="M109" s="39"/>
      <c r="N109" s="39"/>
      <c r="O109" s="39"/>
      <c r="P109" s="39"/>
      <c r="Q109" s="39"/>
      <c r="R109" s="39"/>
      <c r="S109" s="239"/>
      <c r="AE109" s="174"/>
    </row>
    <row r="110" ht="15.75" customHeight="1">
      <c r="C110" s="98"/>
      <c r="D110" s="98"/>
      <c r="E110" s="39"/>
      <c r="F110" s="39"/>
      <c r="G110" s="39"/>
      <c r="H110" s="39"/>
      <c r="I110" s="39"/>
      <c r="J110" s="39"/>
      <c r="K110" s="39"/>
      <c r="L110" s="39"/>
      <c r="M110" s="39"/>
      <c r="N110" s="39"/>
      <c r="O110" s="39"/>
      <c r="P110" s="39"/>
      <c r="Q110" s="39"/>
      <c r="R110" s="39"/>
      <c r="S110" s="239"/>
      <c r="AE110" s="174"/>
    </row>
    <row r="111" ht="15.75" customHeight="1">
      <c r="C111" s="98"/>
      <c r="D111" s="98"/>
      <c r="E111" s="39"/>
      <c r="F111" s="39"/>
      <c r="G111" s="39"/>
      <c r="H111" s="39"/>
      <c r="I111" s="39"/>
      <c r="J111" s="39"/>
      <c r="K111" s="39"/>
      <c r="L111" s="39"/>
      <c r="M111" s="39"/>
      <c r="N111" s="39"/>
      <c r="O111" s="39"/>
      <c r="P111" s="39"/>
      <c r="Q111" s="39"/>
      <c r="R111" s="39"/>
      <c r="S111" s="239"/>
      <c r="AE111" s="174"/>
    </row>
    <row r="112" ht="15.75" customHeight="1">
      <c r="C112" s="98"/>
      <c r="D112" s="98"/>
      <c r="E112" s="39"/>
      <c r="F112" s="39"/>
      <c r="G112" s="39"/>
      <c r="H112" s="39"/>
      <c r="I112" s="39"/>
      <c r="J112" s="39"/>
      <c r="K112" s="39"/>
      <c r="L112" s="39"/>
      <c r="M112" s="39"/>
      <c r="N112" s="39"/>
      <c r="O112" s="39"/>
      <c r="P112" s="39"/>
      <c r="Q112" s="39"/>
      <c r="R112" s="39"/>
      <c r="S112" s="239"/>
      <c r="AE112" s="174"/>
    </row>
    <row r="113" ht="15.75" customHeight="1">
      <c r="C113" s="98"/>
      <c r="D113" s="98"/>
      <c r="E113" s="39"/>
      <c r="F113" s="39"/>
      <c r="G113" s="39"/>
      <c r="H113" s="39"/>
      <c r="I113" s="39"/>
      <c r="J113" s="39"/>
      <c r="K113" s="39"/>
      <c r="L113" s="39"/>
      <c r="M113" s="39"/>
      <c r="N113" s="39"/>
      <c r="O113" s="39"/>
      <c r="P113" s="39"/>
      <c r="Q113" s="39"/>
      <c r="R113" s="39"/>
      <c r="S113" s="239"/>
      <c r="AE113" s="174"/>
    </row>
    <row r="114" ht="15.75" customHeight="1">
      <c r="C114" s="98"/>
      <c r="D114" s="98"/>
      <c r="E114" s="39"/>
      <c r="F114" s="39"/>
      <c r="G114" s="39"/>
      <c r="H114" s="39"/>
      <c r="I114" s="39"/>
      <c r="J114" s="39"/>
      <c r="K114" s="39"/>
      <c r="L114" s="39"/>
      <c r="M114" s="39"/>
      <c r="N114" s="39"/>
      <c r="O114" s="39"/>
      <c r="P114" s="39"/>
      <c r="Q114" s="39"/>
      <c r="R114" s="39"/>
      <c r="S114" s="239"/>
      <c r="AE114" s="174"/>
    </row>
    <row r="115" ht="15.75" customHeight="1">
      <c r="C115" s="98"/>
      <c r="D115" s="98"/>
      <c r="E115" s="39"/>
      <c r="F115" s="39"/>
      <c r="G115" s="39"/>
      <c r="H115" s="39"/>
      <c r="I115" s="39"/>
      <c r="J115" s="39"/>
      <c r="K115" s="39"/>
      <c r="L115" s="39"/>
      <c r="M115" s="39"/>
      <c r="N115" s="39"/>
      <c r="O115" s="39"/>
      <c r="P115" s="39"/>
      <c r="Q115" s="39"/>
      <c r="R115" s="39"/>
      <c r="S115" s="239"/>
      <c r="AE115" s="174"/>
    </row>
    <row r="116" ht="15.75" customHeight="1">
      <c r="C116" s="98"/>
      <c r="D116" s="98"/>
      <c r="E116" s="39"/>
      <c r="F116" s="39"/>
      <c r="G116" s="39"/>
      <c r="H116" s="39"/>
      <c r="I116" s="39"/>
      <c r="J116" s="39"/>
      <c r="K116" s="39"/>
      <c r="L116" s="39"/>
      <c r="M116" s="39"/>
      <c r="N116" s="39"/>
      <c r="O116" s="39"/>
      <c r="P116" s="39"/>
      <c r="Q116" s="39"/>
      <c r="R116" s="39"/>
      <c r="S116" s="239"/>
      <c r="AE116" s="174"/>
    </row>
    <row r="117" ht="15.75" customHeight="1">
      <c r="C117" s="98"/>
      <c r="D117" s="98"/>
      <c r="E117" s="39"/>
      <c r="F117" s="39"/>
      <c r="G117" s="39"/>
      <c r="H117" s="39"/>
      <c r="I117" s="39"/>
      <c r="J117" s="39"/>
      <c r="K117" s="39"/>
      <c r="L117" s="39"/>
      <c r="M117" s="39"/>
      <c r="N117" s="39"/>
      <c r="O117" s="39"/>
      <c r="P117" s="39"/>
      <c r="Q117" s="39"/>
      <c r="R117" s="39"/>
      <c r="S117" s="239"/>
      <c r="AE117" s="174"/>
    </row>
    <row r="118" ht="15.75" customHeight="1">
      <c r="C118" s="98"/>
      <c r="D118" s="98"/>
      <c r="E118" s="39"/>
      <c r="F118" s="39"/>
      <c r="G118" s="39"/>
      <c r="H118" s="39"/>
      <c r="I118" s="39"/>
      <c r="J118" s="39"/>
      <c r="K118" s="39"/>
      <c r="L118" s="39"/>
      <c r="M118" s="39"/>
      <c r="N118" s="39"/>
      <c r="O118" s="39"/>
      <c r="P118" s="39"/>
      <c r="Q118" s="39"/>
      <c r="R118" s="39"/>
      <c r="S118" s="239"/>
      <c r="AE118" s="174"/>
    </row>
    <row r="119" ht="15.75" customHeight="1">
      <c r="C119" s="98"/>
      <c r="D119" s="98"/>
      <c r="E119" s="39"/>
      <c r="F119" s="39"/>
      <c r="G119" s="39"/>
      <c r="H119" s="39"/>
      <c r="I119" s="39"/>
      <c r="J119" s="39"/>
      <c r="K119" s="39"/>
      <c r="L119" s="39"/>
      <c r="M119" s="39"/>
      <c r="N119" s="39"/>
      <c r="O119" s="39"/>
      <c r="P119" s="39"/>
      <c r="Q119" s="39"/>
      <c r="R119" s="39"/>
      <c r="S119" s="239"/>
      <c r="AE119" s="174"/>
    </row>
    <row r="120" ht="15.75" customHeight="1">
      <c r="C120" s="98"/>
      <c r="D120" s="98"/>
      <c r="E120" s="39"/>
      <c r="F120" s="39"/>
      <c r="G120" s="39"/>
      <c r="H120" s="39"/>
      <c r="I120" s="39"/>
      <c r="J120" s="39"/>
      <c r="K120" s="39"/>
      <c r="L120" s="39"/>
      <c r="M120" s="39"/>
      <c r="N120" s="39"/>
      <c r="O120" s="39"/>
      <c r="P120" s="39"/>
      <c r="Q120" s="39"/>
      <c r="R120" s="39"/>
      <c r="S120" s="239"/>
      <c r="AE120" s="174"/>
    </row>
    <row r="121" ht="15.75" customHeight="1">
      <c r="C121" s="98"/>
      <c r="D121" s="98"/>
      <c r="E121" s="39"/>
      <c r="F121" s="39"/>
      <c r="G121" s="39"/>
      <c r="H121" s="39"/>
      <c r="I121" s="39"/>
      <c r="J121" s="39"/>
      <c r="K121" s="39"/>
      <c r="L121" s="39"/>
      <c r="M121" s="39"/>
      <c r="N121" s="39"/>
      <c r="O121" s="39"/>
      <c r="P121" s="39"/>
      <c r="Q121" s="39"/>
      <c r="R121" s="39"/>
      <c r="S121" s="239"/>
      <c r="AE121" s="174"/>
    </row>
    <row r="122" ht="15.75" customHeight="1">
      <c r="C122" s="98"/>
      <c r="D122" s="98"/>
      <c r="E122" s="39"/>
      <c r="F122" s="39"/>
      <c r="G122" s="39"/>
      <c r="H122" s="39"/>
      <c r="I122" s="39"/>
      <c r="J122" s="39"/>
      <c r="K122" s="39"/>
      <c r="L122" s="39"/>
      <c r="M122" s="39"/>
      <c r="N122" s="39"/>
      <c r="O122" s="39"/>
      <c r="P122" s="39"/>
      <c r="Q122" s="39"/>
      <c r="R122" s="39"/>
      <c r="S122" s="239"/>
      <c r="AE122" s="174"/>
    </row>
    <row r="123" ht="15.75" customHeight="1">
      <c r="C123" s="98"/>
      <c r="D123" s="98"/>
      <c r="E123" s="39"/>
      <c r="F123" s="39"/>
      <c r="G123" s="39"/>
      <c r="H123" s="39"/>
      <c r="I123" s="39"/>
      <c r="J123" s="39"/>
      <c r="K123" s="39"/>
      <c r="L123" s="39"/>
      <c r="M123" s="39"/>
      <c r="N123" s="39"/>
      <c r="O123" s="39"/>
      <c r="P123" s="39"/>
      <c r="Q123" s="39"/>
      <c r="R123" s="39"/>
      <c r="S123" s="239"/>
      <c r="AE123" s="174"/>
    </row>
    <row r="124" ht="15.75" customHeight="1">
      <c r="C124" s="98"/>
      <c r="D124" s="98"/>
      <c r="E124" s="39"/>
      <c r="F124" s="39"/>
      <c r="G124" s="39"/>
      <c r="H124" s="39"/>
      <c r="I124" s="39"/>
      <c r="J124" s="39"/>
      <c r="K124" s="39"/>
      <c r="L124" s="39"/>
      <c r="M124" s="39"/>
      <c r="N124" s="39"/>
      <c r="O124" s="39"/>
      <c r="P124" s="39"/>
      <c r="Q124" s="39"/>
      <c r="R124" s="39"/>
      <c r="S124" s="239"/>
      <c r="AE124" s="174"/>
    </row>
    <row r="125" ht="15.75" customHeight="1">
      <c r="C125" s="98"/>
      <c r="D125" s="98"/>
      <c r="E125" s="39"/>
      <c r="F125" s="39"/>
      <c r="G125" s="39"/>
      <c r="H125" s="39"/>
      <c r="I125" s="39"/>
      <c r="J125" s="39"/>
      <c r="K125" s="39"/>
      <c r="L125" s="39"/>
      <c r="M125" s="39"/>
      <c r="N125" s="39"/>
      <c r="O125" s="39"/>
      <c r="P125" s="39"/>
      <c r="Q125" s="39"/>
      <c r="R125" s="39"/>
      <c r="S125" s="239"/>
      <c r="AE125" s="174"/>
    </row>
    <row r="126" ht="15.75" customHeight="1">
      <c r="C126" s="98"/>
      <c r="D126" s="98"/>
      <c r="E126" s="39"/>
      <c r="F126" s="39"/>
      <c r="G126" s="39"/>
      <c r="H126" s="39"/>
      <c r="I126" s="39"/>
      <c r="J126" s="39"/>
      <c r="K126" s="39"/>
      <c r="L126" s="39"/>
      <c r="M126" s="39"/>
      <c r="N126" s="39"/>
      <c r="O126" s="39"/>
      <c r="P126" s="39"/>
      <c r="Q126" s="39"/>
      <c r="R126" s="39"/>
      <c r="S126" s="239"/>
      <c r="AE126" s="174"/>
    </row>
    <row r="127" ht="15.75" customHeight="1">
      <c r="C127" s="98"/>
      <c r="D127" s="98"/>
      <c r="E127" s="39"/>
      <c r="F127" s="39"/>
      <c r="G127" s="39"/>
      <c r="H127" s="39"/>
      <c r="I127" s="39"/>
      <c r="J127" s="39"/>
      <c r="K127" s="39"/>
      <c r="L127" s="39"/>
      <c r="M127" s="39"/>
      <c r="N127" s="39"/>
      <c r="O127" s="39"/>
      <c r="P127" s="39"/>
      <c r="Q127" s="39"/>
      <c r="R127" s="39"/>
      <c r="S127" s="239"/>
      <c r="AE127" s="174"/>
    </row>
    <row r="128" ht="15.75" customHeight="1">
      <c r="C128" s="98"/>
      <c r="D128" s="98"/>
      <c r="E128" s="39"/>
      <c r="F128" s="39"/>
      <c r="G128" s="39"/>
      <c r="H128" s="39"/>
      <c r="I128" s="39"/>
      <c r="J128" s="39"/>
      <c r="K128" s="39"/>
      <c r="L128" s="39"/>
      <c r="M128" s="39"/>
      <c r="N128" s="39"/>
      <c r="O128" s="39"/>
      <c r="P128" s="39"/>
      <c r="Q128" s="39"/>
      <c r="R128" s="39"/>
      <c r="S128" s="239"/>
      <c r="AE128" s="174"/>
    </row>
    <row r="129" ht="15.75" customHeight="1">
      <c r="C129" s="98"/>
      <c r="D129" s="98"/>
      <c r="E129" s="39"/>
      <c r="F129" s="39"/>
      <c r="G129" s="39"/>
      <c r="H129" s="39"/>
      <c r="I129" s="39"/>
      <c r="J129" s="39"/>
      <c r="K129" s="39"/>
      <c r="L129" s="39"/>
      <c r="M129" s="39"/>
      <c r="N129" s="39"/>
      <c r="O129" s="39"/>
      <c r="P129" s="39"/>
      <c r="Q129" s="39"/>
      <c r="R129" s="39"/>
      <c r="S129" s="239"/>
      <c r="AE129" s="174"/>
    </row>
    <row r="130" ht="15.75" customHeight="1">
      <c r="C130" s="98"/>
      <c r="D130" s="98"/>
      <c r="E130" s="39"/>
      <c r="F130" s="39"/>
      <c r="G130" s="39"/>
      <c r="H130" s="39"/>
      <c r="I130" s="39"/>
      <c r="J130" s="39"/>
      <c r="K130" s="39"/>
      <c r="L130" s="39"/>
      <c r="M130" s="39"/>
      <c r="N130" s="39"/>
      <c r="O130" s="39"/>
      <c r="P130" s="39"/>
      <c r="Q130" s="39"/>
      <c r="R130" s="39"/>
      <c r="S130" s="239"/>
      <c r="AE130" s="174"/>
    </row>
    <row r="131" ht="15.75" customHeight="1">
      <c r="C131" s="98"/>
      <c r="D131" s="98"/>
      <c r="E131" s="39"/>
      <c r="F131" s="39"/>
      <c r="G131" s="39"/>
      <c r="H131" s="39"/>
      <c r="I131" s="39"/>
      <c r="J131" s="39"/>
      <c r="K131" s="39"/>
      <c r="L131" s="39"/>
      <c r="M131" s="39"/>
      <c r="N131" s="39"/>
      <c r="O131" s="39"/>
      <c r="P131" s="39"/>
      <c r="Q131" s="39"/>
      <c r="R131" s="39"/>
      <c r="S131" s="239"/>
      <c r="AE131" s="174"/>
    </row>
    <row r="132" ht="15.75" customHeight="1">
      <c r="C132" s="98"/>
      <c r="D132" s="98"/>
      <c r="E132" s="39"/>
      <c r="F132" s="39"/>
      <c r="G132" s="39"/>
      <c r="H132" s="39"/>
      <c r="I132" s="39"/>
      <c r="J132" s="39"/>
      <c r="K132" s="39"/>
      <c r="L132" s="39"/>
      <c r="M132" s="39"/>
      <c r="N132" s="39"/>
      <c r="O132" s="39"/>
      <c r="P132" s="39"/>
      <c r="Q132" s="39"/>
      <c r="R132" s="39"/>
      <c r="S132" s="239"/>
      <c r="AE132" s="174"/>
    </row>
    <row r="133" ht="15.75" customHeight="1">
      <c r="C133" s="98"/>
      <c r="D133" s="98"/>
      <c r="E133" s="39"/>
      <c r="F133" s="39"/>
      <c r="G133" s="39"/>
      <c r="H133" s="39"/>
      <c r="I133" s="39"/>
      <c r="J133" s="39"/>
      <c r="K133" s="39"/>
      <c r="L133" s="39"/>
      <c r="M133" s="39"/>
      <c r="N133" s="39"/>
      <c r="O133" s="39"/>
      <c r="P133" s="39"/>
      <c r="Q133" s="39"/>
      <c r="R133" s="39"/>
      <c r="S133" s="239"/>
      <c r="AE133" s="174"/>
    </row>
    <row r="134" ht="15.75" customHeight="1">
      <c r="C134" s="98"/>
      <c r="D134" s="98"/>
      <c r="E134" s="39"/>
      <c r="F134" s="39"/>
      <c r="G134" s="39"/>
      <c r="H134" s="39"/>
      <c r="I134" s="39"/>
      <c r="J134" s="39"/>
      <c r="K134" s="39"/>
      <c r="L134" s="39"/>
      <c r="M134" s="39"/>
      <c r="N134" s="39"/>
      <c r="O134" s="39"/>
      <c r="P134" s="39"/>
      <c r="Q134" s="39"/>
      <c r="R134" s="39"/>
      <c r="S134" s="239"/>
      <c r="AE134" s="174"/>
    </row>
    <row r="135" ht="15.75" customHeight="1">
      <c r="C135" s="98"/>
      <c r="D135" s="98"/>
      <c r="E135" s="39"/>
      <c r="F135" s="39"/>
      <c r="G135" s="39"/>
      <c r="H135" s="39"/>
      <c r="I135" s="39"/>
      <c r="J135" s="39"/>
      <c r="K135" s="39"/>
      <c r="L135" s="39"/>
      <c r="M135" s="39"/>
      <c r="N135" s="39"/>
      <c r="O135" s="39"/>
      <c r="P135" s="39"/>
      <c r="Q135" s="39"/>
      <c r="R135" s="39"/>
      <c r="S135" s="239"/>
      <c r="AE135" s="174"/>
    </row>
    <row r="136" ht="15.75" customHeight="1">
      <c r="C136" s="98"/>
      <c r="D136" s="98"/>
      <c r="E136" s="39"/>
      <c r="F136" s="39"/>
      <c r="G136" s="39"/>
      <c r="H136" s="39"/>
      <c r="I136" s="39"/>
      <c r="J136" s="39"/>
      <c r="K136" s="39"/>
      <c r="L136" s="39"/>
      <c r="M136" s="39"/>
      <c r="N136" s="39"/>
      <c r="O136" s="39"/>
      <c r="P136" s="39"/>
      <c r="Q136" s="39"/>
      <c r="R136" s="39"/>
      <c r="S136" s="239"/>
      <c r="AE136" s="174"/>
    </row>
    <row r="137" ht="15.75" customHeight="1">
      <c r="C137" s="98"/>
      <c r="D137" s="98"/>
      <c r="E137" s="39"/>
      <c r="F137" s="39"/>
      <c r="G137" s="39"/>
      <c r="H137" s="39"/>
      <c r="I137" s="39"/>
      <c r="J137" s="39"/>
      <c r="K137" s="39"/>
      <c r="L137" s="39"/>
      <c r="M137" s="39"/>
      <c r="N137" s="39"/>
      <c r="O137" s="39"/>
      <c r="P137" s="39"/>
      <c r="Q137" s="39"/>
      <c r="R137" s="39"/>
      <c r="S137" s="239"/>
      <c r="AE137" s="174"/>
    </row>
    <row r="138" ht="15.75" customHeight="1">
      <c r="C138" s="98"/>
      <c r="D138" s="98"/>
      <c r="E138" s="39"/>
      <c r="F138" s="39"/>
      <c r="G138" s="39"/>
      <c r="H138" s="39"/>
      <c r="I138" s="39"/>
      <c r="J138" s="39"/>
      <c r="K138" s="39"/>
      <c r="L138" s="39"/>
      <c r="M138" s="39"/>
      <c r="N138" s="39"/>
      <c r="O138" s="39"/>
      <c r="P138" s="39"/>
      <c r="Q138" s="39"/>
      <c r="R138" s="39"/>
      <c r="S138" s="239"/>
      <c r="AE138" s="174"/>
    </row>
    <row r="139" ht="15.75" customHeight="1">
      <c r="C139" s="98"/>
      <c r="D139" s="98"/>
      <c r="E139" s="39"/>
      <c r="F139" s="39"/>
      <c r="G139" s="39"/>
      <c r="H139" s="39"/>
      <c r="I139" s="39"/>
      <c r="J139" s="39"/>
      <c r="K139" s="39"/>
      <c r="L139" s="39"/>
      <c r="M139" s="39"/>
      <c r="N139" s="39"/>
      <c r="O139" s="39"/>
      <c r="P139" s="39"/>
      <c r="Q139" s="39"/>
      <c r="R139" s="39"/>
      <c r="S139" s="239"/>
      <c r="AE139" s="174"/>
    </row>
    <row r="140" ht="15.75" customHeight="1">
      <c r="C140" s="98"/>
      <c r="D140" s="98"/>
      <c r="E140" s="39"/>
      <c r="F140" s="39"/>
      <c r="G140" s="39"/>
      <c r="H140" s="39"/>
      <c r="I140" s="39"/>
      <c r="J140" s="39"/>
      <c r="K140" s="39"/>
      <c r="L140" s="39"/>
      <c r="M140" s="39"/>
      <c r="N140" s="39"/>
      <c r="O140" s="39"/>
      <c r="P140" s="39"/>
      <c r="Q140" s="39"/>
      <c r="R140" s="39"/>
      <c r="S140" s="239"/>
      <c r="AE140" s="174"/>
    </row>
    <row r="141" ht="15.75" customHeight="1">
      <c r="C141" s="98"/>
      <c r="D141" s="98"/>
      <c r="E141" s="39"/>
      <c r="F141" s="39"/>
      <c r="G141" s="39"/>
      <c r="H141" s="39"/>
      <c r="I141" s="39"/>
      <c r="J141" s="39"/>
      <c r="K141" s="39"/>
      <c r="L141" s="39"/>
      <c r="M141" s="39"/>
      <c r="N141" s="39"/>
      <c r="O141" s="39"/>
      <c r="P141" s="39"/>
      <c r="Q141" s="39"/>
      <c r="R141" s="39"/>
      <c r="S141" s="239"/>
      <c r="AE141" s="174"/>
    </row>
    <row r="142" ht="15.75" customHeight="1">
      <c r="C142" s="98"/>
      <c r="D142" s="98"/>
      <c r="E142" s="39"/>
      <c r="F142" s="39"/>
      <c r="G142" s="39"/>
      <c r="H142" s="39"/>
      <c r="I142" s="39"/>
      <c r="J142" s="39"/>
      <c r="K142" s="39"/>
      <c r="L142" s="39"/>
      <c r="M142" s="39"/>
      <c r="N142" s="39"/>
      <c r="O142" s="39"/>
      <c r="P142" s="39"/>
      <c r="Q142" s="39"/>
      <c r="R142" s="39"/>
      <c r="S142" s="239"/>
      <c r="AE142" s="174"/>
    </row>
    <row r="143" ht="15.75" customHeight="1">
      <c r="C143" s="98"/>
      <c r="D143" s="98"/>
      <c r="E143" s="39"/>
      <c r="F143" s="39"/>
      <c r="G143" s="39"/>
      <c r="H143" s="39"/>
      <c r="I143" s="39"/>
      <c r="J143" s="39"/>
      <c r="K143" s="39"/>
      <c r="L143" s="39"/>
      <c r="M143" s="39"/>
      <c r="N143" s="39"/>
      <c r="O143" s="39"/>
      <c r="P143" s="39"/>
      <c r="Q143" s="39"/>
      <c r="R143" s="39"/>
      <c r="S143" s="239"/>
      <c r="AE143" s="174"/>
    </row>
    <row r="144" ht="15.75" customHeight="1">
      <c r="C144" s="98"/>
      <c r="D144" s="98"/>
      <c r="E144" s="39"/>
      <c r="F144" s="39"/>
      <c r="G144" s="39"/>
      <c r="H144" s="39"/>
      <c r="I144" s="39"/>
      <c r="J144" s="39"/>
      <c r="K144" s="39"/>
      <c r="L144" s="39"/>
      <c r="M144" s="39"/>
      <c r="N144" s="39"/>
      <c r="O144" s="39"/>
      <c r="P144" s="39"/>
      <c r="Q144" s="39"/>
      <c r="R144" s="39"/>
      <c r="S144" s="239"/>
      <c r="AE144" s="174"/>
    </row>
    <row r="145" ht="15.75" customHeight="1">
      <c r="C145" s="98"/>
      <c r="D145" s="98"/>
      <c r="E145" s="39"/>
      <c r="F145" s="39"/>
      <c r="G145" s="39"/>
      <c r="H145" s="39"/>
      <c r="I145" s="39"/>
      <c r="J145" s="39"/>
      <c r="K145" s="39"/>
      <c r="L145" s="39"/>
      <c r="M145" s="39"/>
      <c r="N145" s="39"/>
      <c r="O145" s="39"/>
      <c r="P145" s="39"/>
      <c r="Q145" s="39"/>
      <c r="R145" s="39"/>
      <c r="S145" s="239"/>
      <c r="AE145" s="174"/>
    </row>
    <row r="146" ht="15.75" customHeight="1">
      <c r="C146" s="98"/>
      <c r="D146" s="98"/>
      <c r="E146" s="39"/>
      <c r="F146" s="39"/>
      <c r="G146" s="39"/>
      <c r="H146" s="39"/>
      <c r="I146" s="39"/>
      <c r="J146" s="39"/>
      <c r="K146" s="39"/>
      <c r="L146" s="39"/>
      <c r="M146" s="39"/>
      <c r="N146" s="39"/>
      <c r="O146" s="39"/>
      <c r="P146" s="39"/>
      <c r="Q146" s="39"/>
      <c r="R146" s="39"/>
      <c r="S146" s="239"/>
      <c r="AE146" s="174"/>
    </row>
    <row r="147" ht="15.75" customHeight="1">
      <c r="C147" s="98"/>
      <c r="D147" s="98"/>
      <c r="E147" s="39"/>
      <c r="F147" s="39"/>
      <c r="G147" s="39"/>
      <c r="H147" s="39"/>
      <c r="I147" s="39"/>
      <c r="J147" s="39"/>
      <c r="K147" s="39"/>
      <c r="L147" s="39"/>
      <c r="M147" s="39"/>
      <c r="N147" s="39"/>
      <c r="O147" s="39"/>
      <c r="P147" s="39"/>
      <c r="Q147" s="39"/>
      <c r="R147" s="39"/>
      <c r="S147" s="239"/>
      <c r="AE147" s="174"/>
    </row>
    <row r="148" ht="15.75" customHeight="1">
      <c r="C148" s="98"/>
      <c r="D148" s="98"/>
      <c r="E148" s="39"/>
      <c r="F148" s="39"/>
      <c r="G148" s="39"/>
      <c r="H148" s="39"/>
      <c r="I148" s="39"/>
      <c r="J148" s="39"/>
      <c r="K148" s="39"/>
      <c r="L148" s="39"/>
      <c r="M148" s="39"/>
      <c r="N148" s="39"/>
      <c r="O148" s="39"/>
      <c r="P148" s="39"/>
      <c r="Q148" s="39"/>
      <c r="R148" s="39"/>
      <c r="S148" s="239"/>
      <c r="AE148" s="174"/>
    </row>
    <row r="149" ht="15.75" customHeight="1">
      <c r="C149" s="98"/>
      <c r="D149" s="98"/>
      <c r="E149" s="39"/>
      <c r="F149" s="39"/>
      <c r="G149" s="39"/>
      <c r="H149" s="39"/>
      <c r="I149" s="39"/>
      <c r="J149" s="39"/>
      <c r="K149" s="39"/>
      <c r="L149" s="39"/>
      <c r="M149" s="39"/>
      <c r="N149" s="39"/>
      <c r="O149" s="39"/>
      <c r="P149" s="39"/>
      <c r="Q149" s="39"/>
      <c r="R149" s="39"/>
      <c r="S149" s="239"/>
      <c r="AE149" s="174"/>
    </row>
    <row r="150" ht="15.75" customHeight="1">
      <c r="C150" s="98"/>
      <c r="D150" s="98"/>
      <c r="E150" s="39"/>
      <c r="F150" s="39"/>
      <c r="G150" s="39"/>
      <c r="H150" s="39"/>
      <c r="I150" s="39"/>
      <c r="J150" s="39"/>
      <c r="K150" s="39"/>
      <c r="L150" s="39"/>
      <c r="M150" s="39"/>
      <c r="N150" s="39"/>
      <c r="O150" s="39"/>
      <c r="P150" s="39"/>
      <c r="Q150" s="39"/>
      <c r="R150" s="39"/>
      <c r="S150" s="239"/>
      <c r="AE150" s="174"/>
    </row>
    <row r="151" ht="15.75" customHeight="1">
      <c r="C151" s="98"/>
      <c r="D151" s="98"/>
      <c r="E151" s="39"/>
      <c r="F151" s="39"/>
      <c r="G151" s="39"/>
      <c r="H151" s="39"/>
      <c r="I151" s="39"/>
      <c r="J151" s="39"/>
      <c r="K151" s="39"/>
      <c r="L151" s="39"/>
      <c r="M151" s="39"/>
      <c r="N151" s="39"/>
      <c r="O151" s="39"/>
      <c r="P151" s="39"/>
      <c r="Q151" s="39"/>
      <c r="R151" s="39"/>
      <c r="S151" s="239"/>
      <c r="AE151" s="174"/>
    </row>
    <row r="152" ht="15.75" customHeight="1">
      <c r="C152" s="98"/>
      <c r="D152" s="98"/>
      <c r="E152" s="39"/>
      <c r="F152" s="39"/>
      <c r="G152" s="39"/>
      <c r="H152" s="39"/>
      <c r="I152" s="39"/>
      <c r="J152" s="39"/>
      <c r="K152" s="39"/>
      <c r="L152" s="39"/>
      <c r="M152" s="39"/>
      <c r="N152" s="39"/>
      <c r="O152" s="39"/>
      <c r="P152" s="39"/>
      <c r="Q152" s="39"/>
      <c r="R152" s="39"/>
      <c r="S152" s="239"/>
      <c r="AE152" s="174"/>
    </row>
    <row r="153" ht="15.75" customHeight="1">
      <c r="C153" s="98"/>
      <c r="D153" s="98"/>
      <c r="E153" s="39"/>
      <c r="F153" s="39"/>
      <c r="G153" s="39"/>
      <c r="H153" s="39"/>
      <c r="I153" s="39"/>
      <c r="J153" s="39"/>
      <c r="K153" s="39"/>
      <c r="L153" s="39"/>
      <c r="M153" s="39"/>
      <c r="N153" s="39"/>
      <c r="O153" s="39"/>
      <c r="P153" s="39"/>
      <c r="Q153" s="39"/>
      <c r="R153" s="39"/>
      <c r="S153" s="239"/>
      <c r="AE153" s="174"/>
    </row>
    <row r="154" ht="15.75" customHeight="1">
      <c r="C154" s="98"/>
      <c r="D154" s="98"/>
      <c r="E154" s="39"/>
      <c r="F154" s="39"/>
      <c r="G154" s="39"/>
      <c r="H154" s="39"/>
      <c r="I154" s="39"/>
      <c r="J154" s="39"/>
      <c r="K154" s="39"/>
      <c r="L154" s="39"/>
      <c r="M154" s="39"/>
      <c r="N154" s="39"/>
      <c r="O154" s="39"/>
      <c r="P154" s="39"/>
      <c r="Q154" s="39"/>
      <c r="R154" s="39"/>
      <c r="S154" s="239"/>
      <c r="AE154" s="174"/>
    </row>
    <row r="155" ht="15.75" customHeight="1">
      <c r="C155" s="98"/>
      <c r="D155" s="98"/>
      <c r="E155" s="39"/>
      <c r="F155" s="39"/>
      <c r="G155" s="39"/>
      <c r="H155" s="39"/>
      <c r="I155" s="39"/>
      <c r="J155" s="39"/>
      <c r="K155" s="39"/>
      <c r="L155" s="39"/>
      <c r="M155" s="39"/>
      <c r="N155" s="39"/>
      <c r="O155" s="39"/>
      <c r="P155" s="39"/>
      <c r="Q155" s="39"/>
      <c r="R155" s="39"/>
      <c r="S155" s="239"/>
      <c r="AE155" s="174"/>
    </row>
    <row r="156" ht="15.75" customHeight="1">
      <c r="C156" s="98"/>
      <c r="D156" s="98"/>
      <c r="E156" s="39"/>
      <c r="F156" s="39"/>
      <c r="G156" s="39"/>
      <c r="H156" s="39"/>
      <c r="I156" s="39"/>
      <c r="J156" s="39"/>
      <c r="K156" s="39"/>
      <c r="L156" s="39"/>
      <c r="M156" s="39"/>
      <c r="N156" s="39"/>
      <c r="O156" s="39"/>
      <c r="P156" s="39"/>
      <c r="Q156" s="39"/>
      <c r="R156" s="39"/>
      <c r="S156" s="239"/>
      <c r="AE156" s="174"/>
    </row>
    <row r="157" ht="15.75" customHeight="1">
      <c r="C157" s="98"/>
      <c r="D157" s="98"/>
      <c r="E157" s="39"/>
      <c r="F157" s="39"/>
      <c r="G157" s="39"/>
      <c r="H157" s="39"/>
      <c r="I157" s="39"/>
      <c r="J157" s="39"/>
      <c r="K157" s="39"/>
      <c r="L157" s="39"/>
      <c r="M157" s="39"/>
      <c r="N157" s="39"/>
      <c r="O157" s="39"/>
      <c r="P157" s="39"/>
      <c r="Q157" s="39"/>
      <c r="R157" s="39"/>
      <c r="S157" s="239"/>
      <c r="AE157" s="174"/>
    </row>
    <row r="158" ht="15.75" customHeight="1">
      <c r="C158" s="98"/>
      <c r="D158" s="98"/>
      <c r="E158" s="39"/>
      <c r="F158" s="39"/>
      <c r="G158" s="39"/>
      <c r="H158" s="39"/>
      <c r="I158" s="39"/>
      <c r="J158" s="39"/>
      <c r="K158" s="39"/>
      <c r="L158" s="39"/>
      <c r="M158" s="39"/>
      <c r="N158" s="39"/>
      <c r="O158" s="39"/>
      <c r="P158" s="39"/>
      <c r="Q158" s="39"/>
      <c r="R158" s="39"/>
      <c r="S158" s="239"/>
      <c r="AE158" s="174"/>
    </row>
    <row r="159" ht="15.75" customHeight="1">
      <c r="C159" s="98"/>
      <c r="D159" s="98"/>
      <c r="E159" s="39"/>
      <c r="F159" s="39"/>
      <c r="G159" s="39"/>
      <c r="H159" s="39"/>
      <c r="I159" s="39"/>
      <c r="J159" s="39"/>
      <c r="K159" s="39"/>
      <c r="L159" s="39"/>
      <c r="M159" s="39"/>
      <c r="N159" s="39"/>
      <c r="O159" s="39"/>
      <c r="P159" s="39"/>
      <c r="Q159" s="39"/>
      <c r="R159" s="39"/>
      <c r="S159" s="239"/>
      <c r="AE159" s="174"/>
    </row>
    <row r="160" ht="15.75" customHeight="1">
      <c r="C160" s="98"/>
      <c r="D160" s="98"/>
      <c r="E160" s="39"/>
      <c r="F160" s="39"/>
      <c r="G160" s="39"/>
      <c r="H160" s="39"/>
      <c r="I160" s="39"/>
      <c r="J160" s="39"/>
      <c r="K160" s="39"/>
      <c r="L160" s="39"/>
      <c r="M160" s="39"/>
      <c r="N160" s="39"/>
      <c r="O160" s="39"/>
      <c r="P160" s="39"/>
      <c r="Q160" s="39"/>
      <c r="R160" s="39"/>
      <c r="S160" s="239"/>
      <c r="AE160" s="174"/>
    </row>
    <row r="161" ht="15.75" customHeight="1">
      <c r="C161" s="98"/>
      <c r="D161" s="98"/>
      <c r="E161" s="39"/>
      <c r="F161" s="39"/>
      <c r="G161" s="39"/>
      <c r="H161" s="39"/>
      <c r="I161" s="39"/>
      <c r="J161" s="39"/>
      <c r="K161" s="39"/>
      <c r="L161" s="39"/>
      <c r="M161" s="39"/>
      <c r="N161" s="39"/>
      <c r="O161" s="39"/>
      <c r="P161" s="39"/>
      <c r="Q161" s="39"/>
      <c r="R161" s="39"/>
      <c r="S161" s="239"/>
      <c r="AE161" s="174"/>
    </row>
    <row r="162" ht="15.75" customHeight="1">
      <c r="C162" s="98"/>
      <c r="D162" s="98"/>
      <c r="E162" s="39"/>
      <c r="F162" s="39"/>
      <c r="G162" s="39"/>
      <c r="H162" s="39"/>
      <c r="I162" s="39"/>
      <c r="J162" s="39"/>
      <c r="K162" s="39"/>
      <c r="L162" s="39"/>
      <c r="M162" s="39"/>
      <c r="N162" s="39"/>
      <c r="O162" s="39"/>
      <c r="P162" s="39"/>
      <c r="Q162" s="39"/>
      <c r="R162" s="39"/>
      <c r="S162" s="239"/>
      <c r="AE162" s="174"/>
    </row>
    <row r="163" ht="15.75" customHeight="1">
      <c r="C163" s="98"/>
      <c r="D163" s="98"/>
      <c r="E163" s="39"/>
      <c r="F163" s="39"/>
      <c r="G163" s="39"/>
      <c r="H163" s="39"/>
      <c r="I163" s="39"/>
      <c r="J163" s="39"/>
      <c r="K163" s="39"/>
      <c r="L163" s="39"/>
      <c r="M163" s="39"/>
      <c r="N163" s="39"/>
      <c r="O163" s="39"/>
      <c r="P163" s="39"/>
      <c r="Q163" s="39"/>
      <c r="R163" s="39"/>
      <c r="S163" s="239"/>
      <c r="AE163" s="174"/>
    </row>
    <row r="164" ht="15.75" customHeight="1">
      <c r="C164" s="98"/>
      <c r="D164" s="98"/>
      <c r="E164" s="39"/>
      <c r="F164" s="39"/>
      <c r="G164" s="39"/>
      <c r="H164" s="39"/>
      <c r="I164" s="39"/>
      <c r="J164" s="39"/>
      <c r="K164" s="39"/>
      <c r="L164" s="39"/>
      <c r="M164" s="39"/>
      <c r="N164" s="39"/>
      <c r="O164" s="39"/>
      <c r="P164" s="39"/>
      <c r="Q164" s="39"/>
      <c r="R164" s="39"/>
      <c r="S164" s="239"/>
      <c r="AE164" s="174"/>
    </row>
    <row r="165" ht="15.75" customHeight="1">
      <c r="C165" s="98"/>
      <c r="D165" s="98"/>
      <c r="E165" s="39"/>
      <c r="F165" s="39"/>
      <c r="G165" s="39"/>
      <c r="H165" s="39"/>
      <c r="I165" s="39"/>
      <c r="J165" s="39"/>
      <c r="K165" s="39"/>
      <c r="L165" s="39"/>
      <c r="M165" s="39"/>
      <c r="N165" s="39"/>
      <c r="O165" s="39"/>
      <c r="P165" s="39"/>
      <c r="Q165" s="39"/>
      <c r="R165" s="39"/>
      <c r="S165" s="239"/>
      <c r="AE165" s="174"/>
    </row>
    <row r="166" ht="15.75" customHeight="1">
      <c r="C166" s="98"/>
      <c r="D166" s="98"/>
      <c r="E166" s="39"/>
      <c r="F166" s="39"/>
      <c r="G166" s="39"/>
      <c r="H166" s="39"/>
      <c r="I166" s="39"/>
      <c r="J166" s="39"/>
      <c r="K166" s="39"/>
      <c r="L166" s="39"/>
      <c r="M166" s="39"/>
      <c r="N166" s="39"/>
      <c r="O166" s="39"/>
      <c r="P166" s="39"/>
      <c r="Q166" s="39"/>
      <c r="R166" s="39"/>
      <c r="S166" s="239"/>
      <c r="AE166" s="174"/>
    </row>
    <row r="167" ht="15.75" customHeight="1">
      <c r="C167" s="98"/>
      <c r="D167" s="98"/>
      <c r="E167" s="39"/>
      <c r="F167" s="39"/>
      <c r="G167" s="39"/>
      <c r="H167" s="39"/>
      <c r="I167" s="39"/>
      <c r="J167" s="39"/>
      <c r="K167" s="39"/>
      <c r="L167" s="39"/>
      <c r="M167" s="39"/>
      <c r="N167" s="39"/>
      <c r="O167" s="39"/>
      <c r="P167" s="39"/>
      <c r="Q167" s="39"/>
      <c r="R167" s="39"/>
      <c r="S167" s="239"/>
      <c r="AE167" s="174"/>
    </row>
    <row r="168" ht="15.75" customHeight="1">
      <c r="C168" s="98"/>
      <c r="D168" s="98"/>
      <c r="E168" s="39"/>
      <c r="F168" s="39"/>
      <c r="G168" s="39"/>
      <c r="H168" s="39"/>
      <c r="I168" s="39"/>
      <c r="J168" s="39"/>
      <c r="K168" s="39"/>
      <c r="L168" s="39"/>
      <c r="M168" s="39"/>
      <c r="N168" s="39"/>
      <c r="O168" s="39"/>
      <c r="P168" s="39"/>
      <c r="Q168" s="39"/>
      <c r="R168" s="39"/>
      <c r="S168" s="239"/>
      <c r="AE168" s="174"/>
    </row>
    <row r="169" ht="15.75" customHeight="1">
      <c r="C169" s="98"/>
      <c r="D169" s="98"/>
      <c r="E169" s="39"/>
      <c r="F169" s="39"/>
      <c r="G169" s="39"/>
      <c r="H169" s="39"/>
      <c r="I169" s="39"/>
      <c r="J169" s="39"/>
      <c r="K169" s="39"/>
      <c r="L169" s="39"/>
      <c r="M169" s="39"/>
      <c r="N169" s="39"/>
      <c r="O169" s="39"/>
      <c r="P169" s="39"/>
      <c r="Q169" s="39"/>
      <c r="R169" s="39"/>
      <c r="S169" s="239"/>
      <c r="AE169" s="174"/>
    </row>
    <row r="170" ht="15.75" customHeight="1">
      <c r="C170" s="98"/>
      <c r="D170" s="98"/>
      <c r="E170" s="39"/>
      <c r="F170" s="39"/>
      <c r="G170" s="39"/>
      <c r="H170" s="39"/>
      <c r="I170" s="39"/>
      <c r="J170" s="39"/>
      <c r="K170" s="39"/>
      <c r="L170" s="39"/>
      <c r="M170" s="39"/>
      <c r="N170" s="39"/>
      <c r="O170" s="39"/>
      <c r="P170" s="39"/>
      <c r="Q170" s="39"/>
      <c r="R170" s="39"/>
      <c r="S170" s="239"/>
      <c r="AE170" s="174"/>
    </row>
    <row r="171" ht="15.75" customHeight="1">
      <c r="C171" s="98"/>
      <c r="D171" s="98"/>
      <c r="E171" s="39"/>
      <c r="F171" s="39"/>
      <c r="G171" s="39"/>
      <c r="H171" s="39"/>
      <c r="I171" s="39"/>
      <c r="J171" s="39"/>
      <c r="K171" s="39"/>
      <c r="L171" s="39"/>
      <c r="M171" s="39"/>
      <c r="N171" s="39"/>
      <c r="O171" s="39"/>
      <c r="P171" s="39"/>
      <c r="Q171" s="39"/>
      <c r="R171" s="39"/>
      <c r="S171" s="239"/>
      <c r="AE171" s="174"/>
    </row>
    <row r="172" ht="15.75" customHeight="1">
      <c r="C172" s="98"/>
      <c r="D172" s="98"/>
      <c r="E172" s="39"/>
      <c r="F172" s="39"/>
      <c r="G172" s="39"/>
      <c r="H172" s="39"/>
      <c r="I172" s="39"/>
      <c r="J172" s="39"/>
      <c r="K172" s="39"/>
      <c r="L172" s="39"/>
      <c r="M172" s="39"/>
      <c r="N172" s="39"/>
      <c r="O172" s="39"/>
      <c r="P172" s="39"/>
      <c r="Q172" s="39"/>
      <c r="R172" s="39"/>
      <c r="S172" s="239"/>
      <c r="AE172" s="174"/>
    </row>
    <row r="173" ht="15.75" customHeight="1">
      <c r="C173" s="98"/>
      <c r="D173" s="98"/>
      <c r="E173" s="39"/>
      <c r="F173" s="39"/>
      <c r="G173" s="39"/>
      <c r="H173" s="39"/>
      <c r="I173" s="39"/>
      <c r="J173" s="39"/>
      <c r="K173" s="39"/>
      <c r="L173" s="39"/>
      <c r="M173" s="39"/>
      <c r="N173" s="39"/>
      <c r="O173" s="39"/>
      <c r="P173" s="39"/>
      <c r="Q173" s="39"/>
      <c r="R173" s="39"/>
      <c r="S173" s="239"/>
      <c r="AE173" s="174"/>
    </row>
    <row r="174" ht="15.75" customHeight="1">
      <c r="C174" s="98"/>
      <c r="D174" s="98"/>
      <c r="E174" s="39"/>
      <c r="F174" s="39"/>
      <c r="G174" s="39"/>
      <c r="H174" s="39"/>
      <c r="I174" s="39"/>
      <c r="J174" s="39"/>
      <c r="K174" s="39"/>
      <c r="L174" s="39"/>
      <c r="M174" s="39"/>
      <c r="N174" s="39"/>
      <c r="O174" s="39"/>
      <c r="P174" s="39"/>
      <c r="Q174" s="39"/>
      <c r="R174" s="39"/>
      <c r="S174" s="239"/>
      <c r="AE174" s="174"/>
    </row>
    <row r="175" ht="15.75" customHeight="1">
      <c r="C175" s="98"/>
      <c r="D175" s="98"/>
      <c r="E175" s="39"/>
      <c r="F175" s="39"/>
      <c r="G175" s="39"/>
      <c r="H175" s="39"/>
      <c r="I175" s="39"/>
      <c r="J175" s="39"/>
      <c r="K175" s="39"/>
      <c r="L175" s="39"/>
      <c r="M175" s="39"/>
      <c r="N175" s="39"/>
      <c r="O175" s="39"/>
      <c r="P175" s="39"/>
      <c r="Q175" s="39"/>
      <c r="R175" s="39"/>
      <c r="S175" s="239"/>
      <c r="AE175" s="174"/>
    </row>
    <row r="176" ht="15.75" customHeight="1">
      <c r="C176" s="98"/>
      <c r="D176" s="98"/>
      <c r="E176" s="39"/>
      <c r="F176" s="39"/>
      <c r="G176" s="39"/>
      <c r="H176" s="39"/>
      <c r="I176" s="39"/>
      <c r="J176" s="39"/>
      <c r="K176" s="39"/>
      <c r="L176" s="39"/>
      <c r="M176" s="39"/>
      <c r="N176" s="39"/>
      <c r="O176" s="39"/>
      <c r="P176" s="39"/>
      <c r="Q176" s="39"/>
      <c r="R176" s="39"/>
      <c r="S176" s="239"/>
      <c r="AE176" s="174"/>
    </row>
    <row r="177" ht="15.75" customHeight="1">
      <c r="C177" s="98"/>
      <c r="D177" s="98"/>
      <c r="E177" s="39"/>
      <c r="F177" s="39"/>
      <c r="G177" s="39"/>
      <c r="H177" s="39"/>
      <c r="I177" s="39"/>
      <c r="J177" s="39"/>
      <c r="K177" s="39"/>
      <c r="L177" s="39"/>
      <c r="M177" s="39"/>
      <c r="N177" s="39"/>
      <c r="O177" s="39"/>
      <c r="P177" s="39"/>
      <c r="Q177" s="39"/>
      <c r="R177" s="39"/>
      <c r="S177" s="239"/>
      <c r="AE177" s="174"/>
    </row>
    <row r="178" ht="15.75" customHeight="1">
      <c r="C178" s="98"/>
      <c r="D178" s="98"/>
      <c r="E178" s="39"/>
      <c r="F178" s="39"/>
      <c r="G178" s="39"/>
      <c r="H178" s="39"/>
      <c r="I178" s="39"/>
      <c r="J178" s="39"/>
      <c r="K178" s="39"/>
      <c r="L178" s="39"/>
      <c r="M178" s="39"/>
      <c r="N178" s="39"/>
      <c r="O178" s="39"/>
      <c r="P178" s="39"/>
      <c r="Q178" s="39"/>
      <c r="R178" s="39"/>
      <c r="S178" s="239"/>
      <c r="AE178" s="174"/>
    </row>
    <row r="179" ht="15.75" customHeight="1">
      <c r="C179" s="98"/>
      <c r="D179" s="98"/>
      <c r="E179" s="39"/>
      <c r="F179" s="39"/>
      <c r="G179" s="39"/>
      <c r="H179" s="39"/>
      <c r="I179" s="39"/>
      <c r="J179" s="39"/>
      <c r="K179" s="39"/>
      <c r="L179" s="39"/>
      <c r="M179" s="39"/>
      <c r="N179" s="39"/>
      <c r="O179" s="39"/>
      <c r="P179" s="39"/>
      <c r="Q179" s="39"/>
      <c r="R179" s="39"/>
      <c r="S179" s="239"/>
      <c r="AE179" s="174"/>
    </row>
    <row r="180" ht="15.75" customHeight="1">
      <c r="C180" s="98"/>
      <c r="D180" s="98"/>
      <c r="E180" s="39"/>
      <c r="F180" s="39"/>
      <c r="G180" s="39"/>
      <c r="H180" s="39"/>
      <c r="I180" s="39"/>
      <c r="J180" s="39"/>
      <c r="K180" s="39"/>
      <c r="L180" s="39"/>
      <c r="M180" s="39"/>
      <c r="N180" s="39"/>
      <c r="O180" s="39"/>
      <c r="P180" s="39"/>
      <c r="Q180" s="39"/>
      <c r="R180" s="39"/>
      <c r="S180" s="239"/>
      <c r="AE180" s="174"/>
    </row>
    <row r="181" ht="15.75" customHeight="1">
      <c r="C181" s="98"/>
      <c r="D181" s="98"/>
      <c r="E181" s="39"/>
      <c r="F181" s="39"/>
      <c r="G181" s="39"/>
      <c r="H181" s="39"/>
      <c r="I181" s="39"/>
      <c r="J181" s="39"/>
      <c r="K181" s="39"/>
      <c r="L181" s="39"/>
      <c r="M181" s="39"/>
      <c r="N181" s="39"/>
      <c r="O181" s="39"/>
      <c r="P181" s="39"/>
      <c r="Q181" s="39"/>
      <c r="R181" s="39"/>
      <c r="S181" s="239"/>
      <c r="AE181" s="174"/>
    </row>
    <row r="182" ht="15.75" customHeight="1">
      <c r="C182" s="98"/>
      <c r="D182" s="98"/>
      <c r="E182" s="39"/>
      <c r="F182" s="39"/>
      <c r="G182" s="39"/>
      <c r="H182" s="39"/>
      <c r="I182" s="39"/>
      <c r="J182" s="39"/>
      <c r="K182" s="39"/>
      <c r="L182" s="39"/>
      <c r="M182" s="39"/>
      <c r="N182" s="39"/>
      <c r="O182" s="39"/>
      <c r="P182" s="39"/>
      <c r="Q182" s="39"/>
      <c r="R182" s="39"/>
      <c r="S182" s="239"/>
      <c r="AE182" s="174"/>
    </row>
    <row r="183" ht="15.75" customHeight="1">
      <c r="C183" s="98"/>
      <c r="D183" s="98"/>
      <c r="E183" s="39"/>
      <c r="F183" s="39"/>
      <c r="G183" s="39"/>
      <c r="H183" s="39"/>
      <c r="I183" s="39"/>
      <c r="J183" s="39"/>
      <c r="K183" s="39"/>
      <c r="L183" s="39"/>
      <c r="M183" s="39"/>
      <c r="N183" s="39"/>
      <c r="O183" s="39"/>
      <c r="P183" s="39"/>
      <c r="Q183" s="39"/>
      <c r="R183" s="39"/>
      <c r="S183" s="239"/>
      <c r="AE183" s="174"/>
    </row>
    <row r="184" ht="15.75" customHeight="1">
      <c r="C184" s="98"/>
      <c r="D184" s="98"/>
      <c r="E184" s="39"/>
      <c r="F184" s="39"/>
      <c r="G184" s="39"/>
      <c r="H184" s="39"/>
      <c r="I184" s="39"/>
      <c r="J184" s="39"/>
      <c r="K184" s="39"/>
      <c r="L184" s="39"/>
      <c r="M184" s="39"/>
      <c r="N184" s="39"/>
      <c r="O184" s="39"/>
      <c r="P184" s="39"/>
      <c r="Q184" s="39"/>
      <c r="R184" s="39"/>
      <c r="S184" s="239"/>
      <c r="AE184" s="174"/>
    </row>
    <row r="185" ht="15.75" customHeight="1">
      <c r="C185" s="98"/>
      <c r="D185" s="98"/>
      <c r="E185" s="39"/>
      <c r="F185" s="39"/>
      <c r="G185" s="39"/>
      <c r="H185" s="39"/>
      <c r="I185" s="39"/>
      <c r="J185" s="39"/>
      <c r="K185" s="39"/>
      <c r="L185" s="39"/>
      <c r="M185" s="39"/>
      <c r="N185" s="39"/>
      <c r="O185" s="39"/>
      <c r="P185" s="39"/>
      <c r="Q185" s="39"/>
      <c r="R185" s="39"/>
      <c r="S185" s="239"/>
      <c r="AE185" s="174"/>
    </row>
    <row r="186" ht="15.75" customHeight="1">
      <c r="C186" s="98"/>
      <c r="D186" s="98"/>
      <c r="E186" s="39"/>
      <c r="F186" s="39"/>
      <c r="G186" s="39"/>
      <c r="H186" s="39"/>
      <c r="I186" s="39"/>
      <c r="J186" s="39"/>
      <c r="K186" s="39"/>
      <c r="L186" s="39"/>
      <c r="M186" s="39"/>
      <c r="N186" s="39"/>
      <c r="O186" s="39"/>
      <c r="P186" s="39"/>
      <c r="Q186" s="39"/>
      <c r="R186" s="39"/>
      <c r="S186" s="239"/>
      <c r="AE186" s="174"/>
    </row>
    <row r="187" ht="15.75" customHeight="1">
      <c r="C187" s="98"/>
      <c r="D187" s="98"/>
      <c r="E187" s="39"/>
      <c r="F187" s="39"/>
      <c r="G187" s="39"/>
      <c r="H187" s="39"/>
      <c r="I187" s="39"/>
      <c r="J187" s="39"/>
      <c r="K187" s="39"/>
      <c r="L187" s="39"/>
      <c r="M187" s="39"/>
      <c r="N187" s="39"/>
      <c r="O187" s="39"/>
      <c r="P187" s="39"/>
      <c r="Q187" s="39"/>
      <c r="R187" s="39"/>
      <c r="S187" s="239"/>
      <c r="AE187" s="174"/>
    </row>
    <row r="188" ht="15.75" customHeight="1">
      <c r="C188" s="98"/>
      <c r="D188" s="98"/>
      <c r="E188" s="39"/>
      <c r="F188" s="39"/>
      <c r="G188" s="39"/>
      <c r="H188" s="39"/>
      <c r="I188" s="39"/>
      <c r="J188" s="39"/>
      <c r="K188" s="39"/>
      <c r="L188" s="39"/>
      <c r="M188" s="39"/>
      <c r="N188" s="39"/>
      <c r="O188" s="39"/>
      <c r="P188" s="39"/>
      <c r="Q188" s="39"/>
      <c r="R188" s="39"/>
      <c r="S188" s="239"/>
      <c r="AE188" s="174"/>
    </row>
    <row r="189" ht="15.75" customHeight="1">
      <c r="C189" s="98"/>
      <c r="D189" s="98"/>
      <c r="E189" s="39"/>
      <c r="F189" s="39"/>
      <c r="G189" s="39"/>
      <c r="H189" s="39"/>
      <c r="I189" s="39"/>
      <c r="J189" s="39"/>
      <c r="K189" s="39"/>
      <c r="L189" s="39"/>
      <c r="M189" s="39"/>
      <c r="N189" s="39"/>
      <c r="O189" s="39"/>
      <c r="P189" s="39"/>
      <c r="Q189" s="39"/>
      <c r="R189" s="39"/>
      <c r="S189" s="239"/>
      <c r="AE189" s="174"/>
    </row>
    <row r="190" ht="15.75" customHeight="1">
      <c r="C190" s="98"/>
      <c r="D190" s="98"/>
      <c r="E190" s="39"/>
      <c r="F190" s="39"/>
      <c r="G190" s="39"/>
      <c r="H190" s="39"/>
      <c r="I190" s="39"/>
      <c r="J190" s="39"/>
      <c r="K190" s="39"/>
      <c r="L190" s="39"/>
      <c r="M190" s="39"/>
      <c r="N190" s="39"/>
      <c r="O190" s="39"/>
      <c r="P190" s="39"/>
      <c r="Q190" s="39"/>
      <c r="R190" s="39"/>
      <c r="S190" s="239"/>
      <c r="AE190" s="174"/>
    </row>
    <row r="191" ht="15.75" customHeight="1">
      <c r="C191" s="98"/>
      <c r="D191" s="98"/>
      <c r="E191" s="39"/>
      <c r="F191" s="39"/>
      <c r="G191" s="39"/>
      <c r="H191" s="39"/>
      <c r="I191" s="39"/>
      <c r="J191" s="39"/>
      <c r="K191" s="39"/>
      <c r="L191" s="39"/>
      <c r="M191" s="39"/>
      <c r="N191" s="39"/>
      <c r="O191" s="39"/>
      <c r="P191" s="39"/>
      <c r="Q191" s="39"/>
      <c r="R191" s="39"/>
      <c r="S191" s="239"/>
      <c r="AE191" s="174"/>
    </row>
    <row r="192" ht="15.75" customHeight="1">
      <c r="C192" s="98"/>
      <c r="D192" s="98"/>
      <c r="E192" s="39"/>
      <c r="F192" s="39"/>
      <c r="G192" s="39"/>
      <c r="H192" s="39"/>
      <c r="I192" s="39"/>
      <c r="J192" s="39"/>
      <c r="K192" s="39"/>
      <c r="L192" s="39"/>
      <c r="M192" s="39"/>
      <c r="N192" s="39"/>
      <c r="O192" s="39"/>
      <c r="P192" s="39"/>
      <c r="Q192" s="39"/>
      <c r="R192" s="39"/>
      <c r="S192" s="239"/>
      <c r="AE192" s="174"/>
    </row>
    <row r="193" ht="15.75" customHeight="1">
      <c r="C193" s="98"/>
      <c r="D193" s="98"/>
      <c r="E193" s="39"/>
      <c r="F193" s="39"/>
      <c r="G193" s="39"/>
      <c r="H193" s="39"/>
      <c r="I193" s="39"/>
      <c r="J193" s="39"/>
      <c r="K193" s="39"/>
      <c r="L193" s="39"/>
      <c r="M193" s="39"/>
      <c r="N193" s="39"/>
      <c r="O193" s="39"/>
      <c r="P193" s="39"/>
      <c r="Q193" s="39"/>
      <c r="R193" s="39"/>
      <c r="S193" s="239"/>
      <c r="AE193" s="174"/>
    </row>
    <row r="194" ht="15.75" customHeight="1">
      <c r="C194" s="98"/>
      <c r="D194" s="98"/>
      <c r="E194" s="39"/>
      <c r="F194" s="39"/>
      <c r="G194" s="39"/>
      <c r="H194" s="39"/>
      <c r="I194" s="39"/>
      <c r="J194" s="39"/>
      <c r="K194" s="39"/>
      <c r="L194" s="39"/>
      <c r="M194" s="39"/>
      <c r="N194" s="39"/>
      <c r="O194" s="39"/>
      <c r="P194" s="39"/>
      <c r="Q194" s="39"/>
      <c r="R194" s="39"/>
      <c r="S194" s="239"/>
      <c r="AE194" s="174"/>
    </row>
    <row r="195" ht="15.75" customHeight="1">
      <c r="C195" s="98"/>
      <c r="D195" s="98"/>
      <c r="E195" s="39"/>
      <c r="F195" s="39"/>
      <c r="G195" s="39"/>
      <c r="H195" s="39"/>
      <c r="I195" s="39"/>
      <c r="J195" s="39"/>
      <c r="K195" s="39"/>
      <c r="L195" s="39"/>
      <c r="M195" s="39"/>
      <c r="N195" s="39"/>
      <c r="O195" s="39"/>
      <c r="P195" s="39"/>
      <c r="Q195" s="39"/>
      <c r="R195" s="39"/>
      <c r="S195" s="239"/>
      <c r="AE195" s="174"/>
    </row>
    <row r="196" ht="15.75" customHeight="1">
      <c r="C196" s="98"/>
      <c r="D196" s="98"/>
      <c r="E196" s="39"/>
      <c r="F196" s="39"/>
      <c r="G196" s="39"/>
      <c r="H196" s="39"/>
      <c r="I196" s="39"/>
      <c r="J196" s="39"/>
      <c r="K196" s="39"/>
      <c r="L196" s="39"/>
      <c r="M196" s="39"/>
      <c r="N196" s="39"/>
      <c r="O196" s="39"/>
      <c r="P196" s="39"/>
      <c r="Q196" s="39"/>
      <c r="R196" s="39"/>
      <c r="S196" s="239"/>
      <c r="AE196" s="174"/>
    </row>
    <row r="197" ht="15.75" customHeight="1">
      <c r="C197" s="98"/>
      <c r="D197" s="98"/>
      <c r="E197" s="39"/>
      <c r="F197" s="39"/>
      <c r="G197" s="39"/>
      <c r="H197" s="39"/>
      <c r="I197" s="39"/>
      <c r="J197" s="39"/>
      <c r="K197" s="39"/>
      <c r="L197" s="39"/>
      <c r="M197" s="39"/>
      <c r="N197" s="39"/>
      <c r="O197" s="39"/>
      <c r="P197" s="39"/>
      <c r="Q197" s="39"/>
      <c r="R197" s="39"/>
      <c r="S197" s="239"/>
      <c r="AE197" s="174"/>
    </row>
    <row r="198" ht="15.75" customHeight="1">
      <c r="C198" s="98"/>
      <c r="D198" s="98"/>
      <c r="E198" s="39"/>
      <c r="F198" s="39"/>
      <c r="G198" s="39"/>
      <c r="H198" s="39"/>
      <c r="I198" s="39"/>
      <c r="J198" s="39"/>
      <c r="K198" s="39"/>
      <c r="L198" s="39"/>
      <c r="M198" s="39"/>
      <c r="N198" s="39"/>
      <c r="O198" s="39"/>
      <c r="P198" s="39"/>
      <c r="Q198" s="39"/>
      <c r="R198" s="39"/>
      <c r="S198" s="239"/>
      <c r="AE198" s="174"/>
    </row>
    <row r="199" ht="15.75" customHeight="1">
      <c r="C199" s="98"/>
      <c r="D199" s="98"/>
      <c r="E199" s="39"/>
      <c r="F199" s="39"/>
      <c r="G199" s="39"/>
      <c r="H199" s="39"/>
      <c r="I199" s="39"/>
      <c r="J199" s="39"/>
      <c r="K199" s="39"/>
      <c r="L199" s="39"/>
      <c r="M199" s="39"/>
      <c r="N199" s="39"/>
      <c r="O199" s="39"/>
      <c r="P199" s="39"/>
      <c r="Q199" s="39"/>
      <c r="R199" s="39"/>
      <c r="S199" s="239"/>
      <c r="AE199" s="174"/>
    </row>
    <row r="200" ht="15.75" customHeight="1">
      <c r="C200" s="98"/>
      <c r="D200" s="98"/>
      <c r="E200" s="39"/>
      <c r="F200" s="39"/>
      <c r="G200" s="39"/>
      <c r="H200" s="39"/>
      <c r="I200" s="39"/>
      <c r="J200" s="39"/>
      <c r="K200" s="39"/>
      <c r="L200" s="39"/>
      <c r="M200" s="39"/>
      <c r="N200" s="39"/>
      <c r="O200" s="39"/>
      <c r="P200" s="39"/>
      <c r="Q200" s="39"/>
      <c r="R200" s="39"/>
      <c r="S200" s="239"/>
      <c r="AE200" s="174"/>
    </row>
    <row r="201" ht="15.75" customHeight="1">
      <c r="C201" s="98"/>
      <c r="D201" s="98"/>
      <c r="E201" s="39"/>
      <c r="F201" s="39"/>
      <c r="G201" s="39"/>
      <c r="H201" s="39"/>
      <c r="I201" s="39"/>
      <c r="J201" s="39"/>
      <c r="K201" s="39"/>
      <c r="L201" s="39"/>
      <c r="M201" s="39"/>
      <c r="N201" s="39"/>
      <c r="O201" s="39"/>
      <c r="P201" s="39"/>
      <c r="Q201" s="39"/>
      <c r="R201" s="39"/>
      <c r="S201" s="239"/>
      <c r="AE201" s="174"/>
    </row>
    <row r="202" ht="15.75" customHeight="1">
      <c r="C202" s="98"/>
      <c r="D202" s="98"/>
      <c r="E202" s="39"/>
      <c r="F202" s="39"/>
      <c r="G202" s="39"/>
      <c r="H202" s="39"/>
      <c r="I202" s="39"/>
      <c r="J202" s="39"/>
      <c r="K202" s="39"/>
      <c r="L202" s="39"/>
      <c r="M202" s="39"/>
      <c r="N202" s="39"/>
      <c r="O202" s="39"/>
      <c r="P202" s="39"/>
      <c r="Q202" s="39"/>
      <c r="R202" s="39"/>
      <c r="S202" s="239"/>
      <c r="AE202" s="174"/>
    </row>
    <row r="203" ht="15.75" customHeight="1">
      <c r="C203" s="98"/>
      <c r="D203" s="98"/>
      <c r="E203" s="39"/>
      <c r="F203" s="39"/>
      <c r="G203" s="39"/>
      <c r="H203" s="39"/>
      <c r="I203" s="39"/>
      <c r="J203" s="39"/>
      <c r="K203" s="39"/>
      <c r="L203" s="39"/>
      <c r="M203" s="39"/>
      <c r="N203" s="39"/>
      <c r="O203" s="39"/>
      <c r="P203" s="39"/>
      <c r="Q203" s="39"/>
      <c r="R203" s="39"/>
      <c r="S203" s="239"/>
      <c r="AE203" s="174"/>
    </row>
    <row r="204" ht="15.75" customHeight="1">
      <c r="C204" s="98"/>
      <c r="D204" s="98"/>
      <c r="E204" s="39"/>
      <c r="F204" s="39"/>
      <c r="G204" s="39"/>
      <c r="H204" s="39"/>
      <c r="I204" s="39"/>
      <c r="J204" s="39"/>
      <c r="K204" s="39"/>
      <c r="L204" s="39"/>
      <c r="M204" s="39"/>
      <c r="N204" s="39"/>
      <c r="O204" s="39"/>
      <c r="P204" s="39"/>
      <c r="Q204" s="39"/>
      <c r="R204" s="39"/>
      <c r="S204" s="239"/>
      <c r="AE204" s="174"/>
    </row>
    <row r="205" ht="15.75" customHeight="1">
      <c r="C205" s="98"/>
      <c r="D205" s="98"/>
      <c r="E205" s="39"/>
      <c r="F205" s="39"/>
      <c r="G205" s="39"/>
      <c r="H205" s="39"/>
      <c r="I205" s="39"/>
      <c r="J205" s="39"/>
      <c r="K205" s="39"/>
      <c r="L205" s="39"/>
      <c r="M205" s="39"/>
      <c r="N205" s="39"/>
      <c r="O205" s="39"/>
      <c r="P205" s="39"/>
      <c r="Q205" s="39"/>
      <c r="R205" s="39"/>
      <c r="S205" s="239"/>
      <c r="AE205" s="174"/>
    </row>
    <row r="206" ht="15.75" customHeight="1">
      <c r="C206" s="98"/>
      <c r="D206" s="98"/>
      <c r="E206" s="39"/>
      <c r="F206" s="39"/>
      <c r="G206" s="39"/>
      <c r="H206" s="39"/>
      <c r="I206" s="39"/>
      <c r="J206" s="39"/>
      <c r="K206" s="39"/>
      <c r="L206" s="39"/>
      <c r="M206" s="39"/>
      <c r="N206" s="39"/>
      <c r="O206" s="39"/>
      <c r="P206" s="39"/>
      <c r="Q206" s="39"/>
      <c r="R206" s="39"/>
      <c r="S206" s="239"/>
      <c r="AE206" s="174"/>
    </row>
    <row r="207" ht="15.75" customHeight="1">
      <c r="C207" s="98"/>
      <c r="D207" s="98"/>
      <c r="E207" s="39"/>
      <c r="F207" s="39"/>
      <c r="G207" s="39"/>
      <c r="H207" s="39"/>
      <c r="I207" s="39"/>
      <c r="J207" s="39"/>
      <c r="K207" s="39"/>
      <c r="L207" s="39"/>
      <c r="M207" s="39"/>
      <c r="N207" s="39"/>
      <c r="O207" s="39"/>
      <c r="P207" s="39"/>
      <c r="Q207" s="39"/>
      <c r="R207" s="39"/>
      <c r="S207" s="239"/>
      <c r="AE207" s="174"/>
    </row>
    <row r="208" ht="15.75" customHeight="1">
      <c r="C208" s="98"/>
      <c r="D208" s="98"/>
      <c r="E208" s="39"/>
      <c r="F208" s="39"/>
      <c r="G208" s="39"/>
      <c r="H208" s="39"/>
      <c r="I208" s="39"/>
      <c r="J208" s="39"/>
      <c r="K208" s="39"/>
      <c r="L208" s="39"/>
      <c r="M208" s="39"/>
      <c r="N208" s="39"/>
      <c r="O208" s="39"/>
      <c r="P208" s="39"/>
      <c r="Q208" s="39"/>
      <c r="R208" s="39"/>
      <c r="S208" s="239"/>
      <c r="AE208" s="174"/>
    </row>
    <row r="209" ht="15.75" customHeight="1">
      <c r="C209" s="98"/>
      <c r="D209" s="98"/>
      <c r="E209" s="39"/>
      <c r="F209" s="39"/>
      <c r="G209" s="39"/>
      <c r="H209" s="39"/>
      <c r="I209" s="39"/>
      <c r="J209" s="39"/>
      <c r="K209" s="39"/>
      <c r="L209" s="39"/>
      <c r="M209" s="39"/>
      <c r="N209" s="39"/>
      <c r="O209" s="39"/>
      <c r="P209" s="39"/>
      <c r="Q209" s="39"/>
      <c r="R209" s="39"/>
      <c r="S209" s="239"/>
      <c r="AE209" s="174"/>
    </row>
    <row r="210" ht="15.75" customHeight="1">
      <c r="C210" s="98"/>
      <c r="D210" s="98"/>
      <c r="E210" s="39"/>
      <c r="F210" s="39"/>
      <c r="G210" s="39"/>
      <c r="H210" s="39"/>
      <c r="I210" s="39"/>
      <c r="J210" s="39"/>
      <c r="K210" s="39"/>
      <c r="L210" s="39"/>
      <c r="M210" s="39"/>
      <c r="N210" s="39"/>
      <c r="O210" s="39"/>
      <c r="P210" s="39"/>
      <c r="Q210" s="39"/>
      <c r="R210" s="39"/>
      <c r="S210" s="239"/>
      <c r="AE210" s="174"/>
    </row>
    <row r="211" ht="15.75" customHeight="1">
      <c r="C211" s="98"/>
      <c r="D211" s="98"/>
      <c r="E211" s="39"/>
      <c r="F211" s="39"/>
      <c r="G211" s="39"/>
      <c r="H211" s="39"/>
      <c r="I211" s="39"/>
      <c r="J211" s="39"/>
      <c r="K211" s="39"/>
      <c r="L211" s="39"/>
      <c r="M211" s="39"/>
      <c r="N211" s="39"/>
      <c r="O211" s="39"/>
      <c r="P211" s="39"/>
      <c r="Q211" s="39"/>
      <c r="R211" s="39"/>
      <c r="S211" s="239"/>
      <c r="AE211" s="174"/>
    </row>
    <row r="212" ht="15.75" customHeight="1">
      <c r="C212" s="98"/>
      <c r="D212" s="98"/>
      <c r="E212" s="39"/>
      <c r="F212" s="39"/>
      <c r="G212" s="39"/>
      <c r="H212" s="39"/>
      <c r="I212" s="39"/>
      <c r="J212" s="39"/>
      <c r="K212" s="39"/>
      <c r="L212" s="39"/>
      <c r="M212" s="39"/>
      <c r="N212" s="39"/>
      <c r="O212" s="39"/>
      <c r="P212" s="39"/>
      <c r="Q212" s="39"/>
      <c r="R212" s="39"/>
      <c r="S212" s="239"/>
      <c r="AE212" s="174"/>
    </row>
    <row r="213" ht="15.75" customHeight="1">
      <c r="C213" s="98"/>
      <c r="D213" s="98"/>
      <c r="E213" s="39"/>
      <c r="F213" s="39"/>
      <c r="G213" s="39"/>
      <c r="H213" s="39"/>
      <c r="I213" s="39"/>
      <c r="J213" s="39"/>
      <c r="K213" s="39"/>
      <c r="L213" s="39"/>
      <c r="M213" s="39"/>
      <c r="N213" s="39"/>
      <c r="O213" s="39"/>
      <c r="P213" s="39"/>
      <c r="Q213" s="39"/>
      <c r="R213" s="39"/>
      <c r="S213" s="239"/>
      <c r="AE213" s="174"/>
    </row>
    <row r="214" ht="15.75" customHeight="1">
      <c r="C214" s="98"/>
      <c r="D214" s="98"/>
      <c r="E214" s="39"/>
      <c r="F214" s="39"/>
      <c r="G214" s="39"/>
      <c r="H214" s="39"/>
      <c r="I214" s="39"/>
      <c r="J214" s="39"/>
      <c r="K214" s="39"/>
      <c r="L214" s="39"/>
      <c r="M214" s="39"/>
      <c r="N214" s="39"/>
      <c r="O214" s="39"/>
      <c r="P214" s="39"/>
      <c r="Q214" s="39"/>
      <c r="R214" s="39"/>
      <c r="S214" s="239"/>
      <c r="AE214" s="174"/>
    </row>
    <row r="215" ht="15.75" customHeight="1">
      <c r="C215" s="98"/>
      <c r="D215" s="98"/>
      <c r="E215" s="39"/>
      <c r="F215" s="39"/>
      <c r="G215" s="39"/>
      <c r="H215" s="39"/>
      <c r="I215" s="39"/>
      <c r="J215" s="39"/>
      <c r="K215" s="39"/>
      <c r="L215" s="39"/>
      <c r="M215" s="39"/>
      <c r="N215" s="39"/>
      <c r="O215" s="39"/>
      <c r="P215" s="39"/>
      <c r="Q215" s="39"/>
      <c r="R215" s="39"/>
      <c r="S215" s="239"/>
      <c r="AE215" s="174"/>
    </row>
    <row r="216" ht="15.75" customHeight="1">
      <c r="C216" s="98"/>
      <c r="D216" s="98"/>
      <c r="E216" s="39"/>
      <c r="F216" s="39"/>
      <c r="G216" s="39"/>
      <c r="H216" s="39"/>
      <c r="I216" s="39"/>
      <c r="J216" s="39"/>
      <c r="K216" s="39"/>
      <c r="L216" s="39"/>
      <c r="M216" s="39"/>
      <c r="N216" s="39"/>
      <c r="O216" s="39"/>
      <c r="P216" s="39"/>
      <c r="Q216" s="39"/>
      <c r="R216" s="39"/>
      <c r="S216" s="239"/>
      <c r="AE216" s="174"/>
    </row>
    <row r="217" ht="15.75" customHeight="1">
      <c r="C217" s="98"/>
      <c r="D217" s="98"/>
      <c r="E217" s="39"/>
      <c r="F217" s="39"/>
      <c r="G217" s="39"/>
      <c r="H217" s="39"/>
      <c r="I217" s="39"/>
      <c r="J217" s="39"/>
      <c r="K217" s="39"/>
      <c r="L217" s="39"/>
      <c r="M217" s="39"/>
      <c r="N217" s="39"/>
      <c r="O217" s="39"/>
      <c r="P217" s="39"/>
      <c r="Q217" s="39"/>
      <c r="R217" s="39"/>
      <c r="S217" s="239"/>
      <c r="AE217" s="174"/>
    </row>
    <row r="218" ht="15.75" customHeight="1">
      <c r="C218" s="98"/>
      <c r="D218" s="98"/>
      <c r="E218" s="39"/>
      <c r="F218" s="39"/>
      <c r="G218" s="39"/>
      <c r="H218" s="39"/>
      <c r="I218" s="39"/>
      <c r="J218" s="39"/>
      <c r="K218" s="39"/>
      <c r="L218" s="39"/>
      <c r="M218" s="39"/>
      <c r="N218" s="39"/>
      <c r="O218" s="39"/>
      <c r="P218" s="39"/>
      <c r="Q218" s="39"/>
      <c r="R218" s="39"/>
      <c r="S218" s="239"/>
      <c r="AE218" s="174"/>
    </row>
    <row r="219" ht="15.75" customHeight="1">
      <c r="C219" s="98"/>
      <c r="D219" s="98"/>
      <c r="E219" s="39"/>
      <c r="F219" s="39"/>
      <c r="G219" s="39"/>
      <c r="H219" s="39"/>
      <c r="I219" s="39"/>
      <c r="J219" s="39"/>
      <c r="K219" s="39"/>
      <c r="L219" s="39"/>
      <c r="M219" s="39"/>
      <c r="N219" s="39"/>
      <c r="O219" s="39"/>
      <c r="P219" s="39"/>
      <c r="Q219" s="39"/>
      <c r="R219" s="39"/>
      <c r="S219" s="239"/>
      <c r="AE219" s="174"/>
    </row>
    <row r="220" ht="15.75" customHeight="1">
      <c r="C220" s="98"/>
      <c r="D220" s="98"/>
      <c r="E220" s="39"/>
      <c r="F220" s="39"/>
      <c r="G220" s="39"/>
      <c r="H220" s="39"/>
      <c r="I220" s="39"/>
      <c r="J220" s="39"/>
      <c r="K220" s="39"/>
      <c r="L220" s="39"/>
      <c r="M220" s="39"/>
      <c r="N220" s="39"/>
      <c r="O220" s="39"/>
      <c r="P220" s="39"/>
      <c r="Q220" s="39"/>
      <c r="R220" s="39"/>
      <c r="S220" s="239"/>
      <c r="AE220" s="174"/>
    </row>
    <row r="221" ht="15.75" customHeight="1">
      <c r="C221" s="98"/>
      <c r="D221" s="98"/>
      <c r="E221" s="39"/>
      <c r="F221" s="39"/>
      <c r="G221" s="39"/>
      <c r="H221" s="39"/>
      <c r="I221" s="39"/>
      <c r="J221" s="39"/>
      <c r="K221" s="39"/>
      <c r="L221" s="39"/>
      <c r="M221" s="39"/>
      <c r="N221" s="39"/>
      <c r="O221" s="39"/>
      <c r="P221" s="39"/>
      <c r="Q221" s="39"/>
      <c r="R221" s="39"/>
      <c r="S221" s="239"/>
      <c r="AE221" s="174"/>
    </row>
    <row r="222" ht="15.75" customHeight="1">
      <c r="C222" s="98"/>
      <c r="D222" s="98"/>
      <c r="E222" s="39"/>
      <c r="F222" s="39"/>
      <c r="G222" s="39"/>
      <c r="H222" s="39"/>
      <c r="I222" s="39"/>
      <c r="J222" s="39"/>
      <c r="K222" s="39"/>
      <c r="L222" s="39"/>
      <c r="M222" s="39"/>
      <c r="N222" s="39"/>
      <c r="O222" s="39"/>
      <c r="P222" s="39"/>
      <c r="Q222" s="39"/>
      <c r="R222" s="39"/>
      <c r="S222" s="239"/>
      <c r="AE222" s="174"/>
    </row>
    <row r="223" ht="15.75" customHeight="1">
      <c r="C223" s="98"/>
      <c r="D223" s="98"/>
      <c r="E223" s="39"/>
      <c r="F223" s="39"/>
      <c r="G223" s="39"/>
      <c r="H223" s="39"/>
      <c r="I223" s="39"/>
      <c r="J223" s="39"/>
      <c r="K223" s="39"/>
      <c r="L223" s="39"/>
      <c r="M223" s="39"/>
      <c r="N223" s="39"/>
      <c r="O223" s="39"/>
      <c r="P223" s="39"/>
      <c r="Q223" s="39"/>
      <c r="R223" s="39"/>
      <c r="S223" s="239"/>
      <c r="AE223" s="174"/>
    </row>
    <row r="224" ht="15.75" customHeight="1">
      <c r="C224" s="98"/>
      <c r="D224" s="98"/>
      <c r="E224" s="39"/>
      <c r="F224" s="39"/>
      <c r="G224" s="39"/>
      <c r="H224" s="39"/>
      <c r="I224" s="39"/>
      <c r="J224" s="39"/>
      <c r="K224" s="39"/>
      <c r="L224" s="39"/>
      <c r="M224" s="39"/>
      <c r="N224" s="39"/>
      <c r="O224" s="39"/>
      <c r="P224" s="39"/>
      <c r="Q224" s="39"/>
      <c r="R224" s="39"/>
      <c r="S224" s="239"/>
      <c r="AE224" s="174"/>
    </row>
    <row r="225" ht="15.75" customHeight="1">
      <c r="C225" s="98"/>
      <c r="D225" s="98"/>
      <c r="E225" s="39"/>
      <c r="F225" s="39"/>
      <c r="G225" s="39"/>
      <c r="H225" s="39"/>
      <c r="I225" s="39"/>
      <c r="J225" s="39"/>
      <c r="K225" s="39"/>
      <c r="L225" s="39"/>
      <c r="M225" s="39"/>
      <c r="N225" s="39"/>
      <c r="O225" s="39"/>
      <c r="P225" s="39"/>
      <c r="Q225" s="39"/>
      <c r="R225" s="39"/>
      <c r="S225" s="239"/>
      <c r="AE225" s="174"/>
    </row>
    <row r="226" ht="15.75" customHeight="1">
      <c r="C226" s="98"/>
      <c r="D226" s="98"/>
      <c r="E226" s="39"/>
      <c r="F226" s="39"/>
      <c r="G226" s="39"/>
      <c r="H226" s="39"/>
      <c r="I226" s="39"/>
      <c r="J226" s="39"/>
      <c r="K226" s="39"/>
      <c r="L226" s="39"/>
      <c r="M226" s="39"/>
      <c r="N226" s="39"/>
      <c r="O226" s="39"/>
      <c r="P226" s="39"/>
      <c r="Q226" s="39"/>
      <c r="R226" s="39"/>
      <c r="S226" s="239"/>
      <c r="AE226" s="174"/>
    </row>
    <row r="227" ht="15.75" customHeight="1">
      <c r="C227" s="98"/>
      <c r="D227" s="98"/>
      <c r="E227" s="39"/>
      <c r="F227" s="39"/>
      <c r="G227" s="39"/>
      <c r="H227" s="39"/>
      <c r="I227" s="39"/>
      <c r="J227" s="39"/>
      <c r="K227" s="39"/>
      <c r="L227" s="39"/>
      <c r="M227" s="39"/>
      <c r="N227" s="39"/>
      <c r="O227" s="39"/>
      <c r="P227" s="39"/>
      <c r="Q227" s="39"/>
      <c r="R227" s="39"/>
      <c r="S227" s="239"/>
      <c r="AE227" s="174"/>
    </row>
    <row r="228" ht="15.75" customHeight="1">
      <c r="C228" s="98"/>
      <c r="D228" s="98"/>
      <c r="E228" s="39"/>
      <c r="F228" s="39"/>
      <c r="G228" s="39"/>
      <c r="H228" s="39"/>
      <c r="I228" s="39"/>
      <c r="J228" s="39"/>
      <c r="K228" s="39"/>
      <c r="L228" s="39"/>
      <c r="M228" s="39"/>
      <c r="N228" s="39"/>
      <c r="O228" s="39"/>
      <c r="P228" s="39"/>
      <c r="Q228" s="39"/>
      <c r="R228" s="39"/>
      <c r="S228" s="239"/>
      <c r="AE228" s="174"/>
    </row>
    <row r="229" ht="15.75" customHeight="1">
      <c r="C229" s="98"/>
      <c r="D229" s="98"/>
      <c r="E229" s="39"/>
      <c r="F229" s="39"/>
      <c r="G229" s="39"/>
      <c r="H229" s="39"/>
      <c r="I229" s="39"/>
      <c r="J229" s="39"/>
      <c r="K229" s="39"/>
      <c r="L229" s="39"/>
      <c r="M229" s="39"/>
      <c r="N229" s="39"/>
      <c r="O229" s="39"/>
      <c r="P229" s="39"/>
      <c r="Q229" s="39"/>
      <c r="R229" s="39"/>
      <c r="S229" s="239"/>
      <c r="AE229" s="174"/>
    </row>
    <row r="230" ht="15.75" customHeight="1">
      <c r="C230" s="98"/>
      <c r="D230" s="98"/>
      <c r="E230" s="39"/>
      <c r="F230" s="39"/>
      <c r="G230" s="39"/>
      <c r="H230" s="39"/>
      <c r="I230" s="39"/>
      <c r="J230" s="39"/>
      <c r="K230" s="39"/>
      <c r="L230" s="39"/>
      <c r="M230" s="39"/>
      <c r="N230" s="39"/>
      <c r="O230" s="39"/>
      <c r="P230" s="39"/>
      <c r="Q230" s="39"/>
      <c r="R230" s="39"/>
      <c r="S230" s="239"/>
      <c r="AE230" s="174"/>
    </row>
    <row r="231" ht="15.75" customHeight="1">
      <c r="C231" s="98"/>
      <c r="D231" s="98"/>
      <c r="E231" s="39"/>
      <c r="F231" s="39"/>
      <c r="G231" s="39"/>
      <c r="H231" s="39"/>
      <c r="I231" s="39"/>
      <c r="J231" s="39"/>
      <c r="K231" s="39"/>
      <c r="L231" s="39"/>
      <c r="M231" s="39"/>
      <c r="N231" s="39"/>
      <c r="O231" s="39"/>
      <c r="P231" s="39"/>
      <c r="Q231" s="39"/>
      <c r="R231" s="39"/>
      <c r="S231" s="239"/>
      <c r="AE231" s="174"/>
    </row>
    <row r="232" ht="15.75" customHeight="1">
      <c r="C232" s="98"/>
      <c r="D232" s="98"/>
      <c r="E232" s="39"/>
      <c r="F232" s="39"/>
      <c r="G232" s="39"/>
      <c r="H232" s="39"/>
      <c r="I232" s="39"/>
      <c r="J232" s="39"/>
      <c r="K232" s="39"/>
      <c r="L232" s="39"/>
      <c r="M232" s="39"/>
      <c r="N232" s="39"/>
      <c r="O232" s="39"/>
      <c r="P232" s="39"/>
      <c r="Q232" s="39"/>
      <c r="R232" s="39"/>
      <c r="S232" s="239"/>
      <c r="AE232" s="174"/>
    </row>
    <row r="233" ht="15.75" customHeight="1">
      <c r="C233" s="98"/>
      <c r="D233" s="98"/>
      <c r="E233" s="39"/>
      <c r="F233" s="39"/>
      <c r="G233" s="39"/>
      <c r="H233" s="39"/>
      <c r="I233" s="39"/>
      <c r="J233" s="39"/>
      <c r="K233" s="39"/>
      <c r="L233" s="39"/>
      <c r="M233" s="39"/>
      <c r="N233" s="39"/>
      <c r="O233" s="39"/>
      <c r="P233" s="39"/>
      <c r="Q233" s="39"/>
      <c r="R233" s="39"/>
      <c r="S233" s="239"/>
      <c r="AE233" s="174"/>
    </row>
    <row r="234" ht="15.75" customHeight="1">
      <c r="C234" s="98"/>
      <c r="D234" s="98"/>
      <c r="E234" s="39"/>
      <c r="F234" s="39"/>
      <c r="G234" s="39"/>
      <c r="H234" s="39"/>
      <c r="I234" s="39"/>
      <c r="J234" s="39"/>
      <c r="K234" s="39"/>
      <c r="L234" s="39"/>
      <c r="M234" s="39"/>
      <c r="N234" s="39"/>
      <c r="O234" s="39"/>
      <c r="P234" s="39"/>
      <c r="Q234" s="39"/>
      <c r="R234" s="39"/>
      <c r="S234" s="239"/>
      <c r="AE234" s="174"/>
    </row>
    <row r="235" ht="15.75" customHeight="1">
      <c r="C235" s="98"/>
      <c r="D235" s="98"/>
      <c r="E235" s="39"/>
      <c r="F235" s="39"/>
      <c r="G235" s="39"/>
      <c r="H235" s="39"/>
      <c r="I235" s="39"/>
      <c r="J235" s="39"/>
      <c r="K235" s="39"/>
      <c r="L235" s="39"/>
      <c r="M235" s="39"/>
      <c r="N235" s="39"/>
      <c r="O235" s="39"/>
      <c r="P235" s="39"/>
      <c r="Q235" s="39"/>
      <c r="R235" s="39"/>
      <c r="S235" s="239"/>
      <c r="AE235" s="174"/>
    </row>
    <row r="236" ht="15.75" customHeight="1">
      <c r="C236" s="98"/>
      <c r="D236" s="98"/>
      <c r="E236" s="39"/>
      <c r="F236" s="39"/>
      <c r="G236" s="39"/>
      <c r="H236" s="39"/>
      <c r="I236" s="39"/>
      <c r="J236" s="39"/>
      <c r="K236" s="39"/>
      <c r="L236" s="39"/>
      <c r="M236" s="39"/>
      <c r="N236" s="39"/>
      <c r="O236" s="39"/>
      <c r="P236" s="39"/>
      <c r="Q236" s="39"/>
      <c r="R236" s="39"/>
      <c r="S236" s="239"/>
      <c r="AE236" s="174"/>
    </row>
    <row r="237" ht="15.75" customHeight="1">
      <c r="C237" s="98"/>
      <c r="D237" s="98"/>
      <c r="E237" s="39"/>
      <c r="F237" s="39"/>
      <c r="G237" s="39"/>
      <c r="H237" s="39"/>
      <c r="I237" s="39"/>
      <c r="J237" s="39"/>
      <c r="K237" s="39"/>
      <c r="L237" s="39"/>
      <c r="M237" s="39"/>
      <c r="N237" s="39"/>
      <c r="O237" s="39"/>
      <c r="P237" s="39"/>
      <c r="Q237" s="39"/>
      <c r="R237" s="39"/>
      <c r="S237" s="239"/>
      <c r="AE237" s="174"/>
    </row>
    <row r="238" ht="15.75" customHeight="1">
      <c r="C238" s="98"/>
      <c r="D238" s="98"/>
      <c r="E238" s="39"/>
      <c r="F238" s="39"/>
      <c r="G238" s="39"/>
      <c r="H238" s="39"/>
      <c r="I238" s="39"/>
      <c r="J238" s="39"/>
      <c r="K238" s="39"/>
      <c r="L238" s="39"/>
      <c r="M238" s="39"/>
      <c r="N238" s="39"/>
      <c r="O238" s="39"/>
      <c r="P238" s="39"/>
      <c r="Q238" s="39"/>
      <c r="R238" s="39"/>
      <c r="S238" s="239"/>
      <c r="AE238" s="174"/>
    </row>
    <row r="239" ht="15.75" customHeight="1">
      <c r="S239" s="239"/>
      <c r="AE239" s="174"/>
    </row>
    <row r="240" ht="15.75" customHeight="1">
      <c r="S240" s="239"/>
      <c r="AE240" s="174"/>
    </row>
    <row r="241" ht="15.75" customHeight="1">
      <c r="S241" s="239"/>
      <c r="AE241" s="174"/>
    </row>
    <row r="242" ht="15.75" customHeight="1">
      <c r="S242" s="239"/>
      <c r="AE242" s="174"/>
    </row>
    <row r="243" ht="15.75" customHeight="1">
      <c r="S243" s="239"/>
      <c r="AE243" s="174"/>
    </row>
    <row r="244" ht="15.75" customHeight="1">
      <c r="S244" s="239"/>
      <c r="AE244" s="174"/>
    </row>
    <row r="245" ht="15.75" customHeight="1">
      <c r="S245" s="239"/>
      <c r="AE245" s="174"/>
    </row>
    <row r="246" ht="15.75" customHeight="1">
      <c r="S246" s="239"/>
      <c r="AE246" s="174"/>
    </row>
    <row r="247" ht="15.75" customHeight="1">
      <c r="S247" s="239"/>
      <c r="AE247" s="174"/>
    </row>
    <row r="248" ht="15.75" customHeight="1">
      <c r="S248" s="239"/>
      <c r="AE248" s="174"/>
    </row>
    <row r="249" ht="15.75" customHeight="1">
      <c r="S249" s="239"/>
      <c r="AE249" s="174"/>
    </row>
    <row r="250" ht="15.75" customHeight="1">
      <c r="S250" s="239"/>
      <c r="AE250" s="174"/>
    </row>
    <row r="251" ht="15.75" customHeight="1">
      <c r="S251" s="239"/>
      <c r="AE251" s="174"/>
    </row>
    <row r="252" ht="15.75" customHeight="1">
      <c r="S252" s="239"/>
      <c r="AE252" s="174"/>
    </row>
    <row r="253" ht="15.75" customHeight="1">
      <c r="S253" s="239"/>
      <c r="AE253" s="174"/>
    </row>
    <row r="254" ht="15.75" customHeight="1">
      <c r="S254" s="239"/>
      <c r="AE254" s="174"/>
    </row>
    <row r="255" ht="15.75" customHeight="1">
      <c r="S255" s="239"/>
      <c r="AE255" s="174"/>
    </row>
    <row r="256" ht="15.75" customHeight="1">
      <c r="S256" s="239"/>
      <c r="AE256" s="174"/>
    </row>
    <row r="257" ht="15.75" customHeight="1">
      <c r="S257" s="239"/>
      <c r="AE257" s="174"/>
    </row>
    <row r="258" ht="15.75" customHeight="1">
      <c r="S258" s="239"/>
      <c r="AE258" s="174"/>
    </row>
    <row r="259" ht="15.75" customHeight="1">
      <c r="S259" s="239"/>
      <c r="AE259" s="174"/>
    </row>
    <row r="260" ht="15.75" customHeight="1">
      <c r="S260" s="239"/>
      <c r="AE260" s="174"/>
    </row>
    <row r="261" ht="15.75" customHeight="1">
      <c r="S261" s="239"/>
      <c r="AE261" s="174"/>
    </row>
    <row r="262" ht="15.75" customHeight="1">
      <c r="S262" s="239"/>
      <c r="AE262" s="174"/>
    </row>
    <row r="263" ht="15.75" customHeight="1">
      <c r="S263" s="239"/>
      <c r="AE263" s="174"/>
    </row>
    <row r="264" ht="15.75" customHeight="1">
      <c r="S264" s="239"/>
      <c r="AE264" s="174"/>
    </row>
    <row r="265" ht="15.75" customHeight="1">
      <c r="S265" s="239"/>
      <c r="AE265" s="174"/>
    </row>
    <row r="266" ht="15.75" customHeight="1">
      <c r="S266" s="239"/>
      <c r="AE266" s="174"/>
    </row>
    <row r="267" ht="15.75" customHeight="1">
      <c r="S267" s="239"/>
      <c r="AE267" s="174"/>
    </row>
    <row r="268" ht="15.75" customHeight="1">
      <c r="S268" s="239"/>
      <c r="AE268" s="174"/>
    </row>
    <row r="269" ht="15.75" customHeight="1">
      <c r="S269" s="239"/>
      <c r="AE269" s="174"/>
    </row>
    <row r="270" ht="15.75" customHeight="1">
      <c r="S270" s="239"/>
      <c r="AE270" s="174"/>
    </row>
    <row r="271" ht="15.75" customHeight="1">
      <c r="S271" s="239"/>
      <c r="AE271" s="174"/>
    </row>
    <row r="272" ht="15.75" customHeight="1">
      <c r="S272" s="239"/>
      <c r="AE272" s="174"/>
    </row>
    <row r="273" ht="15.75" customHeight="1">
      <c r="S273" s="239"/>
      <c r="AE273" s="174"/>
    </row>
    <row r="274" ht="15.75" customHeight="1">
      <c r="S274" s="239"/>
      <c r="AE274" s="174"/>
    </row>
    <row r="275" ht="15.75" customHeight="1">
      <c r="S275" s="239"/>
      <c r="AE275" s="174"/>
    </row>
    <row r="276" ht="15.75" customHeight="1">
      <c r="S276" s="239"/>
      <c r="AE276" s="174"/>
    </row>
    <row r="277" ht="15.75" customHeight="1">
      <c r="S277" s="239"/>
      <c r="AE277" s="174"/>
    </row>
    <row r="278" ht="15.75" customHeight="1">
      <c r="S278" s="239"/>
      <c r="AE278" s="174"/>
    </row>
    <row r="279" ht="15.75" customHeight="1">
      <c r="S279" s="239"/>
      <c r="AE279" s="174"/>
    </row>
    <row r="280" ht="15.75" customHeight="1">
      <c r="S280" s="239"/>
      <c r="AE280" s="174"/>
    </row>
    <row r="281" ht="15.75" customHeight="1">
      <c r="S281" s="239"/>
      <c r="AE281" s="174"/>
    </row>
    <row r="282" ht="15.75" customHeight="1">
      <c r="S282" s="239"/>
      <c r="AE282" s="174"/>
    </row>
    <row r="283" ht="15.75" customHeight="1">
      <c r="S283" s="239"/>
      <c r="AE283" s="174"/>
    </row>
    <row r="284" ht="15.75" customHeight="1">
      <c r="S284" s="239"/>
      <c r="AE284" s="174"/>
    </row>
    <row r="285" ht="15.75" customHeight="1">
      <c r="S285" s="239"/>
      <c r="AE285" s="174"/>
    </row>
    <row r="286" ht="15.75" customHeight="1">
      <c r="S286" s="239"/>
      <c r="AE286" s="174"/>
    </row>
    <row r="287" ht="15.75" customHeight="1">
      <c r="S287" s="239"/>
      <c r="AE287" s="174"/>
    </row>
    <row r="288" ht="15.75" customHeight="1">
      <c r="S288" s="239"/>
      <c r="AE288" s="174"/>
    </row>
    <row r="289" ht="15.75" customHeight="1">
      <c r="S289" s="239"/>
      <c r="AE289" s="174"/>
    </row>
    <row r="290" ht="15.75" customHeight="1">
      <c r="S290" s="239"/>
      <c r="AE290" s="174"/>
    </row>
    <row r="291" ht="15.75" customHeight="1">
      <c r="S291" s="239"/>
      <c r="AE291" s="174"/>
    </row>
    <row r="292" ht="15.75" customHeight="1">
      <c r="S292" s="239"/>
      <c r="AE292" s="174"/>
    </row>
    <row r="293" ht="15.75" customHeight="1">
      <c r="S293" s="239"/>
      <c r="AE293" s="174"/>
    </row>
    <row r="294" ht="15.75" customHeight="1">
      <c r="S294" s="239"/>
      <c r="AE294" s="174"/>
    </row>
    <row r="295" ht="15.75" customHeight="1">
      <c r="S295" s="239"/>
      <c r="AE295" s="174"/>
    </row>
    <row r="296" ht="15.75" customHeight="1">
      <c r="S296" s="239"/>
      <c r="AE296" s="174"/>
    </row>
    <row r="297" ht="15.75" customHeight="1">
      <c r="S297" s="239"/>
      <c r="AE297" s="174"/>
    </row>
    <row r="298" ht="15.75" customHeight="1">
      <c r="S298" s="239"/>
      <c r="AE298" s="174"/>
    </row>
    <row r="299" ht="15.75" customHeight="1">
      <c r="S299" s="239"/>
      <c r="AE299" s="174"/>
    </row>
    <row r="300" ht="15.75" customHeight="1">
      <c r="S300" s="239"/>
      <c r="AE300" s="174"/>
    </row>
    <row r="301" ht="15.75" customHeight="1">
      <c r="S301" s="239"/>
      <c r="AE301" s="174"/>
    </row>
    <row r="302" ht="15.75" customHeight="1">
      <c r="S302" s="239"/>
      <c r="AE302" s="174"/>
    </row>
    <row r="303" ht="15.75" customHeight="1">
      <c r="S303" s="239"/>
      <c r="AE303" s="174"/>
    </row>
    <row r="304" ht="15.75" customHeight="1">
      <c r="S304" s="239"/>
      <c r="AE304" s="174"/>
    </row>
    <row r="305" ht="15.75" customHeight="1">
      <c r="S305" s="239"/>
      <c r="AE305" s="174"/>
    </row>
    <row r="306" ht="15.75" customHeight="1">
      <c r="S306" s="239"/>
      <c r="AE306" s="174"/>
    </row>
    <row r="307" ht="15.75" customHeight="1">
      <c r="S307" s="239"/>
      <c r="AE307" s="174"/>
    </row>
    <row r="308" ht="15.75" customHeight="1">
      <c r="S308" s="239"/>
      <c r="AE308" s="174"/>
    </row>
    <row r="309" ht="15.75" customHeight="1">
      <c r="S309" s="239"/>
      <c r="AE309" s="174"/>
    </row>
    <row r="310" ht="15.75" customHeight="1">
      <c r="S310" s="239"/>
      <c r="AE310" s="174"/>
    </row>
    <row r="311" ht="15.75" customHeight="1">
      <c r="S311" s="239"/>
      <c r="AE311" s="174"/>
    </row>
    <row r="312" ht="15.75" customHeight="1">
      <c r="S312" s="239"/>
      <c r="AE312" s="174"/>
    </row>
    <row r="313" ht="15.75" customHeight="1">
      <c r="S313" s="239"/>
      <c r="AE313" s="174"/>
    </row>
    <row r="314" ht="15.75" customHeight="1">
      <c r="S314" s="239"/>
      <c r="AE314" s="174"/>
    </row>
    <row r="315" ht="15.75" customHeight="1">
      <c r="S315" s="239"/>
      <c r="AE315" s="174"/>
    </row>
    <row r="316" ht="15.75" customHeight="1">
      <c r="S316" s="239"/>
      <c r="AE316" s="174"/>
    </row>
    <row r="317" ht="15.75" customHeight="1">
      <c r="S317" s="239"/>
      <c r="AE317" s="174"/>
    </row>
    <row r="318" ht="15.75" customHeight="1">
      <c r="S318" s="239"/>
      <c r="AE318" s="174"/>
    </row>
    <row r="319" ht="15.75" customHeight="1">
      <c r="S319" s="239"/>
      <c r="AE319" s="174"/>
    </row>
    <row r="320" ht="15.75" customHeight="1">
      <c r="S320" s="239"/>
      <c r="AE320" s="174"/>
    </row>
    <row r="321" ht="15.75" customHeight="1">
      <c r="S321" s="239"/>
      <c r="AE321" s="174"/>
    </row>
    <row r="322" ht="15.75" customHeight="1">
      <c r="S322" s="239"/>
      <c r="AE322" s="174"/>
    </row>
    <row r="323" ht="15.75" customHeight="1">
      <c r="S323" s="239"/>
      <c r="AE323" s="174"/>
    </row>
    <row r="324" ht="15.75" customHeight="1">
      <c r="S324" s="239"/>
      <c r="AE324" s="174"/>
    </row>
    <row r="325" ht="15.75" customHeight="1">
      <c r="S325" s="239"/>
      <c r="AE325" s="174"/>
    </row>
    <row r="326" ht="15.75" customHeight="1">
      <c r="S326" s="239"/>
      <c r="AE326" s="174"/>
    </row>
    <row r="327" ht="15.75" customHeight="1">
      <c r="S327" s="239"/>
      <c r="AE327" s="174"/>
    </row>
    <row r="328" ht="15.75" customHeight="1">
      <c r="S328" s="239"/>
      <c r="AE328" s="174"/>
    </row>
    <row r="329" ht="15.75" customHeight="1">
      <c r="S329" s="239"/>
      <c r="AE329" s="174"/>
    </row>
    <row r="330" ht="15.75" customHeight="1">
      <c r="S330" s="239"/>
      <c r="AE330" s="174"/>
    </row>
    <row r="331" ht="15.75" customHeight="1">
      <c r="S331" s="239"/>
      <c r="AE331" s="174"/>
    </row>
    <row r="332" ht="15.75" customHeight="1">
      <c r="S332" s="239"/>
      <c r="AE332" s="174"/>
    </row>
    <row r="333" ht="15.75" customHeight="1">
      <c r="S333" s="239"/>
      <c r="AE333" s="174"/>
    </row>
    <row r="334" ht="15.75" customHeight="1">
      <c r="S334" s="239"/>
      <c r="AE334" s="174"/>
    </row>
    <row r="335" ht="15.75" customHeight="1">
      <c r="S335" s="239"/>
      <c r="AE335" s="174"/>
    </row>
    <row r="336" ht="15.75" customHeight="1">
      <c r="S336" s="239"/>
      <c r="AE336" s="174"/>
    </row>
    <row r="337" ht="15.75" customHeight="1">
      <c r="S337" s="239"/>
      <c r="AE337" s="174"/>
    </row>
    <row r="338" ht="15.75" customHeight="1">
      <c r="S338" s="239"/>
      <c r="AE338" s="174"/>
    </row>
    <row r="339" ht="15.75" customHeight="1">
      <c r="S339" s="239"/>
      <c r="AE339" s="174"/>
    </row>
    <row r="340" ht="15.75" customHeight="1">
      <c r="S340" s="239"/>
      <c r="AE340" s="174"/>
    </row>
    <row r="341" ht="15.75" customHeight="1">
      <c r="S341" s="239"/>
      <c r="AE341" s="174"/>
    </row>
    <row r="342" ht="15.75" customHeight="1">
      <c r="S342" s="239"/>
      <c r="AE342" s="174"/>
    </row>
    <row r="343" ht="15.75" customHeight="1">
      <c r="S343" s="239"/>
      <c r="AE343" s="174"/>
    </row>
    <row r="344" ht="15.75" customHeight="1">
      <c r="S344" s="239"/>
      <c r="AE344" s="174"/>
    </row>
    <row r="345" ht="15.75" customHeight="1">
      <c r="S345" s="239"/>
      <c r="AE345" s="174"/>
    </row>
    <row r="346" ht="15.75" customHeight="1">
      <c r="S346" s="239"/>
      <c r="AE346" s="174"/>
    </row>
    <row r="347" ht="15.75" customHeight="1">
      <c r="S347" s="239"/>
      <c r="AE347" s="174"/>
    </row>
    <row r="348" ht="15.75" customHeight="1">
      <c r="S348" s="239"/>
      <c r="AE348" s="174"/>
    </row>
    <row r="349" ht="15.75" customHeight="1">
      <c r="S349" s="239"/>
      <c r="AE349" s="174"/>
    </row>
    <row r="350" ht="15.75" customHeight="1">
      <c r="S350" s="239"/>
      <c r="AE350" s="174"/>
    </row>
    <row r="351" ht="15.75" customHeight="1">
      <c r="S351" s="239"/>
      <c r="AE351" s="174"/>
    </row>
    <row r="352" ht="15.75" customHeight="1">
      <c r="S352" s="239"/>
      <c r="AE352" s="174"/>
    </row>
    <row r="353" ht="15.75" customHeight="1">
      <c r="S353" s="239"/>
      <c r="AE353" s="174"/>
    </row>
    <row r="354" ht="15.75" customHeight="1">
      <c r="S354" s="239"/>
      <c r="AE354" s="174"/>
    </row>
    <row r="355" ht="15.75" customHeight="1">
      <c r="S355" s="239"/>
      <c r="AE355" s="174"/>
    </row>
    <row r="356" ht="15.75" customHeight="1">
      <c r="S356" s="239"/>
      <c r="AE356" s="174"/>
    </row>
    <row r="357" ht="15.75" customHeight="1">
      <c r="S357" s="239"/>
      <c r="AE357" s="174"/>
    </row>
    <row r="358" ht="15.75" customHeight="1">
      <c r="S358" s="239"/>
      <c r="AE358" s="174"/>
    </row>
    <row r="359" ht="15.75" customHeight="1">
      <c r="S359" s="239"/>
      <c r="AE359" s="174"/>
    </row>
    <row r="360" ht="15.75" customHeight="1">
      <c r="S360" s="239"/>
      <c r="AE360" s="174"/>
    </row>
    <row r="361" ht="15.75" customHeight="1">
      <c r="S361" s="239"/>
      <c r="AE361" s="174"/>
    </row>
    <row r="362" ht="15.75" customHeight="1">
      <c r="S362" s="239"/>
      <c r="AE362" s="174"/>
    </row>
    <row r="363" ht="15.75" customHeight="1">
      <c r="S363" s="239"/>
      <c r="AE363" s="174"/>
    </row>
    <row r="364" ht="15.75" customHeight="1">
      <c r="S364" s="239"/>
      <c r="AE364" s="174"/>
    </row>
    <row r="365" ht="15.75" customHeight="1">
      <c r="S365" s="239"/>
      <c r="AE365" s="174"/>
    </row>
    <row r="366" ht="15.75" customHeight="1">
      <c r="S366" s="239"/>
      <c r="AE366" s="174"/>
    </row>
    <row r="367" ht="15.75" customHeight="1">
      <c r="S367" s="239"/>
      <c r="AE367" s="174"/>
    </row>
    <row r="368" ht="15.75" customHeight="1">
      <c r="S368" s="239"/>
      <c r="AE368" s="174"/>
    </row>
    <row r="369" ht="15.75" customHeight="1">
      <c r="S369" s="239"/>
      <c r="AE369" s="174"/>
    </row>
    <row r="370" ht="15.75" customHeight="1">
      <c r="S370" s="239"/>
      <c r="AE370" s="174"/>
    </row>
    <row r="371" ht="15.75" customHeight="1">
      <c r="S371" s="239"/>
      <c r="AE371" s="174"/>
    </row>
    <row r="372" ht="15.75" customHeight="1">
      <c r="S372" s="239"/>
      <c r="AE372" s="174"/>
    </row>
    <row r="373" ht="15.75" customHeight="1">
      <c r="S373" s="239"/>
      <c r="AE373" s="174"/>
    </row>
    <row r="374" ht="15.75" customHeight="1">
      <c r="S374" s="239"/>
      <c r="AE374" s="174"/>
    </row>
    <row r="375" ht="15.75" customHeight="1">
      <c r="S375" s="239"/>
      <c r="AE375" s="174"/>
    </row>
    <row r="376" ht="15.75" customHeight="1">
      <c r="S376" s="239"/>
      <c r="AE376" s="174"/>
    </row>
    <row r="377" ht="15.75" customHeight="1">
      <c r="S377" s="239"/>
      <c r="AE377" s="174"/>
    </row>
    <row r="378" ht="15.75" customHeight="1">
      <c r="S378" s="239"/>
      <c r="AE378" s="174"/>
    </row>
    <row r="379" ht="15.75" customHeight="1">
      <c r="S379" s="239"/>
      <c r="AE379" s="174"/>
    </row>
    <row r="380" ht="15.75" customHeight="1">
      <c r="S380" s="239"/>
      <c r="AE380" s="174"/>
    </row>
    <row r="381" ht="15.75" customHeight="1">
      <c r="S381" s="239"/>
      <c r="AE381" s="174"/>
    </row>
    <row r="382" ht="15.75" customHeight="1">
      <c r="S382" s="239"/>
      <c r="AE382" s="174"/>
    </row>
    <row r="383" ht="15.75" customHeight="1">
      <c r="S383" s="239"/>
      <c r="AE383" s="174"/>
    </row>
    <row r="384" ht="15.75" customHeight="1">
      <c r="S384" s="239"/>
      <c r="AE384" s="174"/>
    </row>
    <row r="385" ht="15.75" customHeight="1">
      <c r="S385" s="239"/>
      <c r="AE385" s="174"/>
    </row>
    <row r="386" ht="15.75" customHeight="1">
      <c r="S386" s="239"/>
      <c r="AE386" s="174"/>
    </row>
    <row r="387" ht="15.75" customHeight="1">
      <c r="S387" s="239"/>
      <c r="AE387" s="174"/>
    </row>
    <row r="388" ht="15.75" customHeight="1">
      <c r="S388" s="239"/>
      <c r="AE388" s="174"/>
    </row>
    <row r="389" ht="15.75" customHeight="1">
      <c r="S389" s="239"/>
      <c r="AE389" s="174"/>
    </row>
    <row r="390" ht="15.75" customHeight="1">
      <c r="S390" s="239"/>
      <c r="AE390" s="174"/>
    </row>
    <row r="391" ht="15.75" customHeight="1">
      <c r="S391" s="239"/>
      <c r="AE391" s="174"/>
    </row>
    <row r="392" ht="15.75" customHeight="1">
      <c r="S392" s="239"/>
      <c r="AE392" s="174"/>
    </row>
    <row r="393" ht="15.75" customHeight="1">
      <c r="S393" s="239"/>
      <c r="AE393" s="174"/>
    </row>
    <row r="394" ht="15.75" customHeight="1">
      <c r="S394" s="239"/>
      <c r="AE394" s="174"/>
    </row>
    <row r="395" ht="15.75" customHeight="1">
      <c r="S395" s="239"/>
      <c r="AE395" s="174"/>
    </row>
    <row r="396" ht="15.75" customHeight="1">
      <c r="S396" s="239"/>
      <c r="AE396" s="174"/>
    </row>
    <row r="397" ht="15.75" customHeight="1">
      <c r="S397" s="239"/>
      <c r="AE397" s="174"/>
    </row>
    <row r="398" ht="15.75" customHeight="1">
      <c r="S398" s="239"/>
      <c r="AE398" s="174"/>
    </row>
    <row r="399" ht="15.75" customHeight="1">
      <c r="S399" s="239"/>
      <c r="AE399" s="174"/>
    </row>
    <row r="400" ht="15.75" customHeight="1">
      <c r="S400" s="239"/>
      <c r="AE400" s="174"/>
    </row>
    <row r="401" ht="15.75" customHeight="1">
      <c r="S401" s="239"/>
      <c r="AE401" s="174"/>
    </row>
    <row r="402" ht="15.75" customHeight="1">
      <c r="S402" s="239"/>
      <c r="AE402" s="174"/>
    </row>
    <row r="403" ht="15.75" customHeight="1">
      <c r="S403" s="239"/>
      <c r="AE403" s="174"/>
    </row>
    <row r="404" ht="15.75" customHeight="1">
      <c r="S404" s="239"/>
      <c r="AE404" s="174"/>
    </row>
    <row r="405" ht="15.75" customHeight="1">
      <c r="S405" s="239"/>
      <c r="AE405" s="174"/>
    </row>
    <row r="406" ht="15.75" customHeight="1">
      <c r="S406" s="239"/>
      <c r="AE406" s="174"/>
    </row>
    <row r="407" ht="15.75" customHeight="1">
      <c r="S407" s="239"/>
      <c r="AE407" s="174"/>
    </row>
    <row r="408" ht="15.75" customHeight="1">
      <c r="S408" s="239"/>
      <c r="AE408" s="174"/>
    </row>
    <row r="409" ht="15.75" customHeight="1">
      <c r="S409" s="239"/>
      <c r="AE409" s="174"/>
    </row>
    <row r="410" ht="15.75" customHeight="1">
      <c r="S410" s="239"/>
      <c r="AE410" s="174"/>
    </row>
    <row r="411" ht="15.75" customHeight="1">
      <c r="S411" s="239"/>
      <c r="AE411" s="174"/>
    </row>
    <row r="412" ht="15.75" customHeight="1">
      <c r="S412" s="239"/>
      <c r="AE412" s="174"/>
    </row>
    <row r="413" ht="15.75" customHeight="1">
      <c r="S413" s="239"/>
      <c r="AE413" s="174"/>
    </row>
    <row r="414" ht="15.75" customHeight="1">
      <c r="S414" s="239"/>
      <c r="AE414" s="174"/>
    </row>
    <row r="415" ht="15.75" customHeight="1">
      <c r="S415" s="239"/>
      <c r="AE415" s="174"/>
    </row>
    <row r="416" ht="15.75" customHeight="1">
      <c r="S416" s="239"/>
      <c r="AE416" s="174"/>
    </row>
    <row r="417" ht="15.75" customHeight="1">
      <c r="S417" s="239"/>
      <c r="AE417" s="174"/>
    </row>
    <row r="418" ht="15.75" customHeight="1">
      <c r="S418" s="239"/>
      <c r="AE418" s="174"/>
    </row>
    <row r="419" ht="15.75" customHeight="1">
      <c r="S419" s="239"/>
      <c r="AE419" s="174"/>
    </row>
    <row r="420" ht="15.75" customHeight="1">
      <c r="S420" s="239"/>
      <c r="AE420" s="174"/>
    </row>
    <row r="421" ht="15.75" customHeight="1">
      <c r="S421" s="239"/>
      <c r="AE421" s="174"/>
    </row>
    <row r="422" ht="15.75" customHeight="1">
      <c r="S422" s="239"/>
      <c r="AE422" s="174"/>
    </row>
    <row r="423" ht="15.75" customHeight="1">
      <c r="S423" s="239"/>
      <c r="AE423" s="174"/>
    </row>
    <row r="424" ht="15.75" customHeight="1">
      <c r="S424" s="239"/>
      <c r="AE424" s="174"/>
    </row>
    <row r="425" ht="15.75" customHeight="1">
      <c r="S425" s="239"/>
      <c r="AE425" s="174"/>
    </row>
    <row r="426" ht="15.75" customHeight="1">
      <c r="S426" s="239"/>
      <c r="AE426" s="174"/>
    </row>
    <row r="427" ht="15.75" customHeight="1">
      <c r="S427" s="239"/>
      <c r="AE427" s="174"/>
    </row>
    <row r="428" ht="15.75" customHeight="1">
      <c r="S428" s="239"/>
      <c r="AE428" s="174"/>
    </row>
    <row r="429" ht="15.75" customHeight="1">
      <c r="S429" s="239"/>
      <c r="AE429" s="174"/>
    </row>
    <row r="430" ht="15.75" customHeight="1">
      <c r="S430" s="239"/>
      <c r="AE430" s="174"/>
    </row>
    <row r="431" ht="15.75" customHeight="1">
      <c r="S431" s="239"/>
      <c r="AE431" s="174"/>
    </row>
    <row r="432" ht="15.75" customHeight="1">
      <c r="S432" s="239"/>
      <c r="AE432" s="174"/>
    </row>
    <row r="433" ht="15.75" customHeight="1">
      <c r="S433" s="239"/>
      <c r="AE433" s="174"/>
    </row>
    <row r="434" ht="15.75" customHeight="1">
      <c r="S434" s="239"/>
      <c r="AE434" s="174"/>
    </row>
    <row r="435" ht="15.75" customHeight="1">
      <c r="S435" s="239"/>
      <c r="AE435" s="174"/>
    </row>
    <row r="436" ht="15.75" customHeight="1">
      <c r="S436" s="239"/>
      <c r="AE436" s="174"/>
    </row>
    <row r="437" ht="15.75" customHeight="1">
      <c r="S437" s="239"/>
      <c r="AE437" s="174"/>
    </row>
    <row r="438" ht="15.75" customHeight="1">
      <c r="S438" s="239"/>
      <c r="AE438" s="174"/>
    </row>
    <row r="439" ht="15.75" customHeight="1">
      <c r="S439" s="239"/>
      <c r="AE439" s="174"/>
    </row>
    <row r="440" ht="15.75" customHeight="1">
      <c r="S440" s="239"/>
      <c r="AE440" s="174"/>
    </row>
    <row r="441" ht="15.75" customHeight="1">
      <c r="S441" s="239"/>
      <c r="AE441" s="174"/>
    </row>
    <row r="442" ht="15.75" customHeight="1">
      <c r="S442" s="239"/>
      <c r="AE442" s="174"/>
    </row>
    <row r="443" ht="15.75" customHeight="1">
      <c r="S443" s="239"/>
      <c r="AE443" s="174"/>
    </row>
    <row r="444" ht="15.75" customHeight="1">
      <c r="S444" s="239"/>
      <c r="AE444" s="174"/>
    </row>
    <row r="445" ht="15.75" customHeight="1">
      <c r="S445" s="239"/>
      <c r="AE445" s="174"/>
    </row>
    <row r="446" ht="15.75" customHeight="1">
      <c r="S446" s="239"/>
      <c r="AE446" s="174"/>
    </row>
    <row r="447" ht="15.75" customHeight="1">
      <c r="S447" s="239"/>
      <c r="AE447" s="174"/>
    </row>
    <row r="448" ht="15.75" customHeight="1">
      <c r="S448" s="239"/>
      <c r="AE448" s="174"/>
    </row>
    <row r="449" ht="15.75" customHeight="1">
      <c r="S449" s="239"/>
      <c r="AE449" s="174"/>
    </row>
    <row r="450" ht="15.75" customHeight="1">
      <c r="S450" s="239"/>
      <c r="AE450" s="174"/>
    </row>
    <row r="451" ht="15.75" customHeight="1">
      <c r="S451" s="239"/>
      <c r="AE451" s="174"/>
    </row>
    <row r="452" ht="15.75" customHeight="1">
      <c r="S452" s="239"/>
      <c r="AE452" s="174"/>
    </row>
    <row r="453" ht="15.75" customHeight="1">
      <c r="S453" s="239"/>
      <c r="AE453" s="174"/>
    </row>
    <row r="454" ht="15.75" customHeight="1">
      <c r="S454" s="239"/>
      <c r="AE454" s="174"/>
    </row>
    <row r="455" ht="15.75" customHeight="1">
      <c r="S455" s="239"/>
      <c r="AE455" s="174"/>
    </row>
    <row r="456" ht="15.75" customHeight="1">
      <c r="S456" s="239"/>
      <c r="AE456" s="174"/>
    </row>
    <row r="457" ht="15.75" customHeight="1">
      <c r="S457" s="239"/>
      <c r="AE457" s="174"/>
    </row>
    <row r="458" ht="15.75" customHeight="1">
      <c r="S458" s="239"/>
      <c r="AE458" s="174"/>
    </row>
    <row r="459" ht="15.75" customHeight="1">
      <c r="S459" s="239"/>
      <c r="AE459" s="174"/>
    </row>
    <row r="460" ht="15.75" customHeight="1">
      <c r="S460" s="239"/>
      <c r="AE460" s="174"/>
    </row>
    <row r="461" ht="15.75" customHeight="1">
      <c r="S461" s="239"/>
      <c r="AE461" s="174"/>
    </row>
    <row r="462" ht="15.75" customHeight="1">
      <c r="S462" s="239"/>
      <c r="AE462" s="174"/>
    </row>
    <row r="463" ht="15.75" customHeight="1">
      <c r="S463" s="239"/>
      <c r="AE463" s="174"/>
    </row>
    <row r="464" ht="15.75" customHeight="1">
      <c r="S464" s="239"/>
      <c r="AE464" s="174"/>
    </row>
    <row r="465" ht="15.75" customHeight="1">
      <c r="S465" s="239"/>
      <c r="AE465" s="174"/>
    </row>
    <row r="466" ht="15.75" customHeight="1">
      <c r="S466" s="239"/>
      <c r="AE466" s="174"/>
    </row>
    <row r="467" ht="15.75" customHeight="1">
      <c r="S467" s="239"/>
      <c r="AE467" s="174"/>
    </row>
    <row r="468" ht="15.75" customHeight="1">
      <c r="S468" s="239"/>
      <c r="AE468" s="174"/>
    </row>
    <row r="469" ht="15.75" customHeight="1">
      <c r="S469" s="239"/>
      <c r="AE469" s="174"/>
    </row>
    <row r="470" ht="15.75" customHeight="1">
      <c r="S470" s="239"/>
      <c r="AE470" s="174"/>
    </row>
    <row r="471" ht="15.75" customHeight="1">
      <c r="S471" s="239"/>
      <c r="AE471" s="174"/>
    </row>
    <row r="472" ht="15.75" customHeight="1">
      <c r="S472" s="239"/>
      <c r="AE472" s="174"/>
    </row>
    <row r="473" ht="15.75" customHeight="1">
      <c r="S473" s="239"/>
      <c r="AE473" s="174"/>
    </row>
    <row r="474" ht="15.75" customHeight="1">
      <c r="S474" s="239"/>
      <c r="AE474" s="174"/>
    </row>
    <row r="475" ht="15.75" customHeight="1">
      <c r="S475" s="239"/>
      <c r="AE475" s="174"/>
    </row>
    <row r="476" ht="15.75" customHeight="1">
      <c r="S476" s="239"/>
      <c r="AE476" s="174"/>
    </row>
    <row r="477" ht="15.75" customHeight="1">
      <c r="S477" s="239"/>
      <c r="AE477" s="174"/>
    </row>
    <row r="478" ht="15.75" customHeight="1">
      <c r="S478" s="239"/>
      <c r="AE478" s="174"/>
    </row>
    <row r="479" ht="15.75" customHeight="1">
      <c r="S479" s="239"/>
      <c r="AE479" s="174"/>
    </row>
    <row r="480" ht="15.75" customHeight="1">
      <c r="S480" s="239"/>
      <c r="AE480" s="174"/>
    </row>
    <row r="481" ht="15.75" customHeight="1">
      <c r="S481" s="239"/>
      <c r="AE481" s="174"/>
    </row>
    <row r="482" ht="15.75" customHeight="1">
      <c r="S482" s="239"/>
      <c r="AE482" s="174"/>
    </row>
    <row r="483" ht="15.75" customHeight="1">
      <c r="S483" s="239"/>
      <c r="AE483" s="174"/>
    </row>
    <row r="484" ht="15.75" customHeight="1">
      <c r="S484" s="239"/>
      <c r="AE484" s="174"/>
    </row>
    <row r="485" ht="15.75" customHeight="1">
      <c r="S485" s="239"/>
      <c r="AE485" s="174"/>
    </row>
    <row r="486" ht="15.75" customHeight="1">
      <c r="S486" s="239"/>
      <c r="AE486" s="174"/>
    </row>
    <row r="487" ht="15.75" customHeight="1">
      <c r="S487" s="239"/>
      <c r="AE487" s="174"/>
    </row>
    <row r="488" ht="15.75" customHeight="1">
      <c r="S488" s="239"/>
      <c r="AE488" s="174"/>
    </row>
    <row r="489" ht="15.75" customHeight="1">
      <c r="S489" s="239"/>
      <c r="AE489" s="174"/>
    </row>
    <row r="490" ht="15.75" customHeight="1">
      <c r="S490" s="239"/>
      <c r="AE490" s="174"/>
    </row>
    <row r="491" ht="15.75" customHeight="1">
      <c r="S491" s="239"/>
      <c r="AE491" s="174"/>
    </row>
    <row r="492" ht="15.75" customHeight="1">
      <c r="S492" s="239"/>
      <c r="AE492" s="174"/>
    </row>
    <row r="493" ht="15.75" customHeight="1">
      <c r="S493" s="239"/>
      <c r="AE493" s="174"/>
    </row>
    <row r="494" ht="15.75" customHeight="1">
      <c r="S494" s="239"/>
      <c r="AE494" s="174"/>
    </row>
    <row r="495" ht="15.75" customHeight="1">
      <c r="S495" s="239"/>
      <c r="AE495" s="174"/>
    </row>
    <row r="496" ht="15.75" customHeight="1">
      <c r="S496" s="239"/>
      <c r="AE496" s="174"/>
    </row>
    <row r="497" ht="15.75" customHeight="1">
      <c r="S497" s="239"/>
      <c r="AE497" s="174"/>
    </row>
    <row r="498" ht="15.75" customHeight="1">
      <c r="S498" s="239"/>
      <c r="AE498" s="174"/>
    </row>
    <row r="499" ht="15.75" customHeight="1">
      <c r="S499" s="239"/>
      <c r="AE499" s="174"/>
    </row>
    <row r="500" ht="15.75" customHeight="1">
      <c r="S500" s="239"/>
      <c r="AE500" s="174"/>
    </row>
    <row r="501" ht="15.75" customHeight="1">
      <c r="S501" s="239"/>
      <c r="AE501" s="174"/>
    </row>
    <row r="502" ht="15.75" customHeight="1">
      <c r="S502" s="239"/>
      <c r="AE502" s="174"/>
    </row>
    <row r="503" ht="15.75" customHeight="1">
      <c r="S503" s="239"/>
      <c r="AE503" s="174"/>
    </row>
    <row r="504" ht="15.75" customHeight="1">
      <c r="S504" s="239"/>
      <c r="AE504" s="174"/>
    </row>
    <row r="505" ht="15.75" customHeight="1">
      <c r="S505" s="239"/>
      <c r="AE505" s="174"/>
    </row>
    <row r="506" ht="15.75" customHeight="1">
      <c r="S506" s="239"/>
      <c r="AE506" s="174"/>
    </row>
    <row r="507" ht="15.75" customHeight="1">
      <c r="S507" s="239"/>
      <c r="AE507" s="174"/>
    </row>
    <row r="508" ht="15.75" customHeight="1">
      <c r="S508" s="239"/>
      <c r="AE508" s="174"/>
    </row>
    <row r="509" ht="15.75" customHeight="1">
      <c r="S509" s="239"/>
      <c r="AE509" s="174"/>
    </row>
    <row r="510" ht="15.75" customHeight="1">
      <c r="S510" s="239"/>
      <c r="AE510" s="174"/>
    </row>
    <row r="511" ht="15.75" customHeight="1">
      <c r="S511" s="239"/>
      <c r="AE511" s="174"/>
    </row>
    <row r="512" ht="15.75" customHeight="1">
      <c r="S512" s="239"/>
      <c r="AE512" s="174"/>
    </row>
    <row r="513" ht="15.75" customHeight="1">
      <c r="S513" s="239"/>
      <c r="AE513" s="174"/>
    </row>
    <row r="514" ht="15.75" customHeight="1">
      <c r="S514" s="239"/>
      <c r="AE514" s="174"/>
    </row>
    <row r="515" ht="15.75" customHeight="1">
      <c r="S515" s="239"/>
      <c r="AE515" s="174"/>
    </row>
    <row r="516" ht="15.75" customHeight="1">
      <c r="S516" s="239"/>
      <c r="AE516" s="174"/>
    </row>
    <row r="517" ht="15.75" customHeight="1">
      <c r="S517" s="239"/>
      <c r="AE517" s="174"/>
    </row>
    <row r="518" ht="15.75" customHeight="1">
      <c r="S518" s="239"/>
      <c r="AE518" s="174"/>
    </row>
    <row r="519" ht="15.75" customHeight="1">
      <c r="S519" s="239"/>
      <c r="AE519" s="174"/>
    </row>
    <row r="520" ht="15.75" customHeight="1">
      <c r="S520" s="239"/>
      <c r="AE520" s="174"/>
    </row>
    <row r="521" ht="15.75" customHeight="1">
      <c r="S521" s="239"/>
      <c r="AE521" s="174"/>
    </row>
    <row r="522" ht="15.75" customHeight="1">
      <c r="S522" s="239"/>
      <c r="AE522" s="174"/>
    </row>
    <row r="523" ht="15.75" customHeight="1">
      <c r="S523" s="239"/>
      <c r="AE523" s="174"/>
    </row>
    <row r="524" ht="15.75" customHeight="1">
      <c r="S524" s="239"/>
      <c r="AE524" s="174"/>
    </row>
    <row r="525" ht="15.75" customHeight="1">
      <c r="S525" s="239"/>
      <c r="AE525" s="174"/>
    </row>
    <row r="526" ht="15.75" customHeight="1">
      <c r="S526" s="239"/>
      <c r="AE526" s="174"/>
    </row>
    <row r="527" ht="15.75" customHeight="1">
      <c r="S527" s="239"/>
      <c r="AE527" s="174"/>
    </row>
    <row r="528" ht="15.75" customHeight="1">
      <c r="S528" s="239"/>
      <c r="AE528" s="174"/>
    </row>
    <row r="529" ht="15.75" customHeight="1">
      <c r="S529" s="239"/>
      <c r="AE529" s="174"/>
    </row>
    <row r="530" ht="15.75" customHeight="1">
      <c r="S530" s="239"/>
      <c r="AE530" s="174"/>
    </row>
    <row r="531" ht="15.75" customHeight="1">
      <c r="S531" s="239"/>
      <c r="AE531" s="174"/>
    </row>
    <row r="532" ht="15.75" customHeight="1">
      <c r="S532" s="239"/>
      <c r="AE532" s="174"/>
    </row>
    <row r="533" ht="15.75" customHeight="1">
      <c r="S533" s="239"/>
      <c r="AE533" s="174"/>
    </row>
    <row r="534" ht="15.75" customHeight="1">
      <c r="S534" s="239"/>
      <c r="AE534" s="174"/>
    </row>
    <row r="535" ht="15.75" customHeight="1">
      <c r="S535" s="239"/>
      <c r="AE535" s="174"/>
    </row>
    <row r="536" ht="15.75" customHeight="1">
      <c r="S536" s="239"/>
      <c r="AE536" s="174"/>
    </row>
    <row r="537" ht="15.75" customHeight="1">
      <c r="S537" s="239"/>
      <c r="AE537" s="174"/>
    </row>
    <row r="538" ht="15.75" customHeight="1">
      <c r="S538" s="239"/>
      <c r="AE538" s="174"/>
    </row>
    <row r="539" ht="15.75" customHeight="1">
      <c r="S539" s="239"/>
      <c r="AE539" s="174"/>
    </row>
    <row r="540" ht="15.75" customHeight="1">
      <c r="S540" s="239"/>
      <c r="AE540" s="174"/>
    </row>
    <row r="541" ht="15.75" customHeight="1">
      <c r="S541" s="239"/>
      <c r="AE541" s="174"/>
    </row>
    <row r="542" ht="15.75" customHeight="1">
      <c r="S542" s="239"/>
      <c r="AE542" s="174"/>
    </row>
    <row r="543" ht="15.75" customHeight="1">
      <c r="S543" s="239"/>
      <c r="AE543" s="174"/>
    </row>
    <row r="544" ht="15.75" customHeight="1">
      <c r="S544" s="239"/>
      <c r="AE544" s="174"/>
    </row>
    <row r="545" ht="15.75" customHeight="1">
      <c r="S545" s="239"/>
      <c r="AE545" s="174"/>
    </row>
    <row r="546" ht="15.75" customHeight="1">
      <c r="S546" s="239"/>
      <c r="AE546" s="174"/>
    </row>
    <row r="547" ht="15.75" customHeight="1">
      <c r="S547" s="239"/>
      <c r="AE547" s="174"/>
    </row>
    <row r="548" ht="15.75" customHeight="1">
      <c r="S548" s="239"/>
      <c r="AE548" s="174"/>
    </row>
    <row r="549" ht="15.75" customHeight="1">
      <c r="S549" s="239"/>
      <c r="AE549" s="174"/>
    </row>
    <row r="550" ht="15.75" customHeight="1">
      <c r="S550" s="239"/>
      <c r="AE550" s="174"/>
    </row>
    <row r="551" ht="15.75" customHeight="1">
      <c r="S551" s="239"/>
      <c r="AE551" s="174"/>
    </row>
    <row r="552" ht="15.75" customHeight="1">
      <c r="S552" s="239"/>
      <c r="AE552" s="174"/>
    </row>
    <row r="553" ht="15.75" customHeight="1">
      <c r="S553" s="239"/>
      <c r="AE553" s="174"/>
    </row>
    <row r="554" ht="15.75" customHeight="1">
      <c r="S554" s="239"/>
      <c r="AE554" s="174"/>
    </row>
    <row r="555" ht="15.75" customHeight="1">
      <c r="S555" s="239"/>
      <c r="AE555" s="174"/>
    </row>
    <row r="556" ht="15.75" customHeight="1">
      <c r="S556" s="239"/>
      <c r="AE556" s="174"/>
    </row>
    <row r="557" ht="15.75" customHeight="1">
      <c r="S557" s="239"/>
      <c r="AE557" s="174"/>
    </row>
    <row r="558" ht="15.75" customHeight="1">
      <c r="S558" s="239"/>
      <c r="AE558" s="174"/>
    </row>
    <row r="559" ht="15.75" customHeight="1">
      <c r="S559" s="239"/>
      <c r="AE559" s="174"/>
    </row>
    <row r="560" ht="15.75" customHeight="1">
      <c r="S560" s="239"/>
      <c r="AE560" s="174"/>
    </row>
    <row r="561" ht="15.75" customHeight="1">
      <c r="S561" s="239"/>
      <c r="AE561" s="174"/>
    </row>
    <row r="562" ht="15.75" customHeight="1">
      <c r="S562" s="239"/>
      <c r="AE562" s="174"/>
    </row>
    <row r="563" ht="15.75" customHeight="1">
      <c r="S563" s="239"/>
      <c r="AE563" s="174"/>
    </row>
    <row r="564" ht="15.75" customHeight="1">
      <c r="S564" s="239"/>
      <c r="AE564" s="174"/>
    </row>
    <row r="565" ht="15.75" customHeight="1">
      <c r="S565" s="239"/>
      <c r="AE565" s="174"/>
    </row>
    <row r="566" ht="15.75" customHeight="1">
      <c r="S566" s="239"/>
      <c r="AE566" s="174"/>
    </row>
    <row r="567" ht="15.75" customHeight="1">
      <c r="S567" s="239"/>
      <c r="AE567" s="174"/>
    </row>
    <row r="568" ht="15.75" customHeight="1">
      <c r="S568" s="239"/>
      <c r="AE568" s="174"/>
    </row>
    <row r="569" ht="15.75" customHeight="1">
      <c r="S569" s="239"/>
      <c r="AE569" s="174"/>
    </row>
    <row r="570" ht="15.75" customHeight="1">
      <c r="S570" s="239"/>
      <c r="AE570" s="174"/>
    </row>
    <row r="571" ht="15.75" customHeight="1">
      <c r="S571" s="239"/>
      <c r="AE571" s="174"/>
    </row>
    <row r="572" ht="15.75" customHeight="1">
      <c r="S572" s="239"/>
      <c r="AE572" s="174"/>
    </row>
    <row r="573" ht="15.75" customHeight="1">
      <c r="S573" s="239"/>
      <c r="AE573" s="174"/>
    </row>
    <row r="574" ht="15.75" customHeight="1">
      <c r="S574" s="239"/>
      <c r="AE574" s="174"/>
    </row>
    <row r="575" ht="15.75" customHeight="1">
      <c r="S575" s="239"/>
      <c r="AE575" s="174"/>
    </row>
    <row r="576" ht="15.75" customHeight="1">
      <c r="S576" s="239"/>
      <c r="AE576" s="174"/>
    </row>
    <row r="577" ht="15.75" customHeight="1">
      <c r="S577" s="239"/>
      <c r="AE577" s="174"/>
    </row>
    <row r="578" ht="15.75" customHeight="1">
      <c r="S578" s="239"/>
      <c r="AE578" s="174"/>
    </row>
    <row r="579" ht="15.75" customHeight="1">
      <c r="S579" s="239"/>
      <c r="AE579" s="174"/>
    </row>
    <row r="580" ht="15.75" customHeight="1">
      <c r="S580" s="239"/>
      <c r="AE580" s="174"/>
    </row>
    <row r="581" ht="15.75" customHeight="1">
      <c r="S581" s="239"/>
      <c r="AE581" s="174"/>
    </row>
    <row r="582" ht="15.75" customHeight="1">
      <c r="S582" s="239"/>
      <c r="AE582" s="174"/>
    </row>
    <row r="583" ht="15.75" customHeight="1">
      <c r="S583" s="239"/>
      <c r="AE583" s="174"/>
    </row>
    <row r="584" ht="15.75" customHeight="1">
      <c r="S584" s="239"/>
      <c r="AE584" s="174"/>
    </row>
    <row r="585" ht="15.75" customHeight="1">
      <c r="S585" s="239"/>
      <c r="AE585" s="174"/>
    </row>
    <row r="586" ht="15.75" customHeight="1">
      <c r="S586" s="239"/>
      <c r="AE586" s="174"/>
    </row>
    <row r="587" ht="15.75" customHeight="1">
      <c r="S587" s="239"/>
      <c r="AE587" s="174"/>
    </row>
    <row r="588" ht="15.75" customHeight="1">
      <c r="S588" s="239"/>
      <c r="AE588" s="174"/>
    </row>
    <row r="589" ht="15.75" customHeight="1">
      <c r="S589" s="239"/>
      <c r="AE589" s="174"/>
    </row>
    <row r="590" ht="15.75" customHeight="1">
      <c r="S590" s="239"/>
      <c r="AE590" s="174"/>
    </row>
    <row r="591" ht="15.75" customHeight="1">
      <c r="S591" s="239"/>
      <c r="AE591" s="174"/>
    </row>
    <row r="592" ht="15.75" customHeight="1">
      <c r="S592" s="239"/>
      <c r="AE592" s="174"/>
    </row>
    <row r="593" ht="15.75" customHeight="1">
      <c r="S593" s="239"/>
      <c r="AE593" s="174"/>
    </row>
    <row r="594" ht="15.75" customHeight="1">
      <c r="S594" s="239"/>
      <c r="AE594" s="174"/>
    </row>
    <row r="595" ht="15.75" customHeight="1">
      <c r="S595" s="239"/>
      <c r="AE595" s="174"/>
    </row>
    <row r="596" ht="15.75" customHeight="1">
      <c r="S596" s="239"/>
      <c r="AE596" s="174"/>
    </row>
    <row r="597" ht="15.75" customHeight="1">
      <c r="S597" s="239"/>
      <c r="AE597" s="174"/>
    </row>
    <row r="598" ht="15.75" customHeight="1">
      <c r="S598" s="239"/>
      <c r="AE598" s="174"/>
    </row>
    <row r="599" ht="15.75" customHeight="1">
      <c r="S599" s="239"/>
      <c r="AE599" s="174"/>
    </row>
    <row r="600" ht="15.75" customHeight="1">
      <c r="S600" s="239"/>
      <c r="AE600" s="174"/>
    </row>
    <row r="601" ht="15.75" customHeight="1">
      <c r="S601" s="239"/>
      <c r="AE601" s="174"/>
    </row>
    <row r="602" ht="15.75" customHeight="1">
      <c r="S602" s="239"/>
      <c r="AE602" s="174"/>
    </row>
    <row r="603" ht="15.75" customHeight="1">
      <c r="S603" s="239"/>
      <c r="AE603" s="174"/>
    </row>
    <row r="604" ht="15.75" customHeight="1">
      <c r="S604" s="239"/>
      <c r="AE604" s="174"/>
    </row>
    <row r="605" ht="15.75" customHeight="1">
      <c r="S605" s="239"/>
      <c r="AE605" s="174"/>
    </row>
    <row r="606" ht="15.75" customHeight="1">
      <c r="S606" s="239"/>
      <c r="AE606" s="174"/>
    </row>
    <row r="607" ht="15.75" customHeight="1">
      <c r="S607" s="239"/>
      <c r="AE607" s="174"/>
    </row>
    <row r="608" ht="15.75" customHeight="1">
      <c r="S608" s="239"/>
      <c r="AE608" s="174"/>
    </row>
    <row r="609" ht="15.75" customHeight="1">
      <c r="S609" s="239"/>
      <c r="AE609" s="174"/>
    </row>
    <row r="610" ht="15.75" customHeight="1">
      <c r="S610" s="239"/>
      <c r="AE610" s="174"/>
    </row>
    <row r="611" ht="15.75" customHeight="1">
      <c r="S611" s="239"/>
      <c r="AE611" s="174"/>
    </row>
    <row r="612" ht="15.75" customHeight="1">
      <c r="S612" s="239"/>
      <c r="AE612" s="174"/>
    </row>
    <row r="613" ht="15.75" customHeight="1">
      <c r="S613" s="239"/>
      <c r="AE613" s="174"/>
    </row>
    <row r="614" ht="15.75" customHeight="1">
      <c r="S614" s="239"/>
      <c r="AE614" s="174"/>
    </row>
    <row r="615" ht="15.75" customHeight="1">
      <c r="S615" s="239"/>
      <c r="AE615" s="174"/>
    </row>
    <row r="616" ht="15.75" customHeight="1">
      <c r="S616" s="239"/>
      <c r="AE616" s="174"/>
    </row>
    <row r="617" ht="15.75" customHeight="1">
      <c r="S617" s="239"/>
      <c r="AE617" s="174"/>
    </row>
    <row r="618" ht="15.75" customHeight="1">
      <c r="S618" s="239"/>
      <c r="AE618" s="174"/>
    </row>
    <row r="619" ht="15.75" customHeight="1">
      <c r="S619" s="239"/>
      <c r="AE619" s="174"/>
    </row>
    <row r="620" ht="15.75" customHeight="1">
      <c r="S620" s="239"/>
      <c r="AE620" s="174"/>
    </row>
    <row r="621" ht="15.75" customHeight="1">
      <c r="S621" s="239"/>
      <c r="AE621" s="174"/>
    </row>
    <row r="622" ht="15.75" customHeight="1">
      <c r="S622" s="239"/>
      <c r="AE622" s="174"/>
    </row>
    <row r="623" ht="15.75" customHeight="1">
      <c r="S623" s="239"/>
      <c r="AE623" s="174"/>
    </row>
    <row r="624" ht="15.75" customHeight="1">
      <c r="S624" s="239"/>
      <c r="AE624" s="174"/>
    </row>
    <row r="625" ht="15.75" customHeight="1">
      <c r="S625" s="239"/>
      <c r="AE625" s="174"/>
    </row>
    <row r="626" ht="15.75" customHeight="1">
      <c r="S626" s="239"/>
      <c r="AE626" s="174"/>
    </row>
    <row r="627" ht="15.75" customHeight="1">
      <c r="S627" s="239"/>
      <c r="AE627" s="174"/>
    </row>
    <row r="628" ht="15.75" customHeight="1">
      <c r="S628" s="239"/>
      <c r="AE628" s="174"/>
    </row>
    <row r="629" ht="15.75" customHeight="1">
      <c r="S629" s="239"/>
      <c r="AE629" s="174"/>
    </row>
    <row r="630" ht="15.75" customHeight="1">
      <c r="S630" s="239"/>
      <c r="AE630" s="174"/>
    </row>
    <row r="631" ht="15.75" customHeight="1">
      <c r="S631" s="239"/>
      <c r="AE631" s="174"/>
    </row>
    <row r="632" ht="15.75" customHeight="1">
      <c r="S632" s="239"/>
      <c r="AE632" s="174"/>
    </row>
    <row r="633" ht="15.75" customHeight="1">
      <c r="S633" s="239"/>
      <c r="AE633" s="174"/>
    </row>
    <row r="634" ht="15.75" customHeight="1">
      <c r="S634" s="239"/>
      <c r="AE634" s="174"/>
    </row>
    <row r="635" ht="15.75" customHeight="1">
      <c r="S635" s="239"/>
      <c r="AE635" s="174"/>
    </row>
    <row r="636" ht="15.75" customHeight="1">
      <c r="S636" s="239"/>
      <c r="AE636" s="174"/>
    </row>
    <row r="637" ht="15.75" customHeight="1">
      <c r="S637" s="239"/>
      <c r="AE637" s="174"/>
    </row>
    <row r="638" ht="15.75" customHeight="1">
      <c r="S638" s="239"/>
      <c r="AE638" s="174"/>
    </row>
    <row r="639" ht="15.75" customHeight="1">
      <c r="S639" s="239"/>
      <c r="AE639" s="174"/>
    </row>
    <row r="640" ht="15.75" customHeight="1">
      <c r="S640" s="239"/>
      <c r="AE640" s="174"/>
    </row>
    <row r="641" ht="15.75" customHeight="1">
      <c r="S641" s="239"/>
      <c r="AE641" s="174"/>
    </row>
    <row r="642" ht="15.75" customHeight="1">
      <c r="S642" s="239"/>
      <c r="AE642" s="174"/>
    </row>
    <row r="643" ht="15.75" customHeight="1">
      <c r="S643" s="239"/>
      <c r="AE643" s="174"/>
    </row>
    <row r="644" ht="15.75" customHeight="1">
      <c r="S644" s="239"/>
      <c r="AE644" s="174"/>
    </row>
    <row r="645" ht="15.75" customHeight="1">
      <c r="S645" s="239"/>
      <c r="AE645" s="174"/>
    </row>
    <row r="646" ht="15.75" customHeight="1">
      <c r="S646" s="239"/>
      <c r="AE646" s="174"/>
    </row>
    <row r="647" ht="15.75" customHeight="1">
      <c r="S647" s="239"/>
      <c r="AE647" s="174"/>
    </row>
    <row r="648" ht="15.75" customHeight="1">
      <c r="S648" s="239"/>
      <c r="AE648" s="174"/>
    </row>
    <row r="649" ht="15.75" customHeight="1">
      <c r="S649" s="239"/>
      <c r="AE649" s="174"/>
    </row>
    <row r="650" ht="15.75" customHeight="1">
      <c r="S650" s="239"/>
      <c r="AE650" s="174"/>
    </row>
    <row r="651" ht="15.75" customHeight="1">
      <c r="S651" s="239"/>
      <c r="AE651" s="174"/>
    </row>
    <row r="652" ht="15.75" customHeight="1">
      <c r="S652" s="239"/>
      <c r="AE652" s="174"/>
    </row>
    <row r="653" ht="15.75" customHeight="1">
      <c r="S653" s="239"/>
      <c r="AE653" s="174"/>
    </row>
    <row r="654" ht="15.75" customHeight="1">
      <c r="S654" s="239"/>
      <c r="AE654" s="174"/>
    </row>
    <row r="655" ht="15.75" customHeight="1">
      <c r="S655" s="239"/>
      <c r="AE655" s="174"/>
    </row>
    <row r="656" ht="15.75" customHeight="1">
      <c r="S656" s="239"/>
      <c r="AE656" s="174"/>
    </row>
    <row r="657" ht="15.75" customHeight="1">
      <c r="S657" s="239"/>
      <c r="AE657" s="174"/>
    </row>
    <row r="658" ht="15.75" customHeight="1">
      <c r="S658" s="239"/>
      <c r="AE658" s="174"/>
    </row>
    <row r="659" ht="15.75" customHeight="1">
      <c r="S659" s="239"/>
      <c r="AE659" s="174"/>
    </row>
    <row r="660" ht="15.75" customHeight="1">
      <c r="S660" s="239"/>
      <c r="AE660" s="174"/>
    </row>
    <row r="661" ht="15.75" customHeight="1">
      <c r="S661" s="239"/>
      <c r="AE661" s="174"/>
    </row>
    <row r="662" ht="15.75" customHeight="1">
      <c r="S662" s="239"/>
      <c r="AE662" s="174"/>
    </row>
    <row r="663" ht="15.75" customHeight="1">
      <c r="S663" s="239"/>
      <c r="AE663" s="174"/>
    </row>
    <row r="664" ht="15.75" customHeight="1">
      <c r="S664" s="239"/>
      <c r="AE664" s="174"/>
    </row>
    <row r="665" ht="15.75" customHeight="1">
      <c r="S665" s="239"/>
      <c r="AE665" s="174"/>
    </row>
    <row r="666" ht="15.75" customHeight="1">
      <c r="S666" s="239"/>
      <c r="AE666" s="174"/>
    </row>
    <row r="667" ht="15.75" customHeight="1">
      <c r="S667" s="239"/>
      <c r="AE667" s="174"/>
    </row>
    <row r="668" ht="15.75" customHeight="1">
      <c r="S668" s="239"/>
      <c r="AE668" s="174"/>
    </row>
    <row r="669" ht="15.75" customHeight="1">
      <c r="S669" s="239"/>
      <c r="AE669" s="174"/>
    </row>
    <row r="670" ht="15.75" customHeight="1">
      <c r="S670" s="239"/>
      <c r="AE670" s="174"/>
    </row>
    <row r="671" ht="15.75" customHeight="1">
      <c r="S671" s="239"/>
      <c r="AE671" s="174"/>
    </row>
    <row r="672" ht="15.75" customHeight="1">
      <c r="S672" s="239"/>
      <c r="AE672" s="174"/>
    </row>
    <row r="673" ht="15.75" customHeight="1">
      <c r="S673" s="239"/>
      <c r="AE673" s="174"/>
    </row>
    <row r="674" ht="15.75" customHeight="1">
      <c r="S674" s="239"/>
      <c r="AE674" s="174"/>
    </row>
    <row r="675" ht="15.75" customHeight="1">
      <c r="S675" s="239"/>
      <c r="AE675" s="174"/>
    </row>
    <row r="676" ht="15.75" customHeight="1">
      <c r="S676" s="239"/>
      <c r="AE676" s="174"/>
    </row>
    <row r="677" ht="15.75" customHeight="1">
      <c r="S677" s="239"/>
      <c r="AE677" s="174"/>
    </row>
    <row r="678" ht="15.75" customHeight="1">
      <c r="S678" s="239"/>
      <c r="AE678" s="174"/>
    </row>
    <row r="679" ht="15.75" customHeight="1">
      <c r="S679" s="239"/>
      <c r="AE679" s="174"/>
    </row>
    <row r="680" ht="15.75" customHeight="1">
      <c r="S680" s="239"/>
      <c r="AE680" s="174"/>
    </row>
    <row r="681" ht="15.75" customHeight="1">
      <c r="S681" s="239"/>
      <c r="AE681" s="174"/>
    </row>
    <row r="682" ht="15.75" customHeight="1">
      <c r="S682" s="239"/>
      <c r="AE682" s="174"/>
    </row>
    <row r="683" ht="15.75" customHeight="1">
      <c r="S683" s="239"/>
      <c r="AE683" s="174"/>
    </row>
    <row r="684" ht="15.75" customHeight="1">
      <c r="S684" s="239"/>
      <c r="AE684" s="174"/>
    </row>
    <row r="685" ht="15.75" customHeight="1">
      <c r="S685" s="239"/>
      <c r="AE685" s="174"/>
    </row>
    <row r="686" ht="15.75" customHeight="1">
      <c r="S686" s="239"/>
      <c r="AE686" s="174"/>
    </row>
    <row r="687" ht="15.75" customHeight="1">
      <c r="S687" s="239"/>
      <c r="AE687" s="174"/>
    </row>
    <row r="688" ht="15.75" customHeight="1">
      <c r="S688" s="239"/>
      <c r="AE688" s="174"/>
    </row>
    <row r="689" ht="15.75" customHeight="1">
      <c r="S689" s="239"/>
      <c r="AE689" s="174"/>
    </row>
    <row r="690" ht="15.75" customHeight="1">
      <c r="S690" s="239"/>
      <c r="AE690" s="174"/>
    </row>
    <row r="691" ht="15.75" customHeight="1">
      <c r="S691" s="239"/>
      <c r="AE691" s="174"/>
    </row>
    <row r="692" ht="15.75" customHeight="1">
      <c r="S692" s="239"/>
      <c r="AE692" s="174"/>
    </row>
    <row r="693" ht="15.75" customHeight="1">
      <c r="S693" s="239"/>
      <c r="AE693" s="174"/>
    </row>
    <row r="694" ht="15.75" customHeight="1">
      <c r="S694" s="239"/>
      <c r="AE694" s="174"/>
    </row>
    <row r="695" ht="15.75" customHeight="1">
      <c r="S695" s="239"/>
      <c r="AE695" s="174"/>
    </row>
    <row r="696" ht="15.75" customHeight="1">
      <c r="S696" s="239"/>
      <c r="AE696" s="174"/>
    </row>
    <row r="697" ht="15.75" customHeight="1">
      <c r="S697" s="239"/>
      <c r="AE697" s="174"/>
    </row>
    <row r="698" ht="15.75" customHeight="1">
      <c r="S698" s="239"/>
      <c r="AE698" s="174"/>
    </row>
    <row r="699" ht="15.75" customHeight="1">
      <c r="S699" s="239"/>
      <c r="AE699" s="174"/>
    </row>
    <row r="700" ht="15.75" customHeight="1">
      <c r="S700" s="239"/>
      <c r="AE700" s="174"/>
    </row>
    <row r="701" ht="15.75" customHeight="1">
      <c r="S701" s="239"/>
      <c r="AE701" s="174"/>
    </row>
    <row r="702" ht="15.75" customHeight="1">
      <c r="S702" s="239"/>
      <c r="AE702" s="174"/>
    </row>
    <row r="703" ht="15.75" customHeight="1">
      <c r="S703" s="239"/>
      <c r="AE703" s="174"/>
    </row>
    <row r="704" ht="15.75" customHeight="1">
      <c r="S704" s="239"/>
      <c r="AE704" s="174"/>
    </row>
    <row r="705" ht="15.75" customHeight="1">
      <c r="S705" s="239"/>
      <c r="AE705" s="174"/>
    </row>
    <row r="706" ht="15.75" customHeight="1">
      <c r="S706" s="239"/>
      <c r="AE706" s="174"/>
    </row>
    <row r="707" ht="15.75" customHeight="1">
      <c r="S707" s="239"/>
      <c r="AE707" s="174"/>
    </row>
    <row r="708" ht="15.75" customHeight="1">
      <c r="S708" s="239"/>
      <c r="AE708" s="174"/>
    </row>
    <row r="709" ht="15.75" customHeight="1">
      <c r="S709" s="239"/>
      <c r="AE709" s="174"/>
    </row>
    <row r="710" ht="15.75" customHeight="1">
      <c r="S710" s="239"/>
      <c r="AE710" s="174"/>
    </row>
    <row r="711" ht="15.75" customHeight="1">
      <c r="S711" s="239"/>
      <c r="AE711" s="174"/>
    </row>
    <row r="712" ht="15.75" customHeight="1">
      <c r="S712" s="239"/>
      <c r="AE712" s="174"/>
    </row>
    <row r="713" ht="15.75" customHeight="1">
      <c r="S713" s="239"/>
      <c r="AE713" s="174"/>
    </row>
    <row r="714" ht="15.75" customHeight="1">
      <c r="S714" s="239"/>
      <c r="AE714" s="174"/>
    </row>
    <row r="715" ht="15.75" customHeight="1">
      <c r="S715" s="239"/>
      <c r="AE715" s="174"/>
    </row>
    <row r="716" ht="15.75" customHeight="1">
      <c r="S716" s="239"/>
      <c r="AE716" s="174"/>
    </row>
    <row r="717" ht="15.75" customHeight="1">
      <c r="S717" s="239"/>
      <c r="AE717" s="174"/>
    </row>
    <row r="718" ht="15.75" customHeight="1">
      <c r="S718" s="239"/>
      <c r="AE718" s="174"/>
    </row>
    <row r="719" ht="15.75" customHeight="1">
      <c r="S719" s="239"/>
      <c r="AE719" s="174"/>
    </row>
    <row r="720" ht="15.75" customHeight="1">
      <c r="S720" s="239"/>
      <c r="AE720" s="174"/>
    </row>
    <row r="721" ht="15.75" customHeight="1">
      <c r="S721" s="239"/>
      <c r="AE721" s="174"/>
    </row>
    <row r="722" ht="15.75" customHeight="1">
      <c r="S722" s="239"/>
      <c r="AE722" s="174"/>
    </row>
    <row r="723" ht="15.75" customHeight="1">
      <c r="S723" s="239"/>
      <c r="AE723" s="174"/>
    </row>
    <row r="724" ht="15.75" customHeight="1">
      <c r="S724" s="239"/>
      <c r="AE724" s="174"/>
    </row>
    <row r="725" ht="15.75" customHeight="1">
      <c r="S725" s="239"/>
      <c r="AE725" s="174"/>
    </row>
    <row r="726" ht="15.75" customHeight="1">
      <c r="S726" s="239"/>
      <c r="AE726" s="174"/>
    </row>
    <row r="727" ht="15.75" customHeight="1">
      <c r="S727" s="239"/>
      <c r="AE727" s="174"/>
    </row>
    <row r="728" ht="15.75" customHeight="1">
      <c r="S728" s="239"/>
      <c r="AE728" s="174"/>
    </row>
    <row r="729" ht="15.75" customHeight="1">
      <c r="S729" s="239"/>
      <c r="AE729" s="174"/>
    </row>
    <row r="730" ht="15.75" customHeight="1">
      <c r="S730" s="239"/>
      <c r="AE730" s="174"/>
    </row>
    <row r="731" ht="15.75" customHeight="1">
      <c r="S731" s="239"/>
      <c r="AE731" s="174"/>
    </row>
    <row r="732" ht="15.75" customHeight="1">
      <c r="S732" s="239"/>
      <c r="AE732" s="174"/>
    </row>
    <row r="733" ht="15.75" customHeight="1">
      <c r="S733" s="239"/>
      <c r="AE733" s="174"/>
    </row>
    <row r="734" ht="15.75" customHeight="1">
      <c r="S734" s="239"/>
      <c r="AE734" s="174"/>
    </row>
    <row r="735" ht="15.75" customHeight="1">
      <c r="S735" s="239"/>
      <c r="AE735" s="174"/>
    </row>
    <row r="736" ht="15.75" customHeight="1">
      <c r="S736" s="239"/>
      <c r="AE736" s="174"/>
    </row>
    <row r="737" ht="15.75" customHeight="1">
      <c r="S737" s="239"/>
      <c r="AE737" s="174"/>
    </row>
    <row r="738" ht="15.75" customHeight="1">
      <c r="S738" s="239"/>
      <c r="AE738" s="174"/>
    </row>
    <row r="739" ht="15.75" customHeight="1">
      <c r="S739" s="239"/>
      <c r="AE739" s="174"/>
    </row>
    <row r="740" ht="15.75" customHeight="1">
      <c r="S740" s="239"/>
      <c r="AE740" s="174"/>
    </row>
    <row r="741" ht="15.75" customHeight="1">
      <c r="S741" s="239"/>
      <c r="AE741" s="174"/>
    </row>
    <row r="742" ht="15.75" customHeight="1">
      <c r="S742" s="239"/>
      <c r="AE742" s="174"/>
    </row>
    <row r="743" ht="15.75" customHeight="1">
      <c r="S743" s="239"/>
      <c r="AE743" s="174"/>
    </row>
    <row r="744" ht="15.75" customHeight="1">
      <c r="S744" s="239"/>
      <c r="AE744" s="174"/>
    </row>
    <row r="745" ht="15.75" customHeight="1">
      <c r="S745" s="239"/>
      <c r="AE745" s="174"/>
    </row>
    <row r="746" ht="15.75" customHeight="1">
      <c r="S746" s="239"/>
      <c r="AE746" s="174"/>
    </row>
    <row r="747" ht="15.75" customHeight="1">
      <c r="S747" s="239"/>
      <c r="AE747" s="174"/>
    </row>
    <row r="748" ht="15.75" customHeight="1">
      <c r="S748" s="239"/>
      <c r="AE748" s="174"/>
    </row>
    <row r="749" ht="15.75" customHeight="1">
      <c r="S749" s="239"/>
      <c r="AE749" s="174"/>
    </row>
    <row r="750" ht="15.75" customHeight="1">
      <c r="S750" s="239"/>
      <c r="AE750" s="174"/>
    </row>
    <row r="751" ht="15.75" customHeight="1">
      <c r="S751" s="239"/>
      <c r="AE751" s="174"/>
    </row>
    <row r="752" ht="15.75" customHeight="1">
      <c r="S752" s="239"/>
      <c r="AE752" s="174"/>
    </row>
    <row r="753" ht="15.75" customHeight="1">
      <c r="S753" s="239"/>
      <c r="AE753" s="174"/>
    </row>
    <row r="754" ht="15.75" customHeight="1">
      <c r="S754" s="239"/>
      <c r="AE754" s="174"/>
    </row>
    <row r="755" ht="15.75" customHeight="1">
      <c r="S755" s="239"/>
      <c r="AE755" s="174"/>
    </row>
    <row r="756" ht="15.75" customHeight="1">
      <c r="S756" s="239"/>
      <c r="AE756" s="174"/>
    </row>
    <row r="757" ht="15.75" customHeight="1">
      <c r="S757" s="239"/>
      <c r="AE757" s="174"/>
    </row>
    <row r="758" ht="15.75" customHeight="1">
      <c r="S758" s="239"/>
      <c r="AE758" s="174"/>
    </row>
    <row r="759" ht="15.75" customHeight="1">
      <c r="S759" s="239"/>
      <c r="AE759" s="174"/>
    </row>
    <row r="760" ht="15.75" customHeight="1">
      <c r="S760" s="239"/>
      <c r="AE760" s="174"/>
    </row>
    <row r="761" ht="15.75" customHeight="1">
      <c r="S761" s="239"/>
      <c r="AE761" s="174"/>
    </row>
    <row r="762" ht="15.75" customHeight="1">
      <c r="S762" s="239"/>
      <c r="AE762" s="174"/>
    </row>
    <row r="763" ht="15.75" customHeight="1">
      <c r="S763" s="239"/>
      <c r="AE763" s="174"/>
    </row>
    <row r="764" ht="15.75" customHeight="1">
      <c r="S764" s="239"/>
      <c r="AE764" s="174"/>
    </row>
    <row r="765" ht="15.75" customHeight="1">
      <c r="S765" s="239"/>
      <c r="AE765" s="174"/>
    </row>
    <row r="766" ht="15.75" customHeight="1">
      <c r="S766" s="239"/>
      <c r="AE766" s="174"/>
    </row>
    <row r="767" ht="15.75" customHeight="1">
      <c r="S767" s="239"/>
      <c r="AE767" s="174"/>
    </row>
    <row r="768" ht="15.75" customHeight="1">
      <c r="S768" s="239"/>
      <c r="AE768" s="174"/>
    </row>
    <row r="769" ht="15.75" customHeight="1">
      <c r="S769" s="239"/>
      <c r="AE769" s="174"/>
    </row>
    <row r="770" ht="15.75" customHeight="1">
      <c r="S770" s="239"/>
      <c r="AE770" s="174"/>
    </row>
    <row r="771" ht="15.75" customHeight="1">
      <c r="S771" s="239"/>
      <c r="AE771" s="174"/>
    </row>
    <row r="772" ht="15.75" customHeight="1">
      <c r="S772" s="239"/>
      <c r="AE772" s="174"/>
    </row>
    <row r="773" ht="15.75" customHeight="1">
      <c r="S773" s="239"/>
      <c r="AE773" s="174"/>
    </row>
    <row r="774" ht="15.75" customHeight="1">
      <c r="S774" s="239"/>
      <c r="AE774" s="174"/>
    </row>
    <row r="775" ht="15.75" customHeight="1">
      <c r="S775" s="239"/>
      <c r="AE775" s="174"/>
    </row>
    <row r="776" ht="15.75" customHeight="1">
      <c r="S776" s="239"/>
      <c r="AE776" s="174"/>
    </row>
    <row r="777" ht="15.75" customHeight="1">
      <c r="S777" s="239"/>
      <c r="AE777" s="174"/>
    </row>
    <row r="778" ht="15.75" customHeight="1">
      <c r="S778" s="239"/>
      <c r="AE778" s="174"/>
    </row>
    <row r="779" ht="15.75" customHeight="1">
      <c r="S779" s="239"/>
      <c r="AE779" s="174"/>
    </row>
    <row r="780" ht="15.75" customHeight="1">
      <c r="S780" s="239"/>
      <c r="AE780" s="174"/>
    </row>
    <row r="781" ht="15.75" customHeight="1">
      <c r="S781" s="239"/>
      <c r="AE781" s="174"/>
    </row>
    <row r="782" ht="15.75" customHeight="1">
      <c r="S782" s="239"/>
      <c r="AE782" s="174"/>
    </row>
    <row r="783" ht="15.75" customHeight="1">
      <c r="S783" s="239"/>
      <c r="AE783" s="174"/>
    </row>
    <row r="784" ht="15.75" customHeight="1">
      <c r="S784" s="239"/>
      <c r="AE784" s="174"/>
    </row>
    <row r="785" ht="15.75" customHeight="1">
      <c r="S785" s="239"/>
      <c r="AE785" s="174"/>
    </row>
    <row r="786" ht="15.75" customHeight="1">
      <c r="S786" s="239"/>
      <c r="AE786" s="174"/>
    </row>
    <row r="787" ht="15.75" customHeight="1">
      <c r="S787" s="239"/>
      <c r="AE787" s="174"/>
    </row>
    <row r="788" ht="15.75" customHeight="1">
      <c r="S788" s="239"/>
      <c r="AE788" s="174"/>
    </row>
    <row r="789" ht="15.75" customHeight="1">
      <c r="S789" s="239"/>
      <c r="AE789" s="174"/>
    </row>
    <row r="790" ht="15.75" customHeight="1">
      <c r="S790" s="239"/>
      <c r="AE790" s="174"/>
    </row>
    <row r="791" ht="15.75" customHeight="1">
      <c r="S791" s="239"/>
      <c r="AE791" s="174"/>
    </row>
    <row r="792" ht="15.75" customHeight="1">
      <c r="S792" s="239"/>
      <c r="AE792" s="174"/>
    </row>
    <row r="793" ht="15.75" customHeight="1">
      <c r="S793" s="239"/>
      <c r="AE793" s="174"/>
    </row>
    <row r="794" ht="15.75" customHeight="1">
      <c r="S794" s="239"/>
      <c r="AE794" s="174"/>
    </row>
    <row r="795" ht="15.75" customHeight="1">
      <c r="S795" s="239"/>
      <c r="AE795" s="174"/>
    </row>
    <row r="796" ht="15.75" customHeight="1">
      <c r="S796" s="239"/>
      <c r="AE796" s="174"/>
    </row>
    <row r="797" ht="15.75" customHeight="1">
      <c r="S797" s="239"/>
      <c r="AE797" s="174"/>
    </row>
    <row r="798" ht="15.75" customHeight="1">
      <c r="S798" s="239"/>
      <c r="AE798" s="174"/>
    </row>
    <row r="799" ht="15.75" customHeight="1">
      <c r="S799" s="239"/>
      <c r="AE799" s="174"/>
    </row>
    <row r="800" ht="15.75" customHeight="1">
      <c r="S800" s="239"/>
      <c r="AE800" s="174"/>
    </row>
    <row r="801" ht="15.75" customHeight="1">
      <c r="S801" s="239"/>
      <c r="AE801" s="174"/>
    </row>
    <row r="802" ht="15.75" customHeight="1">
      <c r="S802" s="239"/>
      <c r="AE802" s="174"/>
    </row>
    <row r="803" ht="15.75" customHeight="1">
      <c r="S803" s="239"/>
      <c r="AE803" s="174"/>
    </row>
    <row r="804" ht="15.75" customHeight="1">
      <c r="S804" s="239"/>
      <c r="AE804" s="174"/>
    </row>
    <row r="805" ht="15.75" customHeight="1">
      <c r="S805" s="239"/>
      <c r="AE805" s="174"/>
    </row>
    <row r="806" ht="15.75" customHeight="1">
      <c r="S806" s="239"/>
      <c r="AE806" s="174"/>
    </row>
    <row r="807" ht="15.75" customHeight="1">
      <c r="S807" s="239"/>
      <c r="AE807" s="174"/>
    </row>
    <row r="808" ht="15.75" customHeight="1">
      <c r="S808" s="239"/>
      <c r="AE808" s="174"/>
    </row>
    <row r="809" ht="15.75" customHeight="1">
      <c r="S809" s="239"/>
      <c r="AE809" s="174"/>
    </row>
    <row r="810" ht="15.75" customHeight="1">
      <c r="S810" s="239"/>
      <c r="AE810" s="174"/>
    </row>
    <row r="811" ht="15.75" customHeight="1">
      <c r="S811" s="239"/>
      <c r="AE811" s="174"/>
    </row>
    <row r="812" ht="15.75" customHeight="1">
      <c r="S812" s="239"/>
      <c r="AE812" s="174"/>
    </row>
    <row r="813" ht="15.75" customHeight="1">
      <c r="S813" s="239"/>
      <c r="AE813" s="174"/>
    </row>
    <row r="814" ht="15.75" customHeight="1">
      <c r="S814" s="239"/>
      <c r="AE814" s="174"/>
    </row>
    <row r="815" ht="15.75" customHeight="1">
      <c r="S815" s="239"/>
      <c r="AE815" s="174"/>
    </row>
    <row r="816" ht="15.75" customHeight="1">
      <c r="S816" s="239"/>
      <c r="AE816" s="174"/>
    </row>
    <row r="817" ht="15.75" customHeight="1">
      <c r="S817" s="239"/>
      <c r="AE817" s="174"/>
    </row>
    <row r="818" ht="15.75" customHeight="1">
      <c r="S818" s="239"/>
      <c r="AE818" s="174"/>
    </row>
    <row r="819" ht="15.75" customHeight="1">
      <c r="S819" s="239"/>
      <c r="AE819" s="174"/>
    </row>
    <row r="820" ht="15.75" customHeight="1">
      <c r="S820" s="239"/>
      <c r="AE820" s="174"/>
    </row>
    <row r="821" ht="15.75" customHeight="1">
      <c r="S821" s="239"/>
      <c r="AE821" s="174"/>
    </row>
    <row r="822" ht="15.75" customHeight="1">
      <c r="S822" s="239"/>
      <c r="AE822" s="174"/>
    </row>
    <row r="823" ht="15.75" customHeight="1">
      <c r="S823" s="239"/>
      <c r="AE823" s="174"/>
    </row>
    <row r="824" ht="15.75" customHeight="1">
      <c r="S824" s="239"/>
      <c r="AE824" s="174"/>
    </row>
    <row r="825" ht="15.75" customHeight="1">
      <c r="S825" s="239"/>
      <c r="AE825" s="174"/>
    </row>
    <row r="826" ht="15.75" customHeight="1">
      <c r="S826" s="239"/>
      <c r="AE826" s="174"/>
    </row>
    <row r="827" ht="15.75" customHeight="1">
      <c r="S827" s="239"/>
      <c r="AE827" s="174"/>
    </row>
    <row r="828" ht="15.75" customHeight="1">
      <c r="S828" s="239"/>
      <c r="AE828" s="174"/>
    </row>
    <row r="829" ht="15.75" customHeight="1">
      <c r="S829" s="239"/>
      <c r="AE829" s="174"/>
    </row>
    <row r="830" ht="15.75" customHeight="1">
      <c r="S830" s="239"/>
      <c r="AE830" s="174"/>
    </row>
    <row r="831" ht="15.75" customHeight="1">
      <c r="S831" s="239"/>
      <c r="AE831" s="174"/>
    </row>
    <row r="832" ht="15.75" customHeight="1">
      <c r="S832" s="239"/>
      <c r="AE832" s="174"/>
    </row>
    <row r="833" ht="15.75" customHeight="1">
      <c r="S833" s="239"/>
      <c r="AE833" s="174"/>
    </row>
    <row r="834" ht="15.75" customHeight="1">
      <c r="S834" s="239"/>
      <c r="AE834" s="174"/>
    </row>
    <row r="835" ht="15.75" customHeight="1">
      <c r="S835" s="239"/>
      <c r="AE835" s="174"/>
    </row>
    <row r="836" ht="15.75" customHeight="1">
      <c r="S836" s="239"/>
      <c r="AE836" s="174"/>
    </row>
    <row r="837" ht="15.75" customHeight="1">
      <c r="S837" s="239"/>
      <c r="AE837" s="174"/>
    </row>
    <row r="838" ht="15.75" customHeight="1">
      <c r="S838" s="239"/>
      <c r="AE838" s="174"/>
    </row>
    <row r="839" ht="15.75" customHeight="1">
      <c r="S839" s="239"/>
      <c r="AE839" s="174"/>
    </row>
    <row r="840" ht="15.75" customHeight="1">
      <c r="S840" s="239"/>
      <c r="AE840" s="174"/>
    </row>
    <row r="841" ht="15.75" customHeight="1">
      <c r="S841" s="239"/>
      <c r="AE841" s="174"/>
    </row>
    <row r="842" ht="15.75" customHeight="1">
      <c r="S842" s="239"/>
      <c r="AE842" s="174"/>
    </row>
    <row r="843" ht="15.75" customHeight="1">
      <c r="S843" s="239"/>
      <c r="AE843" s="174"/>
    </row>
    <row r="844" ht="15.75" customHeight="1">
      <c r="S844" s="239"/>
      <c r="AE844" s="174"/>
    </row>
    <row r="845" ht="15.75" customHeight="1">
      <c r="S845" s="239"/>
      <c r="AE845" s="174"/>
    </row>
    <row r="846" ht="15.75" customHeight="1">
      <c r="S846" s="239"/>
      <c r="AE846" s="174"/>
    </row>
    <row r="847" ht="15.75" customHeight="1">
      <c r="S847" s="239"/>
      <c r="AE847" s="174"/>
    </row>
    <row r="848" ht="15.75" customHeight="1">
      <c r="S848" s="239"/>
      <c r="AE848" s="174"/>
    </row>
    <row r="849" ht="15.75" customHeight="1">
      <c r="S849" s="239"/>
      <c r="AE849" s="174"/>
    </row>
    <row r="850" ht="15.75" customHeight="1">
      <c r="S850" s="239"/>
      <c r="AE850" s="174"/>
    </row>
    <row r="851" ht="15.75" customHeight="1">
      <c r="S851" s="239"/>
      <c r="AE851" s="174"/>
    </row>
    <row r="852" ht="15.75" customHeight="1">
      <c r="S852" s="239"/>
      <c r="AE852" s="174"/>
    </row>
    <row r="853" ht="15.75" customHeight="1">
      <c r="S853" s="239"/>
      <c r="AE853" s="174"/>
    </row>
    <row r="854" ht="15.75" customHeight="1">
      <c r="S854" s="239"/>
      <c r="AE854" s="174"/>
    </row>
    <row r="855" ht="15.75" customHeight="1">
      <c r="S855" s="239"/>
      <c r="AE855" s="174"/>
    </row>
    <row r="856" ht="15.75" customHeight="1">
      <c r="S856" s="239"/>
      <c r="AE856" s="174"/>
    </row>
    <row r="857" ht="15.75" customHeight="1">
      <c r="S857" s="239"/>
      <c r="AE857" s="174"/>
    </row>
    <row r="858" ht="15.75" customHeight="1">
      <c r="S858" s="239"/>
      <c r="AE858" s="174"/>
    </row>
    <row r="859" ht="15.75" customHeight="1">
      <c r="S859" s="239"/>
      <c r="AE859" s="174"/>
    </row>
    <row r="860" ht="15.75" customHeight="1">
      <c r="S860" s="239"/>
      <c r="AE860" s="174"/>
    </row>
    <row r="861" ht="15.75" customHeight="1">
      <c r="S861" s="239"/>
      <c r="AE861" s="174"/>
    </row>
    <row r="862" ht="15.75" customHeight="1">
      <c r="S862" s="239"/>
      <c r="AE862" s="174"/>
    </row>
    <row r="863" ht="15.75" customHeight="1">
      <c r="S863" s="239"/>
      <c r="AE863" s="174"/>
    </row>
    <row r="864" ht="15.75" customHeight="1">
      <c r="S864" s="239"/>
      <c r="AE864" s="174"/>
    </row>
    <row r="865" ht="15.75" customHeight="1">
      <c r="S865" s="239"/>
      <c r="AE865" s="174"/>
    </row>
    <row r="866" ht="15.75" customHeight="1">
      <c r="S866" s="239"/>
      <c r="AE866" s="174"/>
    </row>
    <row r="867" ht="15.75" customHeight="1">
      <c r="S867" s="239"/>
      <c r="AE867" s="174"/>
    </row>
    <row r="868" ht="15.75" customHeight="1">
      <c r="S868" s="239"/>
      <c r="AE868" s="174"/>
    </row>
    <row r="869" ht="15.75" customHeight="1">
      <c r="S869" s="239"/>
      <c r="AE869" s="174"/>
    </row>
    <row r="870" ht="15.75" customHeight="1">
      <c r="S870" s="239"/>
      <c r="AE870" s="174"/>
    </row>
    <row r="871" ht="15.75" customHeight="1">
      <c r="S871" s="239"/>
      <c r="AE871" s="174"/>
    </row>
    <row r="872" ht="15.75" customHeight="1">
      <c r="S872" s="239"/>
      <c r="AE872" s="174"/>
    </row>
    <row r="873" ht="15.75" customHeight="1">
      <c r="S873" s="239"/>
      <c r="AE873" s="174"/>
    </row>
    <row r="874" ht="15.75" customHeight="1">
      <c r="S874" s="239"/>
      <c r="AE874" s="174"/>
    </row>
    <row r="875" ht="15.75" customHeight="1">
      <c r="S875" s="239"/>
      <c r="AE875" s="174"/>
    </row>
    <row r="876" ht="15.75" customHeight="1">
      <c r="S876" s="239"/>
      <c r="AE876" s="174"/>
    </row>
    <row r="877" ht="15.75" customHeight="1">
      <c r="S877" s="239"/>
      <c r="AE877" s="174"/>
    </row>
    <row r="878" ht="15.75" customHeight="1">
      <c r="S878" s="239"/>
      <c r="AE878" s="174"/>
    </row>
    <row r="879" ht="15.75" customHeight="1">
      <c r="S879" s="239"/>
      <c r="AE879" s="174"/>
    </row>
    <row r="880" ht="15.75" customHeight="1">
      <c r="S880" s="239"/>
      <c r="AE880" s="174"/>
    </row>
    <row r="881" ht="15.75" customHeight="1">
      <c r="S881" s="239"/>
      <c r="AE881" s="174"/>
    </row>
    <row r="882" ht="15.75" customHeight="1">
      <c r="S882" s="239"/>
      <c r="AE882" s="174"/>
    </row>
    <row r="883" ht="15.75" customHeight="1">
      <c r="S883" s="239"/>
      <c r="AE883" s="174"/>
    </row>
    <row r="884" ht="15.75" customHeight="1">
      <c r="S884" s="239"/>
      <c r="AE884" s="174"/>
    </row>
    <row r="885" ht="15.75" customHeight="1">
      <c r="S885" s="239"/>
      <c r="AE885" s="174"/>
    </row>
    <row r="886" ht="15.75" customHeight="1">
      <c r="S886" s="239"/>
      <c r="AE886" s="174"/>
    </row>
    <row r="887" ht="15.75" customHeight="1">
      <c r="S887" s="239"/>
      <c r="AE887" s="174"/>
    </row>
    <row r="888" ht="15.75" customHeight="1">
      <c r="S888" s="239"/>
      <c r="AE888" s="174"/>
    </row>
    <row r="889" ht="15.75" customHeight="1">
      <c r="S889" s="239"/>
      <c r="AE889" s="174"/>
    </row>
    <row r="890" ht="15.75" customHeight="1">
      <c r="S890" s="239"/>
      <c r="AE890" s="174"/>
    </row>
    <row r="891" ht="15.75" customHeight="1">
      <c r="S891" s="239"/>
      <c r="AE891" s="174"/>
    </row>
    <row r="892" ht="15.75" customHeight="1">
      <c r="S892" s="239"/>
      <c r="AE892" s="174"/>
    </row>
    <row r="893" ht="15.75" customHeight="1">
      <c r="S893" s="239"/>
      <c r="AE893" s="174"/>
    </row>
    <row r="894" ht="15.75" customHeight="1">
      <c r="S894" s="239"/>
      <c r="AE894" s="174"/>
    </row>
    <row r="895" ht="15.75" customHeight="1">
      <c r="S895" s="239"/>
      <c r="AE895" s="174"/>
    </row>
    <row r="896" ht="15.75" customHeight="1">
      <c r="S896" s="239"/>
      <c r="AE896" s="174"/>
    </row>
    <row r="897" ht="15.75" customHeight="1">
      <c r="S897" s="239"/>
      <c r="AE897" s="174"/>
    </row>
    <row r="898" ht="15.75" customHeight="1">
      <c r="S898" s="239"/>
      <c r="AE898" s="174"/>
    </row>
    <row r="899" ht="15.75" customHeight="1">
      <c r="S899" s="239"/>
      <c r="AE899" s="174"/>
    </row>
    <row r="900" ht="15.75" customHeight="1">
      <c r="S900" s="239"/>
      <c r="AE900" s="174"/>
    </row>
    <row r="901" ht="15.75" customHeight="1">
      <c r="S901" s="239"/>
      <c r="AE901" s="174"/>
    </row>
    <row r="902" ht="15.75" customHeight="1">
      <c r="S902" s="239"/>
      <c r="AE902" s="174"/>
    </row>
    <row r="903" ht="15.75" customHeight="1">
      <c r="S903" s="239"/>
      <c r="AE903" s="174"/>
    </row>
    <row r="904" ht="15.75" customHeight="1">
      <c r="S904" s="239"/>
      <c r="AE904" s="174"/>
    </row>
    <row r="905" ht="15.75" customHeight="1">
      <c r="S905" s="239"/>
      <c r="AE905" s="174"/>
    </row>
    <row r="906" ht="15.75" customHeight="1">
      <c r="S906" s="239"/>
      <c r="AE906" s="174"/>
    </row>
    <row r="907" ht="15.75" customHeight="1">
      <c r="S907" s="239"/>
      <c r="AE907" s="174"/>
    </row>
    <row r="908" ht="15.75" customHeight="1">
      <c r="S908" s="239"/>
      <c r="AE908" s="174"/>
    </row>
    <row r="909" ht="15.75" customHeight="1">
      <c r="S909" s="239"/>
      <c r="AE909" s="174"/>
    </row>
    <row r="910" ht="15.75" customHeight="1">
      <c r="S910" s="239"/>
      <c r="AE910" s="174"/>
    </row>
    <row r="911" ht="15.75" customHeight="1">
      <c r="S911" s="239"/>
      <c r="AE911" s="174"/>
    </row>
    <row r="912" ht="15.75" customHeight="1">
      <c r="S912" s="239"/>
      <c r="AE912" s="174"/>
    </row>
    <row r="913" ht="15.75" customHeight="1">
      <c r="S913" s="239"/>
      <c r="AE913" s="174"/>
    </row>
    <row r="914" ht="15.75" customHeight="1">
      <c r="S914" s="239"/>
      <c r="AE914" s="174"/>
    </row>
    <row r="915" ht="15.75" customHeight="1">
      <c r="S915" s="239"/>
      <c r="AE915" s="174"/>
    </row>
    <row r="916" ht="15.75" customHeight="1">
      <c r="S916" s="239"/>
      <c r="AE916" s="174"/>
    </row>
    <row r="917" ht="15.75" customHeight="1">
      <c r="S917" s="239"/>
      <c r="AE917" s="174"/>
    </row>
    <row r="918" ht="15.75" customHeight="1">
      <c r="S918" s="239"/>
      <c r="AE918" s="174"/>
    </row>
    <row r="919" ht="15.75" customHeight="1">
      <c r="S919" s="239"/>
      <c r="AE919" s="174"/>
    </row>
    <row r="920" ht="15.75" customHeight="1">
      <c r="S920" s="239"/>
      <c r="AE920" s="174"/>
    </row>
    <row r="921" ht="15.75" customHeight="1">
      <c r="S921" s="239"/>
      <c r="AE921" s="174"/>
    </row>
    <row r="922" ht="15.75" customHeight="1">
      <c r="S922" s="239"/>
      <c r="AE922" s="174"/>
    </row>
    <row r="923" ht="15.75" customHeight="1">
      <c r="S923" s="239"/>
      <c r="AE923" s="174"/>
    </row>
    <row r="924" ht="15.75" customHeight="1">
      <c r="S924" s="239"/>
      <c r="AE924" s="174"/>
    </row>
    <row r="925" ht="15.75" customHeight="1">
      <c r="S925" s="239"/>
      <c r="AE925" s="174"/>
    </row>
    <row r="926" ht="15.75" customHeight="1">
      <c r="S926" s="239"/>
      <c r="AE926" s="174"/>
    </row>
    <row r="927" ht="15.75" customHeight="1">
      <c r="S927" s="239"/>
      <c r="AE927" s="174"/>
    </row>
    <row r="928" ht="15.75" customHeight="1">
      <c r="S928" s="239"/>
      <c r="AE928" s="174"/>
    </row>
    <row r="929" ht="15.75" customHeight="1">
      <c r="S929" s="239"/>
      <c r="AE929" s="174"/>
    </row>
    <row r="930" ht="15.75" customHeight="1">
      <c r="S930" s="239"/>
      <c r="AE930" s="174"/>
    </row>
    <row r="931" ht="15.75" customHeight="1">
      <c r="S931" s="239"/>
      <c r="AE931" s="174"/>
    </row>
    <row r="932" ht="15.75" customHeight="1">
      <c r="S932" s="239"/>
      <c r="AE932" s="174"/>
    </row>
    <row r="933" ht="15.75" customHeight="1">
      <c r="S933" s="239"/>
      <c r="AE933" s="174"/>
    </row>
    <row r="934" ht="15.75" customHeight="1">
      <c r="S934" s="239"/>
      <c r="AE934" s="174"/>
    </row>
    <row r="935" ht="15.75" customHeight="1">
      <c r="S935" s="239"/>
      <c r="AE935" s="174"/>
    </row>
    <row r="936" ht="15.75" customHeight="1">
      <c r="S936" s="239"/>
      <c r="AE936" s="174"/>
    </row>
    <row r="937" ht="15.75" customHeight="1">
      <c r="S937" s="239"/>
      <c r="AE937" s="174"/>
    </row>
    <row r="938" ht="15.75" customHeight="1">
      <c r="S938" s="239"/>
      <c r="AE938" s="174"/>
    </row>
    <row r="939" ht="15.75" customHeight="1">
      <c r="S939" s="239"/>
      <c r="AE939" s="174"/>
    </row>
    <row r="940" ht="15.75" customHeight="1">
      <c r="S940" s="239"/>
      <c r="AE940" s="174"/>
    </row>
    <row r="941" ht="15.75" customHeight="1">
      <c r="S941" s="239"/>
      <c r="AE941" s="174"/>
    </row>
    <row r="942" ht="15.75" customHeight="1">
      <c r="S942" s="239"/>
      <c r="AE942" s="174"/>
    </row>
    <row r="943" ht="15.75" customHeight="1">
      <c r="S943" s="239"/>
      <c r="AE943" s="174"/>
    </row>
    <row r="944" ht="15.75" customHeight="1">
      <c r="S944" s="239"/>
      <c r="AE944" s="174"/>
    </row>
    <row r="945" ht="15.75" customHeight="1">
      <c r="S945" s="239"/>
      <c r="AE945" s="174"/>
    </row>
    <row r="946" ht="15.75" customHeight="1">
      <c r="S946" s="239"/>
      <c r="AE946" s="174"/>
    </row>
    <row r="947" ht="15.75" customHeight="1">
      <c r="S947" s="239"/>
      <c r="AE947" s="174"/>
    </row>
    <row r="948" ht="15.75" customHeight="1">
      <c r="S948" s="239"/>
      <c r="AE948" s="174"/>
    </row>
    <row r="949" ht="15.75" customHeight="1">
      <c r="S949" s="239"/>
      <c r="AE949" s="174"/>
    </row>
    <row r="950" ht="15.75" customHeight="1">
      <c r="S950" s="239"/>
      <c r="AE950" s="174"/>
    </row>
    <row r="951" ht="15.75" customHeight="1">
      <c r="S951" s="239"/>
      <c r="AE951" s="174"/>
    </row>
    <row r="952" ht="15.75" customHeight="1">
      <c r="S952" s="239"/>
      <c r="AE952" s="174"/>
    </row>
    <row r="953" ht="15.75" customHeight="1">
      <c r="S953" s="239"/>
      <c r="AE953" s="174"/>
    </row>
    <row r="954" ht="15.75" customHeight="1">
      <c r="S954" s="239"/>
      <c r="AE954" s="174"/>
    </row>
    <row r="955" ht="15.75" customHeight="1">
      <c r="S955" s="239"/>
      <c r="AE955" s="174"/>
    </row>
    <row r="956" ht="15.75" customHeight="1">
      <c r="S956" s="239"/>
      <c r="AE956" s="174"/>
    </row>
    <row r="957" ht="15.75" customHeight="1">
      <c r="S957" s="239"/>
      <c r="AE957" s="174"/>
    </row>
    <row r="958" ht="15.75" customHeight="1">
      <c r="S958" s="239"/>
      <c r="AE958" s="174"/>
    </row>
    <row r="959" ht="15.75" customHeight="1">
      <c r="S959" s="239"/>
      <c r="AE959" s="174"/>
    </row>
    <row r="960" ht="15.75" customHeight="1">
      <c r="S960" s="239"/>
      <c r="AE960" s="174"/>
    </row>
    <row r="961" ht="15.75" customHeight="1">
      <c r="S961" s="239"/>
      <c r="AE961" s="174"/>
    </row>
    <row r="962" ht="15.75" customHeight="1">
      <c r="S962" s="239"/>
      <c r="AE962" s="174"/>
    </row>
    <row r="963" ht="15.75" customHeight="1">
      <c r="S963" s="239"/>
      <c r="AE963" s="174"/>
    </row>
    <row r="964" ht="15.75" customHeight="1">
      <c r="S964" s="239"/>
      <c r="AE964" s="174"/>
    </row>
    <row r="965" ht="15.75" customHeight="1">
      <c r="S965" s="239"/>
      <c r="AE965" s="174"/>
    </row>
    <row r="966" ht="15.75" customHeight="1">
      <c r="S966" s="239"/>
      <c r="AE966" s="174"/>
    </row>
    <row r="967" ht="15.75" customHeight="1">
      <c r="S967" s="239"/>
      <c r="AE967" s="174"/>
    </row>
    <row r="968" ht="15.75" customHeight="1">
      <c r="S968" s="239"/>
      <c r="AE968" s="174"/>
    </row>
    <row r="969" ht="15.75" customHeight="1">
      <c r="S969" s="239"/>
      <c r="AE969" s="174"/>
    </row>
    <row r="970" ht="15.75" customHeight="1">
      <c r="S970" s="239"/>
      <c r="AE970" s="174"/>
    </row>
    <row r="971" ht="15.75" customHeight="1">
      <c r="S971" s="239"/>
      <c r="AE971" s="174"/>
    </row>
    <row r="972" ht="15.75" customHeight="1">
      <c r="S972" s="239"/>
      <c r="AE972" s="174"/>
    </row>
    <row r="973" ht="15.75" customHeight="1">
      <c r="S973" s="239"/>
      <c r="AE973" s="174"/>
    </row>
    <row r="974" ht="15.75" customHeight="1">
      <c r="S974" s="239"/>
      <c r="AE974" s="174"/>
    </row>
    <row r="975" ht="15.75" customHeight="1">
      <c r="S975" s="239"/>
      <c r="AE975" s="174"/>
    </row>
    <row r="976" ht="15.75" customHeight="1">
      <c r="S976" s="239"/>
      <c r="AE976" s="174"/>
    </row>
    <row r="977" ht="15.75" customHeight="1">
      <c r="S977" s="239"/>
      <c r="AE977" s="174"/>
    </row>
    <row r="978" ht="15.75" customHeight="1">
      <c r="S978" s="239"/>
      <c r="AE978" s="174"/>
    </row>
    <row r="979" ht="15.75" customHeight="1">
      <c r="S979" s="239"/>
      <c r="AE979" s="174"/>
    </row>
    <row r="980" ht="15.75" customHeight="1">
      <c r="S980" s="239"/>
      <c r="AE980" s="174"/>
    </row>
    <row r="981" ht="15.75" customHeight="1">
      <c r="S981" s="239"/>
      <c r="AE981" s="174"/>
    </row>
    <row r="982" ht="15.75" customHeight="1">
      <c r="S982" s="239"/>
      <c r="AE982" s="174"/>
    </row>
    <row r="983" ht="15.75" customHeight="1">
      <c r="S983" s="239"/>
      <c r="AE983" s="174"/>
    </row>
    <row r="984" ht="15.75" customHeight="1">
      <c r="S984" s="239"/>
      <c r="AE984" s="174"/>
    </row>
    <row r="985" ht="15.75" customHeight="1">
      <c r="S985" s="239"/>
      <c r="AE985" s="174"/>
    </row>
    <row r="986" ht="15.75" customHeight="1">
      <c r="S986" s="239"/>
      <c r="AE986" s="174"/>
    </row>
    <row r="987" ht="15.75" customHeight="1">
      <c r="S987" s="239"/>
      <c r="AE987" s="174"/>
    </row>
    <row r="988" ht="15.75" customHeight="1">
      <c r="S988" s="239"/>
      <c r="AE988" s="174"/>
    </row>
    <row r="989" ht="15.75" customHeight="1">
      <c r="S989" s="239"/>
      <c r="AE989" s="174"/>
    </row>
    <row r="990" ht="15.75" customHeight="1">
      <c r="S990" s="239"/>
      <c r="AE990" s="174"/>
    </row>
    <row r="991" ht="15.75" customHeight="1">
      <c r="S991" s="239"/>
      <c r="AE991" s="174"/>
    </row>
    <row r="992" ht="15.75" customHeight="1">
      <c r="S992" s="239"/>
      <c r="AE992" s="174"/>
    </row>
    <row r="993" ht="15.75" customHeight="1">
      <c r="S993" s="239"/>
      <c r="AE993" s="174"/>
    </row>
    <row r="994" ht="15.75" customHeight="1">
      <c r="S994" s="239"/>
      <c r="AE994" s="174"/>
    </row>
    <row r="995" ht="15.75" customHeight="1">
      <c r="S995" s="239"/>
      <c r="AE995" s="174"/>
    </row>
    <row r="996" ht="15.75" customHeight="1">
      <c r="S996" s="239"/>
      <c r="AE996" s="174"/>
    </row>
    <row r="997" ht="15.75" customHeight="1">
      <c r="S997" s="239"/>
      <c r="AE997" s="174"/>
    </row>
    <row r="998" ht="15.75" customHeight="1">
      <c r="S998" s="239"/>
      <c r="AE998" s="174"/>
    </row>
    <row r="999" ht="15.75" customHeight="1">
      <c r="S999" s="239"/>
      <c r="AE999" s="174"/>
    </row>
    <row r="1000" ht="15.75" customHeight="1">
      <c r="S1000" s="239"/>
      <c r="AE1000" s="174"/>
    </row>
    <row r="1001" ht="15.75" customHeight="1">
      <c r="S1001" s="239"/>
      <c r="AE1001" s="174"/>
    </row>
    <row r="1002" ht="15.75" customHeight="1">
      <c r="S1002" s="239"/>
      <c r="AE1002" s="174"/>
    </row>
    <row r="1003" ht="15.75" customHeight="1">
      <c r="S1003" s="239"/>
      <c r="AE1003" s="174"/>
    </row>
  </sheetData>
  <dataValidations>
    <dataValidation type="list" allowBlank="1" showErrorMessage="1" sqref="Z2:AD6">
      <formula1>"A+,A,B,C,D,E"</formula1>
    </dataValidation>
  </dataValidations>
  <hyperlinks>
    <hyperlink r:id="rId1" ref="AE2"/>
    <hyperlink r:id="rId2" ref="AE3"/>
  </hyperlinks>
  <printOptions gridLines="1" horizontalCentered="1"/>
  <pageMargins bottom="0.75" footer="0.0" header="0.0" left="0.7" right="0.7" top="0.75"/>
  <pageSetup fitToHeight="0" cellComments="atEnd" orientation="landscape" pageOrder="overThenDown"/>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4.13"/>
    <col customWidth="1" min="3" max="3" width="27.5"/>
    <col customWidth="1" min="4" max="4" width="17.63"/>
    <col customWidth="1" min="5" max="5" width="17.38"/>
    <col customWidth="1" min="6" max="6" width="16.38"/>
    <col customWidth="1" min="7" max="9" width="16.5"/>
    <col customWidth="1" min="10" max="27" width="8.63"/>
  </cols>
  <sheetData>
    <row r="1" ht="12.0" customHeight="1">
      <c r="A1" s="113"/>
      <c r="B1" s="260"/>
      <c r="C1" s="130"/>
      <c r="E1" s="130"/>
    </row>
    <row r="2" ht="12.0" customHeight="1">
      <c r="B2" s="260"/>
      <c r="C2" s="130"/>
      <c r="E2" s="130"/>
    </row>
    <row r="3" ht="12.0" customHeight="1">
      <c r="A3" s="2"/>
      <c r="B3" s="261"/>
      <c r="C3" s="262"/>
      <c r="D3" s="2"/>
      <c r="E3" s="262"/>
      <c r="F3" s="2"/>
      <c r="G3" s="2"/>
      <c r="H3" s="2"/>
      <c r="I3" s="2"/>
    </row>
    <row r="4" ht="12.0" customHeight="1">
      <c r="A4" s="2"/>
      <c r="B4" s="261"/>
      <c r="C4" s="262"/>
      <c r="D4" s="2"/>
      <c r="E4" s="262"/>
      <c r="F4" s="2"/>
      <c r="G4" s="2"/>
      <c r="H4" s="2"/>
      <c r="I4" s="2"/>
    </row>
    <row r="5" ht="12.0" customHeight="1">
      <c r="A5" s="2"/>
      <c r="B5" s="261"/>
      <c r="C5" s="262"/>
      <c r="D5" s="2"/>
      <c r="E5" s="262"/>
      <c r="F5" s="2"/>
      <c r="G5" s="2"/>
      <c r="H5" s="2"/>
      <c r="I5" s="2"/>
    </row>
    <row r="6" ht="12.0" customHeight="1">
      <c r="A6" s="2"/>
      <c r="B6" s="261"/>
      <c r="C6" s="262"/>
      <c r="D6" s="2"/>
      <c r="E6" s="262"/>
      <c r="F6" s="2"/>
      <c r="G6" s="2"/>
      <c r="H6" s="2"/>
      <c r="I6" s="2"/>
    </row>
    <row r="7" ht="12.0" customHeight="1">
      <c r="A7" s="2"/>
      <c r="B7" s="261"/>
      <c r="C7" s="262"/>
      <c r="D7" s="2"/>
      <c r="E7" s="262"/>
      <c r="F7" s="2"/>
      <c r="G7" s="2"/>
      <c r="H7" s="2"/>
      <c r="I7" s="2"/>
    </row>
    <row r="8" ht="12.0" customHeight="1">
      <c r="A8" s="2"/>
      <c r="B8" s="261"/>
      <c r="C8" s="262"/>
      <c r="D8" s="2"/>
      <c r="E8" s="262"/>
      <c r="F8" s="2"/>
      <c r="G8" s="2"/>
      <c r="H8" s="2"/>
      <c r="I8" s="2"/>
    </row>
    <row r="9" ht="12.0" customHeight="1">
      <c r="A9" s="2"/>
      <c r="B9" s="261"/>
      <c r="C9" s="262"/>
      <c r="D9" s="2"/>
      <c r="E9" s="262"/>
      <c r="F9" s="2"/>
      <c r="G9" s="2"/>
      <c r="H9" s="2"/>
      <c r="I9" s="2"/>
    </row>
    <row r="10" ht="12.0" customHeight="1">
      <c r="A10" s="2"/>
      <c r="B10" s="261"/>
      <c r="C10" s="262"/>
      <c r="D10" s="2"/>
      <c r="E10" s="262"/>
      <c r="F10" s="2"/>
      <c r="G10" s="2"/>
      <c r="H10" s="2"/>
      <c r="I10" s="2"/>
    </row>
    <row r="11" ht="12.0" customHeight="1">
      <c r="A11" s="2"/>
      <c r="B11" s="261"/>
      <c r="C11" s="262"/>
      <c r="D11" s="2"/>
      <c r="E11" s="262"/>
      <c r="F11" s="2"/>
      <c r="G11" s="2"/>
      <c r="H11" s="2"/>
      <c r="I11" s="2"/>
    </row>
    <row r="12" ht="12.0" customHeight="1">
      <c r="A12" s="2"/>
      <c r="B12" s="261"/>
      <c r="C12" s="262"/>
      <c r="D12" s="2"/>
      <c r="E12" s="262"/>
      <c r="F12" s="2"/>
      <c r="G12" s="2"/>
      <c r="H12" s="2"/>
      <c r="I12" s="2"/>
    </row>
    <row r="13" ht="12.0" customHeight="1">
      <c r="A13" s="2"/>
      <c r="B13" s="261"/>
      <c r="C13" s="262"/>
      <c r="D13" s="2"/>
      <c r="E13" s="262"/>
      <c r="F13" s="2"/>
      <c r="G13" s="2"/>
      <c r="H13" s="2"/>
      <c r="I13" s="2"/>
    </row>
    <row r="14" ht="12.0" customHeight="1">
      <c r="A14" s="2"/>
      <c r="B14" s="261"/>
      <c r="C14" s="262"/>
      <c r="D14" s="2"/>
      <c r="E14" s="262"/>
      <c r="F14" s="2"/>
      <c r="G14" s="2"/>
      <c r="H14" s="2"/>
      <c r="I14" s="2"/>
    </row>
    <row r="15" ht="12.0" customHeight="1">
      <c r="A15" s="2"/>
      <c r="B15" s="261"/>
      <c r="C15" s="262"/>
      <c r="D15" s="2"/>
      <c r="E15" s="262"/>
      <c r="F15" s="2"/>
      <c r="G15" s="2"/>
      <c r="H15" s="2"/>
      <c r="I15" s="2"/>
    </row>
    <row r="16" ht="12.0" customHeight="1">
      <c r="A16" s="2"/>
      <c r="B16" s="261"/>
      <c r="C16" s="262"/>
      <c r="D16" s="2"/>
      <c r="E16" s="262"/>
      <c r="F16" s="2"/>
      <c r="G16" s="2"/>
      <c r="H16" s="2"/>
      <c r="I16" s="2"/>
    </row>
    <row r="17" ht="12.0" customHeight="1">
      <c r="A17" s="2"/>
      <c r="B17" s="261"/>
      <c r="C17" s="262"/>
      <c r="D17" s="2"/>
      <c r="E17" s="262"/>
      <c r="F17" s="2"/>
      <c r="G17" s="2"/>
      <c r="H17" s="2"/>
      <c r="I17" s="2"/>
    </row>
    <row r="18" ht="12.0" customHeight="1">
      <c r="A18" s="2"/>
      <c r="B18" s="261"/>
      <c r="C18" s="262"/>
      <c r="D18" s="2"/>
      <c r="E18" s="262"/>
      <c r="F18" s="2"/>
      <c r="G18" s="2"/>
      <c r="H18" s="2"/>
      <c r="I18" s="2"/>
    </row>
    <row r="19" ht="12.0" customHeight="1">
      <c r="A19" s="2"/>
      <c r="B19" s="261"/>
      <c r="C19" s="262"/>
      <c r="D19" s="2"/>
      <c r="E19" s="262"/>
      <c r="F19" s="2"/>
      <c r="G19" s="2"/>
      <c r="H19" s="2"/>
      <c r="I19" s="2"/>
    </row>
    <row r="20" ht="9.0" customHeight="1">
      <c r="A20" s="2"/>
      <c r="B20" s="261"/>
      <c r="C20" s="262"/>
      <c r="D20" s="2"/>
      <c r="E20" s="262"/>
      <c r="F20" s="2"/>
      <c r="G20" s="2"/>
      <c r="H20" s="2"/>
      <c r="I20" s="2"/>
    </row>
    <row r="21" ht="12.0" customHeight="1">
      <c r="A21" s="2"/>
      <c r="B21" s="2"/>
      <c r="C21" s="262"/>
      <c r="D21" s="2"/>
      <c r="E21" s="262"/>
      <c r="F21" s="2"/>
      <c r="G21" s="2"/>
      <c r="H21" s="2"/>
      <c r="I21" s="2"/>
    </row>
    <row r="22" ht="21.0" customHeight="1">
      <c r="A22" s="2"/>
      <c r="B22" s="2" t="s">
        <v>618</v>
      </c>
      <c r="C22" s="263">
        <v>1.0</v>
      </c>
      <c r="D22" s="2"/>
      <c r="E22" s="262"/>
      <c r="F22" s="2"/>
      <c r="G22" s="2"/>
      <c r="H22" s="2"/>
      <c r="I22" s="2"/>
    </row>
    <row r="23" ht="21.0" customHeight="1">
      <c r="A23" s="2"/>
      <c r="B23" s="260"/>
      <c r="C23" s="130"/>
      <c r="D23" s="2"/>
      <c r="E23" s="262"/>
      <c r="F23" s="2"/>
      <c r="G23" s="2"/>
      <c r="H23" s="2"/>
      <c r="I23" s="2"/>
    </row>
    <row r="24" ht="12.0" customHeight="1">
      <c r="A24" s="2"/>
      <c r="B24" s="260"/>
      <c r="C24" s="130"/>
      <c r="D24" s="2"/>
      <c r="E24" s="262"/>
      <c r="F24" s="2"/>
      <c r="G24" s="2"/>
      <c r="H24" s="2"/>
      <c r="I24" s="2"/>
    </row>
    <row r="25" ht="38.25" customHeight="1">
      <c r="A25" s="264"/>
      <c r="B25" s="265" t="s">
        <v>619</v>
      </c>
      <c r="C25" s="266" t="str">
        <f>VLOOKUP($C$22,LS1A!$A$3:$AY$33,2,0)</f>
        <v>Maine Ralesite</v>
      </c>
      <c r="D25" s="267" t="s">
        <v>620</v>
      </c>
      <c r="E25" s="268" t="s">
        <v>22</v>
      </c>
      <c r="F25" s="269"/>
      <c r="G25" s="265" t="s">
        <v>73</v>
      </c>
      <c r="H25" s="270">
        <f>RANK(G40,LS1A!$AR$5:$AR$33)</f>
        <v>5</v>
      </c>
      <c r="I25" s="264"/>
      <c r="J25" s="269"/>
      <c r="K25" s="269"/>
      <c r="L25" s="269"/>
      <c r="M25" s="269"/>
      <c r="N25" s="269"/>
      <c r="O25" s="269"/>
      <c r="P25" s="269"/>
      <c r="Q25" s="269"/>
      <c r="R25" s="269"/>
      <c r="S25" s="269"/>
      <c r="T25" s="269"/>
      <c r="U25" s="269"/>
      <c r="V25" s="269"/>
      <c r="W25" s="269"/>
      <c r="X25" s="269"/>
      <c r="Y25" s="269"/>
      <c r="Z25" s="269"/>
      <c r="AA25" s="269"/>
    </row>
    <row r="26" ht="12.0" customHeight="1">
      <c r="A26" s="2"/>
      <c r="B26" s="271"/>
      <c r="C26" s="272"/>
      <c r="D26" s="273"/>
      <c r="E26" s="272"/>
      <c r="F26" s="273"/>
      <c r="G26" s="273"/>
      <c r="H26" s="273"/>
      <c r="I26" s="2"/>
    </row>
    <row r="27" ht="26.25" customHeight="1">
      <c r="A27" s="274"/>
      <c r="B27" s="275" t="s">
        <v>621</v>
      </c>
      <c r="C27" s="276" t="s">
        <v>80</v>
      </c>
      <c r="D27" s="275" t="s">
        <v>81</v>
      </c>
      <c r="E27" s="276" t="s">
        <v>622</v>
      </c>
      <c r="F27" s="275" t="s">
        <v>83</v>
      </c>
      <c r="G27" s="275" t="s">
        <v>623</v>
      </c>
      <c r="H27" s="277" t="s">
        <v>624</v>
      </c>
      <c r="I27" s="278"/>
      <c r="J27" s="279"/>
      <c r="K27" s="279"/>
      <c r="L27" s="279"/>
      <c r="M27" s="279"/>
      <c r="N27" s="279"/>
      <c r="O27" s="279"/>
      <c r="P27" s="279"/>
      <c r="Q27" s="279"/>
      <c r="R27" s="279"/>
      <c r="S27" s="279"/>
      <c r="T27" s="279"/>
      <c r="U27" s="279"/>
      <c r="V27" s="279"/>
      <c r="W27" s="279"/>
      <c r="X27" s="279"/>
      <c r="Y27" s="279"/>
      <c r="Z27" s="279"/>
      <c r="AA27" s="279"/>
    </row>
    <row r="28" ht="31.5" customHeight="1">
      <c r="A28" s="280"/>
      <c r="B28" s="270" t="s">
        <v>23</v>
      </c>
      <c r="C28" s="281">
        <f>VLOOKUP($C$22,LS1A!$A$3:$AY$35,3,0)</f>
        <v>31</v>
      </c>
      <c r="D28" s="282">
        <f>VLOOKUP($C$22,LS1A!$A$3:$AY$35,4,0)</f>
        <v>41</v>
      </c>
      <c r="E28" s="281">
        <f t="shared" ref="E28:E37" si="1">C28+D28</f>
        <v>72</v>
      </c>
      <c r="F28" s="282" t="str">
        <f>VLOOKUP($C$22,LS1A!$A$3:$AY$35,6,0)</f>
        <v>B</v>
      </c>
      <c r="G28" s="282">
        <f>RANK(E28,LS1A!$E$5:$E$32)</f>
        <v>6</v>
      </c>
      <c r="H28" s="281">
        <f>LS1A!E36</f>
        <v>63.375</v>
      </c>
      <c r="I28" s="283"/>
    </row>
    <row r="29" ht="36.0" customHeight="1">
      <c r="A29" s="280"/>
      <c r="B29" s="270" t="s">
        <v>24</v>
      </c>
      <c r="C29" s="281">
        <f>VLOOKUP($C$22,LS1A!$A$3:$AY$35,7,0)</f>
        <v>28</v>
      </c>
      <c r="D29" s="282">
        <f>VLOOKUP($C$22,LS1A!$A$3:$AY$35,8,0)</f>
        <v>45</v>
      </c>
      <c r="E29" s="281">
        <f t="shared" si="1"/>
        <v>73</v>
      </c>
      <c r="F29" s="282" t="str">
        <f>VLOOKUP($C$22,LS1A!$A$3:$AY$35,10,0)</f>
        <v>B</v>
      </c>
      <c r="G29" s="282">
        <f>RANK(E29,LS1A!$I$5:$I$32)</f>
        <v>2</v>
      </c>
      <c r="H29" s="281">
        <f>LS1A!I36</f>
        <v>46.45833333</v>
      </c>
      <c r="I29" s="283"/>
    </row>
    <row r="30" ht="32.25" customHeight="1">
      <c r="A30" s="280"/>
      <c r="B30" s="270" t="s">
        <v>25</v>
      </c>
      <c r="C30" s="281">
        <f>VLOOKUP($C$22,LS1A!$A$3:$AY$35,11,0)</f>
        <v>32</v>
      </c>
      <c r="D30" s="282">
        <f>VLOOKUP($C$22,LS1A!$A$3:$AY$35,12,0)</f>
        <v>45</v>
      </c>
      <c r="E30" s="281">
        <f t="shared" si="1"/>
        <v>77</v>
      </c>
      <c r="F30" s="282" t="str">
        <f>VLOOKUP($C$22,LS1A!$A$3:$AY$35,14,0)</f>
        <v>B</v>
      </c>
      <c r="G30" s="282">
        <f>RANK(E30,LS1A!$M$5:$M$32)</f>
        <v>3</v>
      </c>
      <c r="H30" s="281">
        <f>LS1A!M36</f>
        <v>53.20833333</v>
      </c>
      <c r="I30" s="283"/>
    </row>
    <row r="31" ht="33.0" customHeight="1">
      <c r="A31" s="280"/>
      <c r="B31" s="270" t="s">
        <v>26</v>
      </c>
      <c r="C31" s="281">
        <f>VLOOKUP($C$22,LS1A!$A$3:$AY$35,15,0)</f>
        <v>35</v>
      </c>
      <c r="D31" s="282">
        <f>VLOOKUP($C$22,LS1A!$A$3:$AY$35,16,0)</f>
        <v>50</v>
      </c>
      <c r="E31" s="281">
        <f t="shared" si="1"/>
        <v>85</v>
      </c>
      <c r="F31" s="282" t="str">
        <f>VLOOKUP($C$22,LS1A!$A$3:$AY$35,18,0)</f>
        <v>A</v>
      </c>
      <c r="G31" s="282">
        <f>RANK(E31,LS1A!$Q$5:$Q$32)</f>
        <v>2</v>
      </c>
      <c r="H31" s="281">
        <f>LS1A!Q36</f>
        <v>67.66666667</v>
      </c>
      <c r="I31" s="283"/>
    </row>
    <row r="32" ht="34.5" customHeight="1">
      <c r="A32" s="280"/>
      <c r="B32" s="270" t="s">
        <v>27</v>
      </c>
      <c r="C32" s="281">
        <f>VLOOKUP($C$22,LS1A!$A$3:$AY$35,19,0)</f>
        <v>33</v>
      </c>
      <c r="D32" s="282">
        <f>VLOOKUP($C$22,LS1A!$A$3:$AY$35,20,0)</f>
        <v>47</v>
      </c>
      <c r="E32" s="281">
        <f t="shared" si="1"/>
        <v>80</v>
      </c>
      <c r="F32" s="282" t="str">
        <f>VLOOKUP($C$22,LS1A!$A$3:$AY$35,22,0)</f>
        <v>A</v>
      </c>
      <c r="G32" s="282">
        <f>RANK(E32,LS1A!$U$5:$U$32)</f>
        <v>4</v>
      </c>
      <c r="H32" s="281">
        <f>LS1A!U36</f>
        <v>65.29166667</v>
      </c>
      <c r="I32" s="283"/>
    </row>
    <row r="33" ht="33.75" customHeight="1">
      <c r="A33" s="280"/>
      <c r="B33" s="270" t="s">
        <v>28</v>
      </c>
      <c r="C33" s="281">
        <f>VLOOKUP($C$22,LS1A!$A$3:$AY$35,23,0)</f>
        <v>28</v>
      </c>
      <c r="D33" s="282">
        <f>VLOOKUP($C$22,LS1A!$A$3:$AY$35,24,0)</f>
        <v>43</v>
      </c>
      <c r="E33" s="281">
        <f t="shared" si="1"/>
        <v>71</v>
      </c>
      <c r="F33" s="282" t="str">
        <f>VLOOKUP($C$22,LS1A!$A$3:$AY$34,26,0)</f>
        <v>B</v>
      </c>
      <c r="G33" s="282">
        <f>RANK(E33,LS1A!$Y$5:$Y$32)</f>
        <v>8</v>
      </c>
      <c r="H33" s="281">
        <f>LS1A!Y36</f>
        <v>63.375</v>
      </c>
      <c r="I33" s="283"/>
    </row>
    <row r="34" ht="31.5" customHeight="1">
      <c r="A34" s="280"/>
      <c r="B34" s="270" t="s">
        <v>29</v>
      </c>
      <c r="C34" s="281">
        <f>VLOOKUP($C$22,LS1A!$A$3:$AY$35,27,0)</f>
        <v>30</v>
      </c>
      <c r="D34" s="282">
        <f>VLOOKUP($C$22,LS1A!$A$3:$AY$35,28,0)</f>
        <v>38</v>
      </c>
      <c r="E34" s="281">
        <f t="shared" si="1"/>
        <v>68</v>
      </c>
      <c r="F34" s="282" t="str">
        <f>VLOOKUP($C$22,LS1A!$A$3:$AY$35,30,0)</f>
        <v>C</v>
      </c>
      <c r="G34" s="282">
        <f>RANK(E34,LS1A!$AC$5:$AC$32)</f>
        <v>9</v>
      </c>
      <c r="H34" s="281">
        <f>LS1A!AC36</f>
        <v>61.33333333</v>
      </c>
      <c r="I34" s="283"/>
    </row>
    <row r="35" ht="37.5" customHeight="1">
      <c r="A35" s="280"/>
      <c r="B35" s="270" t="s">
        <v>625</v>
      </c>
      <c r="C35" s="281">
        <f>VLOOKUP($C$22,LS1A!$A$3:$AY$35,31,0)</f>
        <v>28</v>
      </c>
      <c r="D35" s="282">
        <f>VLOOKUP($C$22,LS1A!$A$3:$AY$35,32,0)</f>
        <v>49</v>
      </c>
      <c r="E35" s="281">
        <f t="shared" si="1"/>
        <v>77</v>
      </c>
      <c r="F35" s="282" t="str">
        <f>VLOOKUP($C$22,LS1A!$A$3:$AY$35,34,0)</f>
        <v>B</v>
      </c>
      <c r="G35" s="282">
        <f>RANK(E35,LS1A!$AG$5:$AG$32)</f>
        <v>8</v>
      </c>
      <c r="H35" s="281">
        <f>LS1A!AG36</f>
        <v>73.625</v>
      </c>
      <c r="I35" s="283"/>
    </row>
    <row r="36" ht="37.5" customHeight="1">
      <c r="A36" s="280"/>
      <c r="B36" s="270" t="s">
        <v>31</v>
      </c>
      <c r="C36" s="281">
        <f>VLOOKUP($C$22,LS1A!$A$3:$AY$34,35,0)</f>
        <v>37</v>
      </c>
      <c r="D36" s="282">
        <f>VLOOKUP($C$22,LS1A!$A$3:$AY$34,36,0)</f>
        <v>45</v>
      </c>
      <c r="E36" s="281">
        <f t="shared" si="1"/>
        <v>82</v>
      </c>
      <c r="F36" s="282" t="str">
        <f>VLOOKUP($C$22,LS1A!$A$3:$AY$35,38,0)</f>
        <v>A</v>
      </c>
      <c r="G36" s="282">
        <f>RANK(E36,LS1A!$AK$5:$AK$32)</f>
        <v>6</v>
      </c>
      <c r="H36" s="281">
        <f>LS1A!AK36</f>
        <v>76.33333333</v>
      </c>
      <c r="I36" s="283"/>
    </row>
    <row r="37" ht="35.25" customHeight="1">
      <c r="A37" s="280"/>
      <c r="B37" s="270" t="s">
        <v>32</v>
      </c>
      <c r="C37" s="281">
        <f>VLOOKUP($C$22,LS1A!$A$3:$AY$35,39,0)</f>
        <v>23</v>
      </c>
      <c r="D37" s="282">
        <f>VLOOKUP($C$22,LS1A!$A$3:$AY$35,40,0)</f>
        <v>41</v>
      </c>
      <c r="E37" s="281">
        <f t="shared" si="1"/>
        <v>64</v>
      </c>
      <c r="F37" s="282" t="str">
        <f>VLOOKUP($C$22,LS1A!$A$3:$AY$35,42,0)</f>
        <v>C</v>
      </c>
      <c r="G37" s="282">
        <f>RANK(E37,LS1A!$AO$5:$AO$32)</f>
        <v>15</v>
      </c>
      <c r="H37" s="281">
        <f>LS1A!AO36</f>
        <v>66.94166667</v>
      </c>
      <c r="I37" s="283"/>
    </row>
    <row r="38" ht="21.75" customHeight="1">
      <c r="A38" s="2"/>
      <c r="B38" s="260"/>
      <c r="C38" s="130"/>
      <c r="D38" s="284"/>
      <c r="E38" s="285"/>
      <c r="F38" s="286"/>
      <c r="G38" s="286"/>
      <c r="H38" s="284"/>
      <c r="I38" s="2"/>
    </row>
    <row r="39" ht="24.0" customHeight="1">
      <c r="A39" s="280"/>
      <c r="B39" s="287" t="s">
        <v>626</v>
      </c>
      <c r="C39" s="46"/>
      <c r="D39" s="283"/>
      <c r="E39" s="288"/>
      <c r="F39" s="289" t="s">
        <v>627</v>
      </c>
      <c r="G39" s="46"/>
      <c r="H39" s="290"/>
      <c r="I39" s="2"/>
    </row>
    <row r="40" ht="28.5" customHeight="1">
      <c r="A40" s="280"/>
      <c r="B40" s="291" t="s">
        <v>74</v>
      </c>
      <c r="C40" s="292" t="str">
        <f>VLOOKUP($C$22,LS1A!$A$3:$AY$35,46,0)</f>
        <v>A</v>
      </c>
      <c r="E40" s="288"/>
      <c r="F40" s="293" t="s">
        <v>628</v>
      </c>
      <c r="G40" s="294">
        <f>AVERAGE(E28:E37)</f>
        <v>74.9</v>
      </c>
      <c r="I40" s="283"/>
    </row>
    <row r="41" ht="26.25" customHeight="1">
      <c r="A41" s="280"/>
      <c r="B41" s="291" t="s">
        <v>75</v>
      </c>
      <c r="C41" s="292" t="str">
        <f>VLOOKUP($C$22,LS1A!$A$3:$AY$35,47,0)</f>
        <v>A+</v>
      </c>
      <c r="E41" s="288"/>
      <c r="F41" s="293" t="s">
        <v>629</v>
      </c>
      <c r="G41" s="295">
        <f>COUNTIF(E28:E37,"&gt;=50")</f>
        <v>10</v>
      </c>
      <c r="I41" s="283"/>
    </row>
    <row r="42" ht="24.0" customHeight="1">
      <c r="A42" s="280"/>
      <c r="B42" s="291" t="s">
        <v>76</v>
      </c>
      <c r="C42" s="292" t="str">
        <f>VLOOKUP($C$22,LS1A!$A$3:$AY$35,48,0)</f>
        <v>B</v>
      </c>
      <c r="E42" s="288"/>
      <c r="F42" s="293" t="s">
        <v>630</v>
      </c>
      <c r="G42" s="295">
        <f>COUNTIF(E28:E37,"&lt;=50")</f>
        <v>0</v>
      </c>
      <c r="I42" s="296"/>
    </row>
    <row r="43" ht="28.5" customHeight="1">
      <c r="A43" s="280"/>
      <c r="B43" s="291" t="s">
        <v>77</v>
      </c>
      <c r="C43" s="292" t="str">
        <f>VLOOKUP($C$22,LS1A!$A$3:$AY$35,49,0)</f>
        <v>A</v>
      </c>
      <c r="E43" s="288"/>
      <c r="F43" s="293" t="s">
        <v>631</v>
      </c>
      <c r="G43" s="297">
        <f>RANK(G40,LS1A!$AR$5:$AR$33)</f>
        <v>5</v>
      </c>
      <c r="I43" s="296"/>
    </row>
    <row r="44" ht="19.5" customHeight="1">
      <c r="A44" s="280"/>
      <c r="B44" s="298" t="s">
        <v>78</v>
      </c>
      <c r="C44" s="292" t="str">
        <f>VLOOKUP($C$22,LS1A!$A$3:$AY$35,50,0)</f>
        <v>A+</v>
      </c>
      <c r="E44" s="288"/>
      <c r="F44" s="293" t="s">
        <v>632</v>
      </c>
      <c r="G44" s="299">
        <f>COUNT(LS1A!A5:A28)</f>
        <v>24</v>
      </c>
      <c r="I44" s="296"/>
    </row>
    <row r="45" ht="8.25" customHeight="1">
      <c r="A45" s="2"/>
      <c r="B45" s="300"/>
      <c r="C45" s="285"/>
      <c r="D45" s="2"/>
      <c r="E45" s="262"/>
      <c r="F45" s="301" t="s">
        <v>633</v>
      </c>
      <c r="G45" s="284"/>
      <c r="H45" s="284"/>
      <c r="I45" s="261"/>
    </row>
    <row r="46" ht="12.0" customHeight="1">
      <c r="A46" s="2"/>
      <c r="B46" s="261"/>
      <c r="C46" s="262"/>
      <c r="D46" s="2"/>
      <c r="E46" s="262"/>
      <c r="F46" s="2"/>
      <c r="G46" s="2"/>
      <c r="H46" s="2"/>
      <c r="I46" s="261"/>
    </row>
    <row r="47" ht="12.0" customHeight="1">
      <c r="A47" s="2"/>
      <c r="B47" s="261"/>
      <c r="C47" s="262"/>
      <c r="D47" s="2"/>
      <c r="E47" s="262"/>
      <c r="F47" s="2"/>
      <c r="G47" s="2"/>
      <c r="H47" s="2"/>
      <c r="I47" s="261"/>
    </row>
    <row r="48" ht="22.5" customHeight="1">
      <c r="A48" s="2"/>
      <c r="B48" s="302" t="s">
        <v>634</v>
      </c>
      <c r="C48" s="10"/>
      <c r="D48" s="2"/>
      <c r="E48" s="262"/>
      <c r="F48" s="2"/>
      <c r="G48" s="2"/>
      <c r="H48" s="2"/>
      <c r="I48" s="261"/>
    </row>
    <row r="49" ht="12.0" customHeight="1">
      <c r="A49" s="2"/>
      <c r="B49" s="271"/>
      <c r="C49" s="272"/>
      <c r="D49" s="273"/>
      <c r="E49" s="272"/>
      <c r="F49" s="273"/>
      <c r="G49" s="273"/>
      <c r="H49" s="273"/>
      <c r="I49" s="261"/>
    </row>
    <row r="50" ht="23.25" customHeight="1">
      <c r="A50" s="280"/>
      <c r="B50" s="303" t="str">
        <f>VLOOKUP($C$22,LS1A!$A$3:$AY$35,51,0)</f>
        <v>Ralesite is a very respectful and well-mannered student who works well in class. His academic performance is good, showing clear understanding of key concepts. To improve further, he should participate more actively and ask questions to deepen his understanding. Regular practice and reviewing class notes will strengthen his learning. I encourage Ralesite to continue his positive behaviour and maintain steady effort towards higher achievement.</v>
      </c>
      <c r="C50" s="304"/>
      <c r="D50" s="304"/>
      <c r="E50" s="304"/>
      <c r="F50" s="304"/>
      <c r="G50" s="304"/>
      <c r="H50" s="305"/>
      <c r="I50" s="296"/>
    </row>
    <row r="51" ht="22.5" customHeight="1">
      <c r="A51" s="280"/>
      <c r="B51" s="306"/>
      <c r="H51" s="307"/>
      <c r="I51" s="296"/>
    </row>
    <row r="52" ht="21.0" customHeight="1">
      <c r="A52" s="280"/>
      <c r="B52" s="306"/>
      <c r="H52" s="307"/>
      <c r="I52" s="296"/>
    </row>
    <row r="53" ht="68.25" customHeight="1">
      <c r="A53" s="280"/>
      <c r="B53" s="308"/>
      <c r="C53" s="309"/>
      <c r="D53" s="309"/>
      <c r="E53" s="309"/>
      <c r="F53" s="309"/>
      <c r="G53" s="309"/>
      <c r="H53" s="310"/>
      <c r="I53" s="283"/>
    </row>
    <row r="54" ht="12.0" customHeight="1">
      <c r="A54" s="280"/>
      <c r="B54" s="311"/>
      <c r="C54" s="312"/>
      <c r="D54" s="313"/>
      <c r="E54" s="312"/>
      <c r="F54" s="313"/>
      <c r="G54" s="313"/>
      <c r="H54" s="313"/>
      <c r="I54" s="283"/>
    </row>
    <row r="55" ht="12.0" customHeight="1">
      <c r="A55" s="2"/>
      <c r="B55" s="314"/>
      <c r="C55" s="315"/>
      <c r="D55" s="286"/>
      <c r="E55" s="285"/>
      <c r="F55" s="286"/>
      <c r="G55" s="286"/>
      <c r="H55" s="286"/>
      <c r="I55" s="2"/>
    </row>
    <row r="56" ht="17.25" customHeight="1">
      <c r="A56" s="280"/>
      <c r="C56" s="130"/>
      <c r="E56" s="316"/>
      <c r="I56" s="283"/>
    </row>
    <row r="57" ht="19.5" customHeight="1">
      <c r="A57" s="280"/>
      <c r="B57" s="317" t="s">
        <v>635</v>
      </c>
      <c r="C57" s="45"/>
      <c r="D57" s="46"/>
      <c r="E57" s="318"/>
      <c r="F57" s="319" t="s">
        <v>636</v>
      </c>
      <c r="G57" s="45"/>
      <c r="H57" s="46"/>
      <c r="I57" s="283"/>
    </row>
    <row r="58" ht="17.25" customHeight="1">
      <c r="A58" s="280"/>
      <c r="B58" s="320" t="s">
        <v>637</v>
      </c>
      <c r="C58" s="321" t="s">
        <v>638</v>
      </c>
      <c r="D58" s="320" t="s">
        <v>639</v>
      </c>
      <c r="E58" s="322"/>
      <c r="F58" s="323" t="s">
        <v>637</v>
      </c>
      <c r="G58" s="324" t="s">
        <v>638</v>
      </c>
      <c r="H58" s="325"/>
      <c r="I58" s="326"/>
      <c r="J58" s="26"/>
      <c r="K58" s="26"/>
      <c r="L58" s="26"/>
      <c r="M58" s="26"/>
      <c r="N58" s="26"/>
      <c r="O58" s="26"/>
      <c r="P58" s="26"/>
      <c r="Q58" s="26"/>
      <c r="R58" s="26"/>
      <c r="S58" s="26"/>
      <c r="T58" s="26"/>
      <c r="U58" s="26"/>
      <c r="V58" s="26"/>
      <c r="W58" s="26"/>
      <c r="X58" s="26"/>
      <c r="Y58" s="26"/>
      <c r="Z58" s="26"/>
      <c r="AA58" s="26"/>
    </row>
    <row r="59" ht="21.75" customHeight="1">
      <c r="A59" s="280"/>
      <c r="B59" s="320" t="s">
        <v>151</v>
      </c>
      <c r="C59" s="321" t="s">
        <v>86</v>
      </c>
      <c r="D59" s="320" t="s">
        <v>640</v>
      </c>
      <c r="E59" s="318"/>
      <c r="F59" s="327" t="s">
        <v>641</v>
      </c>
      <c r="G59" s="328" t="s">
        <v>86</v>
      </c>
      <c r="H59" s="325"/>
      <c r="I59" s="283"/>
    </row>
    <row r="60" ht="19.5" customHeight="1">
      <c r="A60" s="280"/>
      <c r="B60" s="320" t="s">
        <v>150</v>
      </c>
      <c r="C60" s="321" t="s">
        <v>85</v>
      </c>
      <c r="D60" s="320" t="s">
        <v>640</v>
      </c>
      <c r="E60" s="318"/>
      <c r="F60" s="327" t="s">
        <v>149</v>
      </c>
      <c r="G60" s="328" t="s">
        <v>85</v>
      </c>
      <c r="H60" s="325"/>
      <c r="I60" s="283"/>
    </row>
    <row r="61" ht="18.75" customHeight="1">
      <c r="A61" s="280"/>
      <c r="B61" s="320" t="s">
        <v>149</v>
      </c>
      <c r="C61" s="321" t="s">
        <v>87</v>
      </c>
      <c r="D61" s="320" t="s">
        <v>642</v>
      </c>
      <c r="E61" s="318"/>
      <c r="F61" s="327" t="s">
        <v>148</v>
      </c>
      <c r="G61" s="328" t="s">
        <v>87</v>
      </c>
      <c r="H61" s="325"/>
      <c r="I61" s="283"/>
    </row>
    <row r="62" ht="18.75" customHeight="1">
      <c r="A62" s="280"/>
      <c r="B62" s="320" t="s">
        <v>148</v>
      </c>
      <c r="C62" s="321" t="s">
        <v>90</v>
      </c>
      <c r="D62" s="320" t="s">
        <v>643</v>
      </c>
      <c r="E62" s="318"/>
      <c r="F62" s="329" t="s">
        <v>147</v>
      </c>
      <c r="G62" s="330" t="s">
        <v>90</v>
      </c>
      <c r="H62" s="46"/>
      <c r="I62" s="283"/>
    </row>
    <row r="63" ht="24.75" customHeight="1">
      <c r="B63" s="320" t="s">
        <v>147</v>
      </c>
      <c r="C63" s="321" t="s">
        <v>93</v>
      </c>
      <c r="D63" s="320" t="s">
        <v>644</v>
      </c>
      <c r="E63" s="318"/>
      <c r="F63" s="329" t="s">
        <v>645</v>
      </c>
      <c r="G63" s="330" t="s">
        <v>93</v>
      </c>
      <c r="H63" s="46"/>
      <c r="I63" s="283"/>
    </row>
    <row r="64" ht="24.0" customHeight="1">
      <c r="A64" s="280"/>
      <c r="B64" s="320" t="s">
        <v>145</v>
      </c>
      <c r="C64" s="321" t="s">
        <v>146</v>
      </c>
      <c r="D64" s="320" t="s">
        <v>644</v>
      </c>
      <c r="E64" s="318"/>
      <c r="F64" s="331"/>
      <c r="G64" s="331"/>
      <c r="I64" s="283"/>
    </row>
    <row r="65" ht="22.5" customHeight="1">
      <c r="A65" s="332"/>
      <c r="B65" s="320" t="s">
        <v>143</v>
      </c>
      <c r="C65" s="321" t="s">
        <v>144</v>
      </c>
      <c r="D65" s="320" t="s">
        <v>646</v>
      </c>
      <c r="E65" s="333"/>
      <c r="F65" s="286"/>
      <c r="G65" s="286"/>
      <c r="H65" s="284"/>
      <c r="I65" s="2"/>
    </row>
    <row r="66" ht="21.0" customHeight="1">
      <c r="A66" s="280"/>
      <c r="B66" s="320" t="s">
        <v>141</v>
      </c>
      <c r="C66" s="321" t="s">
        <v>142</v>
      </c>
      <c r="D66" s="320" t="s">
        <v>646</v>
      </c>
      <c r="E66" s="318"/>
      <c r="F66" s="334" t="s">
        <v>647</v>
      </c>
      <c r="G66" s="334"/>
      <c r="H66" s="283"/>
      <c r="I66" s="2"/>
    </row>
    <row r="67" ht="27.0" customHeight="1">
      <c r="A67" s="2"/>
      <c r="B67" s="320" t="s">
        <v>139</v>
      </c>
      <c r="C67" s="321" t="s">
        <v>140</v>
      </c>
      <c r="D67" s="320" t="s">
        <v>646</v>
      </c>
      <c r="E67" s="318"/>
      <c r="F67" s="334" t="s">
        <v>648</v>
      </c>
      <c r="G67" s="334"/>
      <c r="H67" s="283"/>
      <c r="I67" s="2"/>
    </row>
    <row r="68" ht="19.5" customHeight="1">
      <c r="B68" s="260"/>
      <c r="C68" s="130"/>
      <c r="E68" s="130"/>
    </row>
    <row r="69" ht="19.5" customHeight="1">
      <c r="B69" s="260"/>
      <c r="C69" s="130"/>
      <c r="E69" s="130"/>
    </row>
    <row r="70" ht="12.0" customHeight="1">
      <c r="B70" s="335" t="s">
        <v>649</v>
      </c>
      <c r="C70" s="336"/>
      <c r="D70" s="337"/>
      <c r="E70" s="338"/>
      <c r="F70" s="339"/>
      <c r="G70" s="340"/>
      <c r="H70" s="341"/>
    </row>
    <row r="71" ht="12.0" customHeight="1">
      <c r="B71" s="342"/>
      <c r="D71" s="343"/>
      <c r="F71" s="344"/>
      <c r="H71" s="343"/>
    </row>
    <row r="72" ht="12.0" customHeight="1">
      <c r="B72" s="345"/>
      <c r="C72" s="346"/>
      <c r="D72" s="325"/>
      <c r="E72" s="346"/>
      <c r="F72" s="347"/>
      <c r="G72" s="346"/>
      <c r="H72" s="325"/>
    </row>
    <row r="73" ht="22.5" customHeight="1">
      <c r="B73" s="348" t="s">
        <v>650</v>
      </c>
      <c r="C73" s="346"/>
      <c r="D73" s="325"/>
      <c r="E73" s="349" t="s">
        <v>651</v>
      </c>
      <c r="F73" s="325"/>
      <c r="G73" s="350" t="s">
        <v>652</v>
      </c>
      <c r="H73" s="325"/>
    </row>
    <row r="74" ht="12.0" customHeight="1">
      <c r="C74" s="130"/>
      <c r="E74" s="130"/>
    </row>
    <row r="75" ht="12.0" customHeight="1">
      <c r="C75" s="130"/>
      <c r="E75" s="130"/>
    </row>
    <row r="76" ht="12.0" customHeight="1">
      <c r="C76" s="130"/>
      <c r="E76" s="130"/>
    </row>
    <row r="77" ht="12.0" customHeight="1">
      <c r="C77" s="130"/>
      <c r="E77" s="130"/>
    </row>
    <row r="78" ht="12.0" customHeight="1">
      <c r="C78" s="130"/>
      <c r="E78" s="130"/>
    </row>
    <row r="79" ht="12.0" customHeight="1">
      <c r="C79" s="130"/>
      <c r="E79" s="130"/>
    </row>
    <row r="80" ht="12.0" customHeight="1">
      <c r="C80" s="130"/>
      <c r="E80" s="130"/>
    </row>
    <row r="81" ht="12.0" customHeight="1">
      <c r="C81" s="130"/>
      <c r="E81" s="130"/>
    </row>
    <row r="82" ht="12.0" customHeight="1">
      <c r="C82" s="130"/>
      <c r="E82" s="130"/>
    </row>
    <row r="83" ht="12.0" customHeight="1">
      <c r="C83" s="130"/>
      <c r="E83" s="130"/>
    </row>
    <row r="84" ht="12.0" customHeight="1">
      <c r="C84" s="130"/>
      <c r="E84" s="130"/>
    </row>
    <row r="85" ht="12.0" customHeight="1">
      <c r="C85" s="130"/>
      <c r="E85" s="130"/>
    </row>
    <row r="86" ht="12.0" customHeight="1">
      <c r="C86" s="130"/>
      <c r="E86" s="130"/>
    </row>
    <row r="87" ht="12.0" customHeight="1">
      <c r="C87" s="130"/>
      <c r="E87" s="130"/>
    </row>
    <row r="88" ht="12.0" customHeight="1">
      <c r="C88" s="130"/>
      <c r="E88" s="130"/>
    </row>
    <row r="89" ht="12.0" customHeight="1">
      <c r="C89" s="130"/>
      <c r="E89" s="130"/>
    </row>
    <row r="90" ht="12.0" customHeight="1">
      <c r="C90" s="130"/>
      <c r="E90" s="130"/>
    </row>
    <row r="91" ht="12.0" customHeight="1">
      <c r="C91" s="130"/>
      <c r="E91" s="130"/>
    </row>
    <row r="92" ht="12.0" customHeight="1">
      <c r="C92" s="130"/>
      <c r="E92" s="130"/>
    </row>
    <row r="93" ht="12.0" customHeight="1">
      <c r="C93" s="130"/>
      <c r="E93" s="130"/>
    </row>
    <row r="94" ht="12.0" customHeight="1">
      <c r="C94" s="130"/>
      <c r="E94" s="130"/>
    </row>
    <row r="95" ht="12.0" customHeight="1">
      <c r="C95" s="130"/>
      <c r="E95" s="130"/>
    </row>
    <row r="96" ht="12.0" customHeight="1">
      <c r="C96" s="130"/>
      <c r="E96" s="130"/>
    </row>
    <row r="97" ht="12.0" customHeight="1">
      <c r="C97" s="130"/>
      <c r="E97" s="130"/>
    </row>
    <row r="98" ht="12.0" customHeight="1">
      <c r="C98" s="130"/>
      <c r="E98" s="130"/>
    </row>
    <row r="99" ht="12.0" customHeight="1">
      <c r="C99" s="130"/>
      <c r="E99" s="130"/>
    </row>
    <row r="100" ht="12.0" customHeight="1">
      <c r="B100" s="260"/>
      <c r="C100" s="130"/>
      <c r="E100" s="130"/>
    </row>
    <row r="101" ht="12.0" customHeight="1">
      <c r="B101" s="260"/>
      <c r="C101" s="130"/>
      <c r="E101" s="130"/>
    </row>
    <row r="102" ht="12.0" customHeight="1">
      <c r="B102" s="260"/>
      <c r="C102" s="130"/>
      <c r="E102" s="130"/>
    </row>
    <row r="103" ht="12.0" customHeight="1">
      <c r="B103" s="260"/>
      <c r="C103" s="130"/>
      <c r="E103" s="130"/>
    </row>
    <row r="104" ht="12.0" customHeight="1">
      <c r="B104" s="260"/>
      <c r="C104" s="130"/>
      <c r="E104" s="130"/>
    </row>
    <row r="105" ht="12.0" customHeight="1">
      <c r="B105" s="260"/>
      <c r="C105" s="130"/>
      <c r="E105" s="130"/>
    </row>
    <row r="106" ht="12.0" customHeight="1">
      <c r="B106" s="260"/>
      <c r="C106" s="130"/>
      <c r="E106" s="130"/>
    </row>
    <row r="107" ht="12.0" customHeight="1">
      <c r="B107" s="260"/>
      <c r="C107" s="130"/>
      <c r="E107" s="130"/>
    </row>
    <row r="108" ht="12.0" customHeight="1">
      <c r="B108" s="260"/>
      <c r="C108" s="130"/>
      <c r="E108" s="130"/>
    </row>
    <row r="109" ht="12.0" customHeight="1">
      <c r="B109" s="260"/>
      <c r="C109" s="130"/>
      <c r="E109" s="130"/>
    </row>
    <row r="110" ht="12.0" customHeight="1">
      <c r="B110" s="260"/>
      <c r="C110" s="130"/>
      <c r="E110" s="130"/>
    </row>
    <row r="111" ht="12.0" customHeight="1">
      <c r="B111" s="260"/>
      <c r="C111" s="130"/>
      <c r="E111" s="130"/>
    </row>
    <row r="112" ht="12.0" customHeight="1">
      <c r="B112" s="260"/>
      <c r="C112" s="130"/>
      <c r="E112" s="130"/>
    </row>
    <row r="113" ht="12.0" customHeight="1">
      <c r="B113" s="260"/>
      <c r="C113" s="130"/>
      <c r="E113" s="130"/>
    </row>
    <row r="114" ht="12.0" customHeight="1">
      <c r="B114" s="260"/>
      <c r="C114" s="130"/>
      <c r="E114" s="130"/>
    </row>
    <row r="115" ht="12.0" customHeight="1">
      <c r="B115" s="260"/>
      <c r="C115" s="130"/>
      <c r="E115" s="130"/>
    </row>
    <row r="116" ht="12.0" customHeight="1">
      <c r="B116" s="260"/>
      <c r="C116" s="130"/>
      <c r="E116" s="130"/>
    </row>
    <row r="117" ht="12.0" customHeight="1">
      <c r="B117" s="260"/>
      <c r="C117" s="130"/>
      <c r="E117" s="130"/>
    </row>
    <row r="118" ht="12.0" customHeight="1">
      <c r="B118" s="260"/>
      <c r="C118" s="130"/>
      <c r="E118" s="130"/>
    </row>
    <row r="119" ht="12.0" customHeight="1">
      <c r="B119" s="260"/>
      <c r="C119" s="130"/>
      <c r="E119" s="130"/>
    </row>
    <row r="120" ht="12.0" customHeight="1">
      <c r="B120" s="260"/>
      <c r="C120" s="130"/>
      <c r="E120" s="130"/>
    </row>
    <row r="121" ht="12.0" customHeight="1">
      <c r="B121" s="260"/>
      <c r="C121" s="130"/>
      <c r="E121" s="130"/>
    </row>
    <row r="122" ht="12.0" customHeight="1">
      <c r="B122" s="260"/>
      <c r="C122" s="130"/>
      <c r="E122" s="130"/>
    </row>
    <row r="123" ht="12.0" customHeight="1">
      <c r="B123" s="260"/>
      <c r="C123" s="130"/>
      <c r="E123" s="130"/>
    </row>
    <row r="124" ht="12.0" customHeight="1">
      <c r="B124" s="260"/>
      <c r="C124" s="130"/>
      <c r="E124" s="130"/>
    </row>
    <row r="125" ht="12.0" customHeight="1">
      <c r="B125" s="260"/>
      <c r="C125" s="130"/>
      <c r="E125" s="130"/>
    </row>
    <row r="126" ht="12.0" customHeight="1">
      <c r="B126" s="260"/>
      <c r="C126" s="130"/>
      <c r="E126" s="130"/>
    </row>
    <row r="127" ht="12.0" customHeight="1">
      <c r="B127" s="260"/>
      <c r="C127" s="130"/>
      <c r="E127" s="130"/>
    </row>
    <row r="128" ht="12.0" customHeight="1">
      <c r="B128" s="260"/>
      <c r="C128" s="130"/>
      <c r="E128" s="130"/>
    </row>
    <row r="129" ht="12.0" customHeight="1">
      <c r="B129" s="260"/>
      <c r="C129" s="130"/>
      <c r="E129" s="130"/>
    </row>
    <row r="130" ht="12.0" customHeight="1">
      <c r="B130" s="260"/>
      <c r="C130" s="130"/>
      <c r="E130" s="130"/>
    </row>
    <row r="131" ht="12.0" customHeight="1">
      <c r="B131" s="260"/>
      <c r="C131" s="130"/>
      <c r="E131" s="130"/>
    </row>
    <row r="132" ht="12.0" customHeight="1">
      <c r="B132" s="260"/>
      <c r="C132" s="130"/>
      <c r="E132" s="130"/>
    </row>
    <row r="133" ht="12.0" customHeight="1">
      <c r="B133" s="260"/>
      <c r="C133" s="130"/>
      <c r="E133" s="130"/>
    </row>
    <row r="134" ht="12.0" customHeight="1">
      <c r="B134" s="260"/>
      <c r="C134" s="130"/>
      <c r="E134" s="130"/>
    </row>
    <row r="135" ht="12.0" customHeight="1">
      <c r="B135" s="260"/>
      <c r="C135" s="130"/>
      <c r="E135" s="130"/>
    </row>
    <row r="136" ht="12.0" customHeight="1">
      <c r="B136" s="260"/>
      <c r="C136" s="130"/>
      <c r="E136" s="130"/>
    </row>
    <row r="137" ht="12.0" customHeight="1">
      <c r="B137" s="260"/>
      <c r="C137" s="130"/>
      <c r="E137" s="130"/>
    </row>
    <row r="138" ht="12.0" customHeight="1">
      <c r="B138" s="260"/>
      <c r="C138" s="130"/>
      <c r="E138" s="130"/>
    </row>
    <row r="139" ht="12.0" customHeight="1">
      <c r="B139" s="260"/>
      <c r="C139" s="130"/>
      <c r="E139" s="130"/>
    </row>
    <row r="140" ht="12.0" customHeight="1">
      <c r="B140" s="260"/>
      <c r="C140" s="130"/>
      <c r="E140" s="130"/>
    </row>
    <row r="141" ht="12.0" customHeight="1">
      <c r="B141" s="260"/>
      <c r="C141" s="130"/>
      <c r="E141" s="130"/>
    </row>
    <row r="142" ht="12.0" customHeight="1">
      <c r="B142" s="260"/>
      <c r="C142" s="130"/>
      <c r="E142" s="130"/>
    </row>
    <row r="143" ht="12.0" customHeight="1">
      <c r="B143" s="260"/>
      <c r="C143" s="130"/>
      <c r="E143" s="130"/>
    </row>
    <row r="144" ht="12.0" customHeight="1">
      <c r="B144" s="260"/>
      <c r="C144" s="130"/>
      <c r="E144" s="130"/>
    </row>
    <row r="145" ht="12.0" customHeight="1">
      <c r="B145" s="260"/>
      <c r="C145" s="130"/>
      <c r="E145" s="130"/>
    </row>
    <row r="146" ht="12.0" customHeight="1">
      <c r="B146" s="260"/>
      <c r="C146" s="130"/>
      <c r="E146" s="130"/>
    </row>
    <row r="147" ht="12.0" customHeight="1">
      <c r="B147" s="260"/>
      <c r="C147" s="130"/>
      <c r="E147" s="130"/>
    </row>
    <row r="148" ht="12.0" customHeight="1">
      <c r="B148" s="260"/>
      <c r="C148" s="130"/>
      <c r="E148" s="130"/>
    </row>
    <row r="149" ht="12.0" customHeight="1">
      <c r="B149" s="260"/>
      <c r="C149" s="130"/>
      <c r="E149" s="130"/>
    </row>
    <row r="150" ht="12.0" customHeight="1">
      <c r="B150" s="260"/>
      <c r="C150" s="130"/>
      <c r="E150" s="130"/>
    </row>
    <row r="151" ht="12.0" customHeight="1">
      <c r="B151" s="260"/>
      <c r="C151" s="130"/>
      <c r="E151" s="130"/>
    </row>
    <row r="152" ht="12.0" customHeight="1">
      <c r="B152" s="260"/>
      <c r="C152" s="130"/>
      <c r="E152" s="130"/>
    </row>
    <row r="153" ht="12.0" customHeight="1">
      <c r="B153" s="260"/>
      <c r="C153" s="130"/>
      <c r="E153" s="130"/>
    </row>
    <row r="154" ht="12.0" customHeight="1">
      <c r="B154" s="260"/>
      <c r="C154" s="130"/>
      <c r="E154" s="130"/>
    </row>
    <row r="155" ht="12.0" customHeight="1">
      <c r="B155" s="260"/>
      <c r="C155" s="130"/>
      <c r="E155" s="130"/>
    </row>
    <row r="156" ht="12.0" customHeight="1">
      <c r="B156" s="260"/>
      <c r="C156" s="130"/>
      <c r="E156" s="130"/>
    </row>
    <row r="157" ht="12.0" customHeight="1">
      <c r="B157" s="260"/>
      <c r="C157" s="130"/>
      <c r="E157" s="130"/>
    </row>
    <row r="158" ht="12.0" customHeight="1">
      <c r="B158" s="260"/>
      <c r="C158" s="130"/>
      <c r="E158" s="130"/>
    </row>
    <row r="159" ht="12.0" customHeight="1">
      <c r="B159" s="260"/>
      <c r="C159" s="130"/>
      <c r="E159" s="130"/>
    </row>
    <row r="160" ht="12.0" customHeight="1">
      <c r="B160" s="260"/>
      <c r="C160" s="130"/>
      <c r="E160" s="130"/>
    </row>
    <row r="161" ht="12.0" customHeight="1">
      <c r="B161" s="260"/>
      <c r="C161" s="130"/>
      <c r="E161" s="130"/>
    </row>
    <row r="162" ht="12.0" customHeight="1">
      <c r="B162" s="260"/>
      <c r="C162" s="130"/>
      <c r="E162" s="130"/>
    </row>
    <row r="163" ht="12.0" customHeight="1">
      <c r="B163" s="260"/>
      <c r="C163" s="130"/>
      <c r="E163" s="130"/>
    </row>
    <row r="164" ht="12.0" customHeight="1">
      <c r="B164" s="260"/>
      <c r="C164" s="130"/>
      <c r="E164" s="130"/>
    </row>
    <row r="165" ht="12.0" customHeight="1">
      <c r="B165" s="260"/>
      <c r="C165" s="130"/>
      <c r="E165" s="130"/>
    </row>
    <row r="166" ht="12.0" customHeight="1">
      <c r="B166" s="260"/>
      <c r="C166" s="130"/>
      <c r="E166" s="130"/>
    </row>
    <row r="167" ht="12.0" customHeight="1">
      <c r="B167" s="260"/>
      <c r="C167" s="130"/>
      <c r="E167" s="130"/>
    </row>
    <row r="168" ht="12.0" customHeight="1">
      <c r="B168" s="260"/>
      <c r="C168" s="130"/>
      <c r="E168" s="130"/>
    </row>
    <row r="169" ht="12.0" customHeight="1">
      <c r="B169" s="260"/>
      <c r="C169" s="130"/>
      <c r="E169" s="130"/>
    </row>
    <row r="170" ht="12.0" customHeight="1">
      <c r="B170" s="260"/>
      <c r="C170" s="130"/>
      <c r="E170" s="130"/>
    </row>
    <row r="171" ht="12.0" customHeight="1">
      <c r="B171" s="260"/>
      <c r="C171" s="130"/>
      <c r="E171" s="130"/>
    </row>
    <row r="172" ht="12.0" customHeight="1">
      <c r="B172" s="260"/>
      <c r="C172" s="130"/>
      <c r="E172" s="130"/>
    </row>
    <row r="173" ht="12.0" customHeight="1">
      <c r="B173" s="260"/>
      <c r="C173" s="130"/>
      <c r="E173" s="130"/>
    </row>
    <row r="174" ht="12.0" customHeight="1">
      <c r="B174" s="260"/>
      <c r="C174" s="130"/>
      <c r="E174" s="130"/>
    </row>
    <row r="175" ht="12.0" customHeight="1">
      <c r="B175" s="260"/>
      <c r="C175" s="130"/>
      <c r="E175" s="130"/>
    </row>
    <row r="176" ht="12.0" customHeight="1">
      <c r="B176" s="260"/>
      <c r="C176" s="130"/>
      <c r="E176" s="130"/>
    </row>
    <row r="177" ht="12.0" customHeight="1">
      <c r="B177" s="260"/>
      <c r="C177" s="130"/>
      <c r="E177" s="130"/>
    </row>
    <row r="178" ht="12.0" customHeight="1">
      <c r="B178" s="260"/>
      <c r="C178" s="130"/>
      <c r="E178" s="130"/>
    </row>
    <row r="179" ht="12.0" customHeight="1">
      <c r="B179" s="260"/>
      <c r="C179" s="130"/>
      <c r="E179" s="130"/>
    </row>
    <row r="180" ht="12.0" customHeight="1">
      <c r="B180" s="260"/>
      <c r="C180" s="130"/>
      <c r="E180" s="130"/>
    </row>
    <row r="181" ht="12.0" customHeight="1">
      <c r="B181" s="260"/>
      <c r="C181" s="130"/>
      <c r="E181" s="130"/>
    </row>
    <row r="182" ht="12.0" customHeight="1">
      <c r="B182" s="260"/>
      <c r="C182" s="130"/>
      <c r="E182" s="130"/>
    </row>
    <row r="183" ht="12.0" customHeight="1">
      <c r="B183" s="260"/>
      <c r="C183" s="130"/>
      <c r="E183" s="130"/>
    </row>
    <row r="184" ht="12.0" customHeight="1">
      <c r="B184" s="260"/>
      <c r="C184" s="130"/>
      <c r="E184" s="130"/>
    </row>
    <row r="185" ht="12.0" customHeight="1">
      <c r="B185" s="260"/>
      <c r="C185" s="130"/>
      <c r="E185" s="130"/>
    </row>
    <row r="186" ht="12.0" customHeight="1">
      <c r="B186" s="260"/>
      <c r="C186" s="130"/>
      <c r="E186" s="130"/>
    </row>
    <row r="187" ht="12.0" customHeight="1">
      <c r="B187" s="260"/>
      <c r="C187" s="130"/>
      <c r="E187" s="130"/>
    </row>
    <row r="188" ht="12.0" customHeight="1">
      <c r="B188" s="260"/>
      <c r="C188" s="130"/>
      <c r="E188" s="130"/>
    </row>
    <row r="189" ht="12.0" customHeight="1">
      <c r="B189" s="260"/>
      <c r="C189" s="130"/>
      <c r="E189" s="130"/>
    </row>
    <row r="190" ht="12.0" customHeight="1">
      <c r="B190" s="260"/>
      <c r="C190" s="130"/>
      <c r="E190" s="130"/>
    </row>
    <row r="191" ht="12.0" customHeight="1">
      <c r="B191" s="260"/>
      <c r="C191" s="130"/>
      <c r="E191" s="130"/>
    </row>
    <row r="192" ht="12.0" customHeight="1">
      <c r="B192" s="260"/>
      <c r="C192" s="130"/>
      <c r="E192" s="130"/>
    </row>
    <row r="193" ht="12.0" customHeight="1">
      <c r="B193" s="260"/>
      <c r="C193" s="130"/>
      <c r="E193" s="130"/>
    </row>
    <row r="194" ht="12.0" customHeight="1">
      <c r="B194" s="260"/>
      <c r="C194" s="130"/>
      <c r="E194" s="130"/>
    </row>
    <row r="195" ht="12.0" customHeight="1">
      <c r="B195" s="260"/>
      <c r="C195" s="130"/>
      <c r="E195" s="130"/>
    </row>
    <row r="196" ht="12.0" customHeight="1">
      <c r="B196" s="260"/>
      <c r="C196" s="130"/>
      <c r="E196" s="130"/>
    </row>
    <row r="197" ht="12.0" customHeight="1">
      <c r="B197" s="260"/>
      <c r="C197" s="130"/>
      <c r="E197" s="130"/>
    </row>
    <row r="198" ht="12.0" customHeight="1">
      <c r="B198" s="260"/>
      <c r="C198" s="130"/>
      <c r="E198" s="130"/>
    </row>
    <row r="199" ht="12.0" customHeight="1">
      <c r="B199" s="260"/>
      <c r="C199" s="130"/>
      <c r="E199" s="130"/>
    </row>
    <row r="200" ht="12.0" customHeight="1">
      <c r="B200" s="260"/>
      <c r="C200" s="130"/>
      <c r="E200" s="130"/>
    </row>
    <row r="201" ht="12.0" customHeight="1">
      <c r="B201" s="260"/>
      <c r="C201" s="130"/>
      <c r="E201" s="130"/>
    </row>
    <row r="202" ht="12.0" customHeight="1">
      <c r="B202" s="260"/>
      <c r="C202" s="130"/>
      <c r="E202" s="130"/>
    </row>
    <row r="203" ht="12.0" customHeight="1">
      <c r="B203" s="260"/>
      <c r="C203" s="130"/>
      <c r="E203" s="130"/>
    </row>
    <row r="204" ht="12.0" customHeight="1">
      <c r="B204" s="260"/>
      <c r="C204" s="130"/>
      <c r="E204" s="130"/>
    </row>
    <row r="205" ht="12.0" customHeight="1">
      <c r="B205" s="260"/>
      <c r="C205" s="130"/>
      <c r="E205" s="130"/>
    </row>
    <row r="206" ht="12.0" customHeight="1">
      <c r="B206" s="260"/>
      <c r="C206" s="130"/>
      <c r="E206" s="130"/>
    </row>
    <row r="207" ht="12.0" customHeight="1">
      <c r="B207" s="260"/>
      <c r="C207" s="130"/>
      <c r="E207" s="130"/>
    </row>
    <row r="208" ht="12.0" customHeight="1">
      <c r="B208" s="260"/>
      <c r="C208" s="130"/>
      <c r="E208" s="130"/>
    </row>
    <row r="209" ht="12.0" customHeight="1">
      <c r="B209" s="260"/>
      <c r="C209" s="130"/>
      <c r="E209" s="130"/>
    </row>
    <row r="210" ht="12.0" customHeight="1">
      <c r="B210" s="260"/>
      <c r="C210" s="130"/>
      <c r="E210" s="130"/>
    </row>
    <row r="211" ht="12.0" customHeight="1">
      <c r="B211" s="260"/>
      <c r="C211" s="130"/>
      <c r="E211" s="130"/>
    </row>
    <row r="212" ht="12.0" customHeight="1">
      <c r="B212" s="260"/>
      <c r="C212" s="130"/>
      <c r="E212" s="130"/>
    </row>
    <row r="213" ht="12.0" customHeight="1">
      <c r="B213" s="260"/>
      <c r="C213" s="130"/>
      <c r="E213" s="130"/>
    </row>
    <row r="214" ht="12.0" customHeight="1">
      <c r="B214" s="260"/>
      <c r="C214" s="130"/>
      <c r="E214" s="130"/>
    </row>
    <row r="215" ht="12.0" customHeight="1">
      <c r="B215" s="260"/>
      <c r="C215" s="130"/>
      <c r="E215" s="130"/>
    </row>
    <row r="216" ht="12.0" customHeight="1">
      <c r="B216" s="260"/>
      <c r="C216" s="130"/>
      <c r="E216" s="130"/>
    </row>
    <row r="217" ht="12.0" customHeight="1">
      <c r="B217" s="260"/>
      <c r="C217" s="130"/>
      <c r="E217" s="130"/>
    </row>
    <row r="218" ht="12.0" customHeight="1">
      <c r="B218" s="260"/>
      <c r="C218" s="130"/>
      <c r="E218" s="130"/>
    </row>
    <row r="219" ht="12.0" customHeight="1">
      <c r="B219" s="260"/>
      <c r="C219" s="130"/>
      <c r="E219" s="130"/>
    </row>
    <row r="220" ht="12.0" customHeight="1">
      <c r="B220" s="260"/>
      <c r="C220" s="130"/>
      <c r="E220" s="130"/>
    </row>
    <row r="221" ht="12.0" customHeight="1">
      <c r="B221" s="260"/>
      <c r="C221" s="130"/>
      <c r="E221" s="130"/>
    </row>
    <row r="222" ht="12.0" customHeight="1">
      <c r="B222" s="260"/>
      <c r="C222" s="130"/>
      <c r="E222" s="130"/>
    </row>
    <row r="223" ht="12.0" customHeight="1">
      <c r="B223" s="260"/>
      <c r="C223" s="130"/>
      <c r="E223" s="130"/>
    </row>
    <row r="224" ht="12.0" customHeight="1">
      <c r="B224" s="260"/>
      <c r="C224" s="130"/>
      <c r="E224" s="130"/>
    </row>
    <row r="225" ht="12.0" customHeight="1">
      <c r="B225" s="260"/>
      <c r="C225" s="130"/>
      <c r="E225" s="130"/>
    </row>
    <row r="226" ht="12.0" customHeight="1">
      <c r="B226" s="260"/>
      <c r="C226" s="130"/>
      <c r="E226" s="130"/>
    </row>
    <row r="227" ht="12.0" customHeight="1">
      <c r="B227" s="260"/>
      <c r="C227" s="130"/>
      <c r="E227" s="130"/>
    </row>
    <row r="228" ht="12.0" customHeight="1">
      <c r="B228" s="260"/>
      <c r="C228" s="130"/>
      <c r="E228" s="130"/>
    </row>
    <row r="229" ht="12.0" customHeight="1">
      <c r="B229" s="260"/>
      <c r="C229" s="130"/>
      <c r="E229" s="130"/>
    </row>
    <row r="230" ht="12.0" customHeight="1">
      <c r="B230" s="260"/>
      <c r="C230" s="130"/>
      <c r="E230" s="130"/>
    </row>
    <row r="231" ht="12.0" customHeight="1">
      <c r="B231" s="260"/>
      <c r="C231" s="130"/>
      <c r="E231" s="130"/>
    </row>
    <row r="232" ht="12.0" customHeight="1">
      <c r="B232" s="260"/>
      <c r="C232" s="130"/>
      <c r="E232" s="130"/>
    </row>
    <row r="233" ht="12.0" customHeight="1">
      <c r="B233" s="260"/>
      <c r="C233" s="130"/>
      <c r="E233" s="130"/>
    </row>
    <row r="234" ht="12.0" customHeight="1">
      <c r="B234" s="260"/>
      <c r="C234" s="130"/>
      <c r="E234" s="130"/>
    </row>
    <row r="235" ht="12.0" customHeight="1">
      <c r="B235" s="260"/>
      <c r="C235" s="130"/>
      <c r="E235" s="130"/>
    </row>
    <row r="236" ht="12.0" customHeight="1">
      <c r="B236" s="260"/>
      <c r="C236" s="130"/>
      <c r="E236" s="130"/>
    </row>
    <row r="237" ht="12.0" customHeight="1">
      <c r="B237" s="260"/>
      <c r="C237" s="130"/>
      <c r="E237" s="130"/>
    </row>
    <row r="238" ht="12.0" customHeight="1">
      <c r="B238" s="260"/>
      <c r="C238" s="130"/>
      <c r="E238" s="130"/>
    </row>
    <row r="239" ht="12.0" customHeight="1">
      <c r="B239" s="260"/>
      <c r="C239" s="130"/>
      <c r="E239" s="130"/>
    </row>
    <row r="240" ht="12.0" customHeight="1">
      <c r="B240" s="260"/>
      <c r="C240" s="130"/>
      <c r="E240" s="130"/>
    </row>
    <row r="241" ht="12.0" customHeight="1">
      <c r="B241" s="260"/>
      <c r="C241" s="130"/>
      <c r="E241" s="130"/>
    </row>
    <row r="242" ht="12.0" customHeight="1">
      <c r="B242" s="260"/>
      <c r="C242" s="130"/>
      <c r="E242" s="130"/>
    </row>
    <row r="243" ht="12.0" customHeight="1">
      <c r="B243" s="260"/>
      <c r="C243" s="130"/>
      <c r="E243" s="130"/>
    </row>
    <row r="244" ht="12.0" customHeight="1">
      <c r="B244" s="260"/>
      <c r="C244" s="130"/>
      <c r="E244" s="130"/>
    </row>
    <row r="245" ht="12.0" customHeight="1">
      <c r="B245" s="260"/>
      <c r="C245" s="130"/>
      <c r="E245" s="130"/>
    </row>
    <row r="246" ht="12.0" customHeight="1">
      <c r="B246" s="260"/>
      <c r="C246" s="130"/>
      <c r="E246" s="130"/>
    </row>
    <row r="247" ht="12.0" customHeight="1">
      <c r="B247" s="260"/>
      <c r="C247" s="130"/>
      <c r="E247" s="130"/>
    </row>
    <row r="248" ht="12.0" customHeight="1">
      <c r="B248" s="260"/>
      <c r="C248" s="130"/>
      <c r="E248" s="130"/>
    </row>
    <row r="249" ht="12.0" customHeight="1">
      <c r="B249" s="260"/>
      <c r="C249" s="130"/>
      <c r="E249" s="130"/>
    </row>
    <row r="250" ht="12.0" customHeight="1">
      <c r="B250" s="260"/>
      <c r="C250" s="130"/>
      <c r="E250" s="130"/>
    </row>
    <row r="251" ht="12.0" customHeight="1">
      <c r="B251" s="260"/>
      <c r="C251" s="130"/>
      <c r="E251" s="130"/>
    </row>
    <row r="252" ht="12.0" customHeight="1">
      <c r="B252" s="260"/>
      <c r="C252" s="130"/>
      <c r="E252" s="130"/>
    </row>
    <row r="253" ht="12.0" customHeight="1">
      <c r="B253" s="260"/>
      <c r="C253" s="130"/>
      <c r="E253" s="130"/>
    </row>
    <row r="254" ht="12.0" customHeight="1">
      <c r="B254" s="260"/>
      <c r="C254" s="130"/>
      <c r="E254" s="130"/>
    </row>
    <row r="255" ht="12.0" customHeight="1">
      <c r="B255" s="260"/>
      <c r="C255" s="130"/>
      <c r="E255" s="130"/>
    </row>
    <row r="256" ht="12.0" customHeight="1">
      <c r="B256" s="260"/>
      <c r="C256" s="130"/>
      <c r="E256" s="130"/>
    </row>
    <row r="257" ht="12.0" customHeight="1">
      <c r="B257" s="260"/>
      <c r="C257" s="130"/>
      <c r="E257" s="130"/>
    </row>
    <row r="258" ht="12.0" customHeight="1">
      <c r="B258" s="260"/>
      <c r="C258" s="130"/>
      <c r="E258" s="130"/>
    </row>
    <row r="259" ht="12.0" customHeight="1">
      <c r="B259" s="260"/>
      <c r="C259" s="130"/>
      <c r="E259" s="130"/>
    </row>
    <row r="260" ht="12.0" customHeight="1">
      <c r="B260" s="260"/>
      <c r="C260" s="130"/>
      <c r="E260" s="130"/>
    </row>
    <row r="261" ht="12.0" customHeight="1">
      <c r="B261" s="260"/>
      <c r="C261" s="130"/>
      <c r="E261" s="130"/>
    </row>
    <row r="262" ht="12.0" customHeight="1">
      <c r="B262" s="260"/>
      <c r="C262" s="130"/>
      <c r="E262" s="130"/>
    </row>
    <row r="263" ht="12.0" customHeight="1">
      <c r="B263" s="260"/>
      <c r="C263" s="130"/>
      <c r="E263" s="130"/>
    </row>
    <row r="264" ht="12.0" customHeight="1">
      <c r="B264" s="260"/>
      <c r="C264" s="130"/>
      <c r="E264" s="130"/>
    </row>
    <row r="265" ht="12.0" customHeight="1">
      <c r="B265" s="260"/>
      <c r="C265" s="130"/>
      <c r="E265" s="130"/>
    </row>
    <row r="266" ht="12.0" customHeight="1">
      <c r="B266" s="260"/>
      <c r="C266" s="130"/>
      <c r="E266" s="130"/>
    </row>
    <row r="267" ht="12.0" customHeight="1">
      <c r="B267" s="260"/>
      <c r="C267" s="130"/>
      <c r="E267" s="130"/>
    </row>
    <row r="268" ht="12.0" customHeight="1">
      <c r="B268" s="260"/>
      <c r="C268" s="130"/>
      <c r="E268" s="130"/>
    </row>
    <row r="269" ht="12.0" customHeight="1">
      <c r="B269" s="260"/>
      <c r="C269" s="130"/>
      <c r="E269" s="130"/>
    </row>
    <row r="270" ht="12.0" customHeight="1">
      <c r="B270" s="260"/>
      <c r="C270" s="130"/>
      <c r="E270" s="130"/>
    </row>
    <row r="271" ht="12.0" customHeight="1">
      <c r="B271" s="260"/>
      <c r="C271" s="130"/>
      <c r="E271" s="130"/>
    </row>
    <row r="272" ht="12.0" customHeight="1">
      <c r="B272" s="260"/>
      <c r="C272" s="130"/>
      <c r="E272" s="130"/>
    </row>
    <row r="273" ht="12.0" customHeight="1">
      <c r="B273" s="260"/>
      <c r="C273" s="130"/>
      <c r="E273" s="130"/>
    </row>
    <row r="274" ht="12.0" customHeight="1">
      <c r="B274" s="260"/>
      <c r="C274" s="130"/>
      <c r="E274" s="130"/>
    </row>
    <row r="275" ht="12.0" customHeight="1">
      <c r="B275" s="260"/>
      <c r="C275" s="130"/>
      <c r="E275" s="130"/>
    </row>
    <row r="276" ht="12.0" customHeight="1">
      <c r="B276" s="260"/>
      <c r="C276" s="130"/>
      <c r="E276" s="130"/>
    </row>
    <row r="277" ht="12.0" customHeight="1">
      <c r="B277" s="260"/>
      <c r="C277" s="130"/>
      <c r="E277" s="130"/>
    </row>
    <row r="278" ht="12.0" customHeight="1">
      <c r="B278" s="260"/>
      <c r="C278" s="130"/>
      <c r="E278" s="130"/>
    </row>
    <row r="279" ht="12.0" customHeight="1">
      <c r="B279" s="260"/>
      <c r="C279" s="130"/>
      <c r="E279" s="130"/>
    </row>
    <row r="280" ht="12.0" customHeight="1">
      <c r="B280" s="260"/>
      <c r="C280" s="130"/>
      <c r="E280" s="130"/>
    </row>
    <row r="281" ht="12.0" customHeight="1">
      <c r="B281" s="260"/>
      <c r="C281" s="130"/>
      <c r="E281" s="130"/>
    </row>
    <row r="282" ht="12.0" customHeight="1">
      <c r="B282" s="260"/>
      <c r="C282" s="130"/>
      <c r="E282" s="130"/>
    </row>
    <row r="283" ht="12.0" customHeight="1">
      <c r="B283" s="260"/>
      <c r="C283" s="130"/>
      <c r="E283" s="130"/>
    </row>
    <row r="284" ht="12.0" customHeight="1">
      <c r="B284" s="260"/>
      <c r="C284" s="130"/>
      <c r="E284" s="130"/>
    </row>
    <row r="285" ht="12.0" customHeight="1">
      <c r="B285" s="260"/>
      <c r="C285" s="130"/>
      <c r="E285" s="130"/>
    </row>
    <row r="286" ht="12.0" customHeight="1">
      <c r="B286" s="260"/>
      <c r="C286" s="130"/>
      <c r="E286" s="130"/>
    </row>
    <row r="287" ht="12.0" customHeight="1">
      <c r="B287" s="260"/>
      <c r="C287" s="130"/>
      <c r="E287" s="130"/>
    </row>
    <row r="288" ht="12.0" customHeight="1">
      <c r="B288" s="260"/>
      <c r="C288" s="130"/>
      <c r="E288" s="130"/>
    </row>
    <row r="289" ht="12.0" customHeight="1">
      <c r="B289" s="260"/>
      <c r="C289" s="130"/>
      <c r="E289" s="130"/>
    </row>
    <row r="290" ht="12.0" customHeight="1">
      <c r="B290" s="260"/>
      <c r="C290" s="130"/>
      <c r="E290" s="130"/>
    </row>
    <row r="291" ht="12.0" customHeight="1">
      <c r="B291" s="260"/>
      <c r="C291" s="130"/>
      <c r="E291" s="130"/>
    </row>
    <row r="292" ht="12.0" customHeight="1">
      <c r="B292" s="260"/>
      <c r="C292" s="130"/>
      <c r="E292" s="130"/>
    </row>
    <row r="293" ht="12.0" customHeight="1">
      <c r="B293" s="260"/>
      <c r="C293" s="130"/>
      <c r="E293" s="130"/>
    </row>
    <row r="294" ht="12.0" customHeight="1">
      <c r="B294" s="260"/>
      <c r="C294" s="130"/>
      <c r="E294" s="130"/>
    </row>
    <row r="295" ht="12.0" customHeight="1">
      <c r="B295" s="260"/>
      <c r="C295" s="130"/>
      <c r="E295" s="130"/>
    </row>
    <row r="296" ht="12.0" customHeight="1">
      <c r="B296" s="260"/>
      <c r="C296" s="130"/>
      <c r="E296" s="130"/>
    </row>
    <row r="297" ht="12.0" customHeight="1">
      <c r="B297" s="260"/>
      <c r="C297" s="130"/>
      <c r="E297" s="130"/>
    </row>
    <row r="298" ht="12.0" customHeight="1">
      <c r="B298" s="260"/>
      <c r="C298" s="130"/>
      <c r="E298" s="130"/>
    </row>
    <row r="299" ht="12.0" customHeight="1">
      <c r="B299" s="260"/>
      <c r="C299" s="130"/>
      <c r="E299" s="130"/>
    </row>
    <row r="300" ht="12.0" customHeight="1">
      <c r="B300" s="260"/>
      <c r="C300" s="130"/>
      <c r="E300" s="130"/>
    </row>
    <row r="301" ht="12.0" customHeight="1">
      <c r="B301" s="260"/>
      <c r="C301" s="130"/>
      <c r="E301" s="130"/>
    </row>
    <row r="302" ht="12.0" customHeight="1">
      <c r="B302" s="260"/>
      <c r="C302" s="130"/>
      <c r="E302" s="130"/>
    </row>
    <row r="303" ht="12.0" customHeight="1">
      <c r="B303" s="260"/>
      <c r="C303" s="130"/>
      <c r="E303" s="130"/>
    </row>
    <row r="304" ht="12.0" customHeight="1">
      <c r="B304" s="260"/>
      <c r="C304" s="130"/>
      <c r="E304" s="130"/>
    </row>
    <row r="305" ht="12.0" customHeight="1">
      <c r="B305" s="260"/>
      <c r="C305" s="130"/>
      <c r="E305" s="130"/>
    </row>
    <row r="306" ht="12.0" customHeight="1">
      <c r="B306" s="260"/>
      <c r="C306" s="130"/>
      <c r="E306" s="130"/>
    </row>
    <row r="307" ht="12.0" customHeight="1">
      <c r="B307" s="260"/>
      <c r="C307" s="130"/>
      <c r="E307" s="130"/>
    </row>
    <row r="308" ht="12.0" customHeight="1">
      <c r="B308" s="260"/>
      <c r="C308" s="130"/>
      <c r="E308" s="130"/>
    </row>
    <row r="309" ht="12.0" customHeight="1">
      <c r="B309" s="260"/>
      <c r="C309" s="130"/>
      <c r="E309" s="130"/>
    </row>
    <row r="310" ht="12.0" customHeight="1">
      <c r="B310" s="260"/>
      <c r="C310" s="130"/>
      <c r="E310" s="130"/>
    </row>
    <row r="311" ht="12.0" customHeight="1">
      <c r="B311" s="260"/>
      <c r="C311" s="130"/>
      <c r="E311" s="130"/>
    </row>
    <row r="312" ht="12.0" customHeight="1">
      <c r="B312" s="260"/>
      <c r="C312" s="130"/>
      <c r="E312" s="130"/>
    </row>
    <row r="313" ht="12.0" customHeight="1">
      <c r="B313" s="260"/>
      <c r="C313" s="130"/>
      <c r="E313" s="130"/>
    </row>
    <row r="314" ht="12.0" customHeight="1">
      <c r="B314" s="260"/>
      <c r="C314" s="130"/>
      <c r="E314" s="130"/>
    </row>
    <row r="315" ht="12.0" customHeight="1">
      <c r="B315" s="260"/>
      <c r="C315" s="130"/>
      <c r="E315" s="130"/>
    </row>
    <row r="316" ht="12.0" customHeight="1">
      <c r="B316" s="260"/>
      <c r="C316" s="130"/>
      <c r="E316" s="130"/>
    </row>
    <row r="317" ht="12.0" customHeight="1">
      <c r="B317" s="260"/>
      <c r="C317" s="130"/>
      <c r="E317" s="130"/>
    </row>
    <row r="318" ht="12.0" customHeight="1">
      <c r="B318" s="260"/>
      <c r="C318" s="130"/>
      <c r="E318" s="130"/>
    </row>
    <row r="319" ht="12.0" customHeight="1">
      <c r="B319" s="260"/>
      <c r="C319" s="130"/>
      <c r="E319" s="130"/>
    </row>
    <row r="320" ht="12.0" customHeight="1">
      <c r="B320" s="260"/>
      <c r="C320" s="130"/>
      <c r="E320" s="130"/>
    </row>
    <row r="321" ht="12.0" customHeight="1">
      <c r="B321" s="260"/>
      <c r="C321" s="130"/>
      <c r="E321" s="130"/>
    </row>
    <row r="322" ht="12.0" customHeight="1">
      <c r="B322" s="260"/>
      <c r="C322" s="130"/>
      <c r="E322" s="130"/>
    </row>
    <row r="323" ht="12.0" customHeight="1">
      <c r="B323" s="260"/>
      <c r="C323" s="130"/>
      <c r="E323" s="130"/>
    </row>
    <row r="324" ht="12.0" customHeight="1">
      <c r="B324" s="260"/>
      <c r="C324" s="130"/>
      <c r="E324" s="130"/>
    </row>
    <row r="325" ht="12.0" customHeight="1">
      <c r="B325" s="260"/>
      <c r="C325" s="130"/>
      <c r="E325" s="130"/>
    </row>
    <row r="326" ht="12.0" customHeight="1">
      <c r="B326" s="260"/>
      <c r="C326" s="130"/>
      <c r="E326" s="130"/>
    </row>
    <row r="327" ht="12.0" customHeight="1">
      <c r="B327" s="260"/>
      <c r="C327" s="130"/>
      <c r="E327" s="130"/>
    </row>
    <row r="328" ht="12.0" customHeight="1">
      <c r="B328" s="260"/>
      <c r="C328" s="130"/>
      <c r="E328" s="130"/>
    </row>
    <row r="329" ht="12.0" customHeight="1">
      <c r="B329" s="260"/>
      <c r="C329" s="130"/>
      <c r="E329" s="130"/>
    </row>
    <row r="330" ht="12.0" customHeight="1">
      <c r="B330" s="260"/>
      <c r="C330" s="130"/>
      <c r="E330" s="130"/>
    </row>
    <row r="331" ht="12.0" customHeight="1">
      <c r="B331" s="260"/>
      <c r="C331" s="130"/>
      <c r="E331" s="130"/>
    </row>
    <row r="332" ht="12.0" customHeight="1">
      <c r="B332" s="260"/>
      <c r="C332" s="130"/>
      <c r="E332" s="130"/>
    </row>
    <row r="333" ht="12.0" customHeight="1">
      <c r="B333" s="260"/>
      <c r="C333" s="130"/>
      <c r="E333" s="130"/>
    </row>
    <row r="334" ht="12.0" customHeight="1">
      <c r="B334" s="260"/>
      <c r="C334" s="130"/>
      <c r="E334" s="130"/>
    </row>
    <row r="335" ht="12.0" customHeight="1">
      <c r="B335" s="260"/>
      <c r="C335" s="130"/>
      <c r="E335" s="130"/>
    </row>
    <row r="336" ht="12.0" customHeight="1">
      <c r="B336" s="260"/>
      <c r="C336" s="130"/>
      <c r="E336" s="130"/>
    </row>
    <row r="337" ht="12.0" customHeight="1">
      <c r="B337" s="260"/>
      <c r="C337" s="130"/>
      <c r="E337" s="130"/>
    </row>
    <row r="338" ht="12.0" customHeight="1">
      <c r="B338" s="260"/>
      <c r="C338" s="130"/>
      <c r="E338" s="130"/>
    </row>
    <row r="339" ht="12.0" customHeight="1">
      <c r="B339" s="260"/>
      <c r="C339" s="130"/>
      <c r="E339" s="130"/>
    </row>
    <row r="340" ht="12.0" customHeight="1">
      <c r="B340" s="260"/>
      <c r="C340" s="130"/>
      <c r="E340" s="130"/>
    </row>
    <row r="341" ht="12.0" customHeight="1">
      <c r="B341" s="260"/>
      <c r="C341" s="130"/>
      <c r="E341" s="130"/>
    </row>
    <row r="342" ht="12.0" customHeight="1">
      <c r="B342" s="260"/>
      <c r="C342" s="130"/>
      <c r="E342" s="130"/>
    </row>
    <row r="343" ht="12.0" customHeight="1">
      <c r="B343" s="260"/>
      <c r="C343" s="130"/>
      <c r="E343" s="130"/>
    </row>
    <row r="344" ht="12.0" customHeight="1">
      <c r="B344" s="260"/>
      <c r="C344" s="130"/>
      <c r="E344" s="130"/>
    </row>
    <row r="345" ht="12.0" customHeight="1">
      <c r="B345" s="260"/>
      <c r="C345" s="130"/>
      <c r="E345" s="130"/>
    </row>
    <row r="346" ht="12.0" customHeight="1">
      <c r="B346" s="260"/>
      <c r="C346" s="130"/>
      <c r="E346" s="130"/>
    </row>
    <row r="347" ht="12.0" customHeight="1">
      <c r="B347" s="260"/>
      <c r="C347" s="130"/>
      <c r="E347" s="130"/>
    </row>
    <row r="348" ht="12.0" customHeight="1">
      <c r="B348" s="260"/>
      <c r="C348" s="130"/>
      <c r="E348" s="130"/>
    </row>
    <row r="349" ht="12.0" customHeight="1">
      <c r="B349" s="260"/>
      <c r="C349" s="130"/>
      <c r="E349" s="130"/>
    </row>
    <row r="350" ht="12.0" customHeight="1">
      <c r="B350" s="260"/>
      <c r="C350" s="130"/>
      <c r="E350" s="130"/>
    </row>
    <row r="351" ht="12.0" customHeight="1">
      <c r="B351" s="260"/>
      <c r="C351" s="130"/>
      <c r="E351" s="130"/>
    </row>
    <row r="352" ht="12.0" customHeight="1">
      <c r="B352" s="260"/>
      <c r="C352" s="130"/>
      <c r="E352" s="130"/>
    </row>
    <row r="353" ht="12.0" customHeight="1">
      <c r="B353" s="260"/>
      <c r="C353" s="130"/>
      <c r="E353" s="130"/>
    </row>
    <row r="354" ht="12.0" customHeight="1">
      <c r="B354" s="260"/>
      <c r="C354" s="130"/>
      <c r="E354" s="130"/>
    </row>
    <row r="355" ht="12.0" customHeight="1">
      <c r="B355" s="260"/>
      <c r="C355" s="130"/>
      <c r="E355" s="130"/>
    </row>
    <row r="356" ht="12.0" customHeight="1">
      <c r="B356" s="260"/>
      <c r="C356" s="130"/>
      <c r="E356" s="130"/>
    </row>
    <row r="357" ht="12.0" customHeight="1">
      <c r="B357" s="260"/>
      <c r="C357" s="130"/>
      <c r="E357" s="130"/>
    </row>
    <row r="358" ht="12.0" customHeight="1">
      <c r="B358" s="260"/>
      <c r="C358" s="130"/>
      <c r="E358" s="130"/>
    </row>
    <row r="359" ht="12.0" customHeight="1">
      <c r="B359" s="260"/>
      <c r="C359" s="130"/>
      <c r="E359" s="130"/>
    </row>
    <row r="360" ht="12.0" customHeight="1">
      <c r="B360" s="260"/>
      <c r="C360" s="130"/>
      <c r="E360" s="130"/>
    </row>
    <row r="361" ht="12.0" customHeight="1">
      <c r="B361" s="260"/>
      <c r="C361" s="130"/>
      <c r="E361" s="130"/>
    </row>
    <row r="362" ht="12.0" customHeight="1">
      <c r="B362" s="260"/>
      <c r="C362" s="130"/>
      <c r="E362" s="130"/>
    </row>
    <row r="363" ht="12.0" customHeight="1">
      <c r="B363" s="260"/>
      <c r="C363" s="130"/>
      <c r="E363" s="130"/>
    </row>
    <row r="364" ht="12.0" customHeight="1">
      <c r="B364" s="260"/>
      <c r="C364" s="130"/>
      <c r="E364" s="130"/>
    </row>
    <row r="365" ht="12.0" customHeight="1">
      <c r="B365" s="260"/>
      <c r="C365" s="130"/>
      <c r="E365" s="130"/>
    </row>
    <row r="366" ht="12.0" customHeight="1">
      <c r="B366" s="260"/>
      <c r="C366" s="130"/>
      <c r="E366" s="130"/>
    </row>
    <row r="367" ht="12.0" customHeight="1">
      <c r="B367" s="260"/>
      <c r="C367" s="130"/>
      <c r="E367" s="130"/>
    </row>
    <row r="368" ht="12.0" customHeight="1">
      <c r="B368" s="260"/>
      <c r="C368" s="130"/>
      <c r="E368" s="130"/>
    </row>
    <row r="369" ht="12.0" customHeight="1">
      <c r="B369" s="260"/>
      <c r="C369" s="130"/>
      <c r="E369" s="130"/>
    </row>
    <row r="370" ht="12.0" customHeight="1">
      <c r="B370" s="260"/>
      <c r="C370" s="130"/>
      <c r="E370" s="130"/>
    </row>
    <row r="371" ht="12.0" customHeight="1">
      <c r="B371" s="260"/>
      <c r="C371" s="130"/>
      <c r="E371" s="130"/>
    </row>
    <row r="372" ht="12.0" customHeight="1">
      <c r="B372" s="260"/>
      <c r="C372" s="130"/>
      <c r="E372" s="130"/>
    </row>
    <row r="373" ht="12.0" customHeight="1">
      <c r="B373" s="260"/>
      <c r="C373" s="130"/>
      <c r="E373" s="130"/>
    </row>
    <row r="374" ht="12.0" customHeight="1">
      <c r="B374" s="260"/>
      <c r="C374" s="130"/>
      <c r="E374" s="130"/>
    </row>
    <row r="375" ht="12.0" customHeight="1">
      <c r="B375" s="260"/>
      <c r="C375" s="130"/>
      <c r="E375" s="130"/>
    </row>
    <row r="376" ht="12.0" customHeight="1">
      <c r="B376" s="260"/>
      <c r="C376" s="130"/>
      <c r="E376" s="130"/>
    </row>
    <row r="377" ht="12.0" customHeight="1">
      <c r="B377" s="260"/>
      <c r="C377" s="130"/>
      <c r="E377" s="130"/>
    </row>
    <row r="378" ht="12.0" customHeight="1">
      <c r="B378" s="260"/>
      <c r="C378" s="130"/>
      <c r="E378" s="130"/>
    </row>
    <row r="379" ht="12.0" customHeight="1">
      <c r="B379" s="260"/>
      <c r="C379" s="130"/>
      <c r="E379" s="130"/>
    </row>
    <row r="380" ht="12.0" customHeight="1">
      <c r="B380" s="260"/>
      <c r="C380" s="130"/>
      <c r="E380" s="130"/>
    </row>
    <row r="381" ht="12.0" customHeight="1">
      <c r="B381" s="260"/>
      <c r="C381" s="130"/>
      <c r="E381" s="130"/>
    </row>
    <row r="382" ht="12.0" customHeight="1">
      <c r="B382" s="260"/>
      <c r="C382" s="130"/>
      <c r="E382" s="130"/>
    </row>
    <row r="383" ht="12.0" customHeight="1">
      <c r="B383" s="260"/>
      <c r="C383" s="130"/>
      <c r="E383" s="130"/>
    </row>
    <row r="384" ht="12.0" customHeight="1">
      <c r="B384" s="260"/>
      <c r="C384" s="130"/>
      <c r="E384" s="130"/>
    </row>
    <row r="385" ht="12.0" customHeight="1">
      <c r="B385" s="260"/>
      <c r="C385" s="130"/>
      <c r="E385" s="130"/>
    </row>
    <row r="386" ht="12.0" customHeight="1">
      <c r="B386" s="260"/>
      <c r="C386" s="130"/>
      <c r="E386" s="130"/>
    </row>
    <row r="387" ht="12.0" customHeight="1">
      <c r="B387" s="260"/>
      <c r="C387" s="130"/>
      <c r="E387" s="130"/>
    </row>
    <row r="388" ht="12.0" customHeight="1">
      <c r="B388" s="260"/>
      <c r="C388" s="130"/>
      <c r="E388" s="130"/>
    </row>
    <row r="389" ht="12.0" customHeight="1">
      <c r="B389" s="260"/>
      <c r="C389" s="130"/>
      <c r="E389" s="130"/>
    </row>
    <row r="390" ht="12.0" customHeight="1">
      <c r="B390" s="260"/>
      <c r="C390" s="130"/>
      <c r="E390" s="130"/>
    </row>
    <row r="391" ht="12.0" customHeight="1">
      <c r="B391" s="260"/>
      <c r="C391" s="130"/>
      <c r="E391" s="130"/>
    </row>
    <row r="392" ht="12.0" customHeight="1">
      <c r="B392" s="260"/>
      <c r="C392" s="130"/>
      <c r="E392" s="130"/>
    </row>
    <row r="393" ht="12.0" customHeight="1">
      <c r="B393" s="260"/>
      <c r="C393" s="130"/>
      <c r="E393" s="130"/>
    </row>
    <row r="394" ht="12.0" customHeight="1">
      <c r="B394" s="260"/>
      <c r="C394" s="130"/>
      <c r="E394" s="130"/>
    </row>
    <row r="395" ht="12.0" customHeight="1">
      <c r="B395" s="260"/>
      <c r="C395" s="130"/>
      <c r="E395" s="130"/>
    </row>
    <row r="396" ht="12.0" customHeight="1">
      <c r="B396" s="260"/>
      <c r="C396" s="130"/>
      <c r="E396" s="130"/>
    </row>
    <row r="397" ht="12.0" customHeight="1">
      <c r="B397" s="260"/>
      <c r="C397" s="130"/>
      <c r="E397" s="130"/>
    </row>
    <row r="398" ht="12.0" customHeight="1">
      <c r="B398" s="260"/>
      <c r="C398" s="130"/>
      <c r="E398" s="130"/>
    </row>
    <row r="399" ht="12.0" customHeight="1">
      <c r="B399" s="260"/>
      <c r="C399" s="130"/>
      <c r="E399" s="130"/>
    </row>
    <row r="400" ht="12.0" customHeight="1">
      <c r="B400" s="260"/>
      <c r="C400" s="130"/>
      <c r="E400" s="130"/>
    </row>
    <row r="401" ht="12.0" customHeight="1">
      <c r="B401" s="260"/>
      <c r="C401" s="130"/>
      <c r="E401" s="130"/>
    </row>
    <row r="402" ht="12.0" customHeight="1">
      <c r="B402" s="260"/>
      <c r="C402" s="130"/>
      <c r="E402" s="130"/>
    </row>
    <row r="403" ht="12.0" customHeight="1">
      <c r="B403" s="260"/>
      <c r="C403" s="130"/>
      <c r="E403" s="130"/>
    </row>
    <row r="404" ht="12.0" customHeight="1">
      <c r="B404" s="260"/>
      <c r="C404" s="130"/>
      <c r="E404" s="130"/>
    </row>
    <row r="405" ht="12.0" customHeight="1">
      <c r="B405" s="260"/>
      <c r="C405" s="130"/>
      <c r="E405" s="130"/>
    </row>
    <row r="406" ht="12.0" customHeight="1">
      <c r="B406" s="260"/>
      <c r="C406" s="130"/>
      <c r="E406" s="130"/>
    </row>
    <row r="407" ht="12.0" customHeight="1">
      <c r="B407" s="260"/>
      <c r="C407" s="130"/>
      <c r="E407" s="130"/>
    </row>
    <row r="408" ht="12.0" customHeight="1">
      <c r="B408" s="260"/>
      <c r="C408" s="130"/>
      <c r="E408" s="130"/>
    </row>
    <row r="409" ht="12.0" customHeight="1">
      <c r="B409" s="260"/>
      <c r="C409" s="130"/>
      <c r="E409" s="130"/>
    </row>
    <row r="410" ht="12.0" customHeight="1">
      <c r="B410" s="260"/>
      <c r="C410" s="130"/>
      <c r="E410" s="130"/>
    </row>
    <row r="411" ht="12.0" customHeight="1">
      <c r="B411" s="260"/>
      <c r="C411" s="130"/>
      <c r="E411" s="130"/>
    </row>
    <row r="412" ht="12.0" customHeight="1">
      <c r="B412" s="260"/>
      <c r="C412" s="130"/>
      <c r="E412" s="130"/>
    </row>
    <row r="413" ht="12.0" customHeight="1">
      <c r="B413" s="260"/>
      <c r="C413" s="130"/>
      <c r="E413" s="130"/>
    </row>
    <row r="414" ht="12.0" customHeight="1">
      <c r="B414" s="260"/>
      <c r="C414" s="130"/>
      <c r="E414" s="130"/>
    </row>
    <row r="415" ht="12.0" customHeight="1">
      <c r="B415" s="260"/>
      <c r="C415" s="130"/>
      <c r="E415" s="130"/>
    </row>
    <row r="416" ht="12.0" customHeight="1">
      <c r="B416" s="260"/>
      <c r="C416" s="130"/>
      <c r="E416" s="130"/>
    </row>
    <row r="417" ht="12.0" customHeight="1">
      <c r="B417" s="260"/>
      <c r="C417" s="130"/>
      <c r="E417" s="130"/>
    </row>
    <row r="418" ht="12.0" customHeight="1">
      <c r="B418" s="260"/>
      <c r="C418" s="130"/>
      <c r="E418" s="130"/>
    </row>
    <row r="419" ht="12.0" customHeight="1">
      <c r="B419" s="260"/>
      <c r="C419" s="130"/>
      <c r="E419" s="130"/>
    </row>
    <row r="420" ht="12.0" customHeight="1">
      <c r="B420" s="260"/>
      <c r="C420" s="130"/>
      <c r="E420" s="130"/>
    </row>
    <row r="421" ht="12.0" customHeight="1">
      <c r="B421" s="260"/>
      <c r="C421" s="130"/>
      <c r="E421" s="130"/>
    </row>
    <row r="422" ht="12.0" customHeight="1">
      <c r="B422" s="260"/>
      <c r="C422" s="130"/>
      <c r="E422" s="130"/>
    </row>
    <row r="423" ht="12.0" customHeight="1">
      <c r="B423" s="260"/>
      <c r="C423" s="130"/>
      <c r="E423" s="130"/>
    </row>
    <row r="424" ht="12.0" customHeight="1">
      <c r="B424" s="260"/>
      <c r="C424" s="130"/>
      <c r="E424" s="130"/>
    </row>
    <row r="425" ht="12.0" customHeight="1">
      <c r="B425" s="260"/>
      <c r="C425" s="130"/>
      <c r="E425" s="130"/>
    </row>
    <row r="426" ht="12.0" customHeight="1">
      <c r="B426" s="260"/>
      <c r="C426" s="130"/>
      <c r="E426" s="130"/>
    </row>
    <row r="427" ht="12.0" customHeight="1">
      <c r="B427" s="260"/>
      <c r="C427" s="130"/>
      <c r="E427" s="130"/>
    </row>
    <row r="428" ht="12.0" customHeight="1">
      <c r="B428" s="260"/>
      <c r="C428" s="130"/>
      <c r="E428" s="130"/>
    </row>
    <row r="429" ht="12.0" customHeight="1">
      <c r="B429" s="260"/>
      <c r="C429" s="130"/>
      <c r="E429" s="130"/>
    </row>
    <row r="430" ht="12.0" customHeight="1">
      <c r="B430" s="260"/>
      <c r="C430" s="130"/>
      <c r="E430" s="130"/>
    </row>
    <row r="431" ht="12.0" customHeight="1">
      <c r="B431" s="260"/>
      <c r="C431" s="130"/>
      <c r="E431" s="130"/>
    </row>
    <row r="432" ht="12.0" customHeight="1">
      <c r="B432" s="260"/>
      <c r="C432" s="130"/>
      <c r="E432" s="130"/>
    </row>
    <row r="433" ht="12.0" customHeight="1">
      <c r="B433" s="260"/>
      <c r="C433" s="130"/>
      <c r="E433" s="130"/>
    </row>
    <row r="434" ht="12.0" customHeight="1">
      <c r="B434" s="260"/>
      <c r="C434" s="130"/>
      <c r="E434" s="130"/>
    </row>
    <row r="435" ht="12.0" customHeight="1">
      <c r="B435" s="260"/>
      <c r="C435" s="130"/>
      <c r="E435" s="130"/>
    </row>
    <row r="436" ht="12.0" customHeight="1">
      <c r="B436" s="260"/>
      <c r="C436" s="130"/>
      <c r="E436" s="130"/>
    </row>
    <row r="437" ht="12.0" customHeight="1">
      <c r="B437" s="260"/>
      <c r="C437" s="130"/>
      <c r="E437" s="130"/>
    </row>
    <row r="438" ht="12.0" customHeight="1">
      <c r="B438" s="260"/>
      <c r="C438" s="130"/>
      <c r="E438" s="130"/>
    </row>
    <row r="439" ht="12.0" customHeight="1">
      <c r="B439" s="260"/>
      <c r="C439" s="130"/>
      <c r="E439" s="130"/>
    </row>
    <row r="440" ht="12.0" customHeight="1">
      <c r="B440" s="260"/>
      <c r="C440" s="130"/>
      <c r="E440" s="130"/>
    </row>
    <row r="441" ht="12.0" customHeight="1">
      <c r="B441" s="260"/>
      <c r="C441" s="130"/>
      <c r="E441" s="130"/>
    </row>
    <row r="442" ht="12.0" customHeight="1">
      <c r="B442" s="260"/>
      <c r="C442" s="130"/>
      <c r="E442" s="130"/>
    </row>
    <row r="443" ht="12.0" customHeight="1">
      <c r="B443" s="260"/>
      <c r="C443" s="130"/>
      <c r="E443" s="130"/>
    </row>
    <row r="444" ht="12.0" customHeight="1">
      <c r="B444" s="260"/>
      <c r="C444" s="130"/>
      <c r="E444" s="130"/>
    </row>
    <row r="445" ht="12.0" customHeight="1">
      <c r="B445" s="260"/>
      <c r="C445" s="130"/>
      <c r="E445" s="130"/>
    </row>
    <row r="446" ht="12.0" customHeight="1">
      <c r="B446" s="260"/>
      <c r="C446" s="130"/>
      <c r="E446" s="130"/>
    </row>
    <row r="447" ht="12.0" customHeight="1">
      <c r="B447" s="260"/>
      <c r="C447" s="130"/>
      <c r="E447" s="130"/>
    </row>
    <row r="448" ht="12.0" customHeight="1">
      <c r="B448" s="260"/>
      <c r="C448" s="130"/>
      <c r="E448" s="130"/>
    </row>
    <row r="449" ht="12.0" customHeight="1">
      <c r="B449" s="260"/>
      <c r="C449" s="130"/>
      <c r="E449" s="130"/>
    </row>
    <row r="450" ht="12.0" customHeight="1">
      <c r="B450" s="260"/>
      <c r="C450" s="130"/>
      <c r="E450" s="130"/>
    </row>
    <row r="451" ht="12.0" customHeight="1">
      <c r="B451" s="260"/>
      <c r="C451" s="130"/>
      <c r="E451" s="130"/>
    </row>
    <row r="452" ht="12.0" customHeight="1">
      <c r="B452" s="260"/>
      <c r="C452" s="130"/>
      <c r="E452" s="130"/>
    </row>
    <row r="453" ht="12.0" customHeight="1">
      <c r="B453" s="260"/>
      <c r="C453" s="130"/>
      <c r="E453" s="130"/>
    </row>
    <row r="454" ht="12.0" customHeight="1">
      <c r="B454" s="260"/>
      <c r="C454" s="130"/>
      <c r="E454" s="130"/>
    </row>
    <row r="455" ht="12.0" customHeight="1">
      <c r="B455" s="260"/>
      <c r="C455" s="130"/>
      <c r="E455" s="130"/>
    </row>
    <row r="456" ht="12.0" customHeight="1">
      <c r="B456" s="260"/>
      <c r="C456" s="130"/>
      <c r="E456" s="130"/>
    </row>
    <row r="457" ht="12.0" customHeight="1">
      <c r="B457" s="260"/>
      <c r="C457" s="130"/>
      <c r="E457" s="130"/>
    </row>
    <row r="458" ht="12.0" customHeight="1">
      <c r="B458" s="260"/>
      <c r="C458" s="130"/>
      <c r="E458" s="130"/>
    </row>
    <row r="459" ht="12.0" customHeight="1">
      <c r="B459" s="260"/>
      <c r="C459" s="130"/>
      <c r="E459" s="130"/>
    </row>
    <row r="460" ht="12.0" customHeight="1">
      <c r="B460" s="260"/>
      <c r="C460" s="130"/>
      <c r="E460" s="130"/>
    </row>
    <row r="461" ht="12.0" customHeight="1">
      <c r="B461" s="260"/>
      <c r="C461" s="130"/>
      <c r="E461" s="130"/>
    </row>
    <row r="462" ht="12.0" customHeight="1">
      <c r="B462" s="260"/>
      <c r="C462" s="130"/>
      <c r="E462" s="130"/>
    </row>
    <row r="463" ht="12.0" customHeight="1">
      <c r="B463" s="260"/>
      <c r="C463" s="130"/>
      <c r="E463" s="130"/>
    </row>
    <row r="464" ht="12.0" customHeight="1">
      <c r="B464" s="260"/>
      <c r="C464" s="130"/>
      <c r="E464" s="130"/>
    </row>
    <row r="465" ht="12.0" customHeight="1">
      <c r="B465" s="260"/>
      <c r="C465" s="130"/>
      <c r="E465" s="130"/>
    </row>
    <row r="466" ht="12.0" customHeight="1">
      <c r="B466" s="260"/>
      <c r="C466" s="130"/>
      <c r="E466" s="130"/>
    </row>
    <row r="467" ht="12.0" customHeight="1">
      <c r="B467" s="260"/>
      <c r="C467" s="130"/>
      <c r="E467" s="130"/>
    </row>
    <row r="468" ht="12.0" customHeight="1">
      <c r="B468" s="260"/>
      <c r="C468" s="130"/>
      <c r="E468" s="130"/>
    </row>
    <row r="469" ht="12.0" customHeight="1">
      <c r="B469" s="260"/>
      <c r="C469" s="130"/>
      <c r="E469" s="130"/>
    </row>
    <row r="470" ht="12.0" customHeight="1">
      <c r="B470" s="260"/>
      <c r="C470" s="130"/>
      <c r="E470" s="130"/>
    </row>
    <row r="471" ht="12.0" customHeight="1">
      <c r="B471" s="260"/>
      <c r="C471" s="130"/>
      <c r="E471" s="130"/>
    </row>
    <row r="472" ht="12.0" customHeight="1">
      <c r="B472" s="260"/>
      <c r="C472" s="130"/>
      <c r="E472" s="130"/>
    </row>
    <row r="473" ht="12.0" customHeight="1">
      <c r="B473" s="260"/>
      <c r="C473" s="130"/>
      <c r="E473" s="130"/>
    </row>
    <row r="474" ht="12.0" customHeight="1">
      <c r="B474" s="260"/>
      <c r="C474" s="130"/>
      <c r="E474" s="130"/>
    </row>
    <row r="475" ht="12.0" customHeight="1">
      <c r="B475" s="260"/>
      <c r="C475" s="130"/>
      <c r="E475" s="130"/>
    </row>
    <row r="476" ht="12.0" customHeight="1">
      <c r="B476" s="260"/>
      <c r="C476" s="130"/>
      <c r="E476" s="130"/>
    </row>
    <row r="477" ht="12.0" customHeight="1">
      <c r="B477" s="260"/>
      <c r="C477" s="130"/>
      <c r="E477" s="130"/>
    </row>
    <row r="478" ht="12.0" customHeight="1">
      <c r="B478" s="260"/>
      <c r="C478" s="130"/>
      <c r="E478" s="130"/>
    </row>
    <row r="479" ht="12.0" customHeight="1">
      <c r="B479" s="260"/>
      <c r="C479" s="130"/>
      <c r="E479" s="130"/>
    </row>
    <row r="480" ht="12.0" customHeight="1">
      <c r="B480" s="260"/>
      <c r="C480" s="130"/>
      <c r="E480" s="130"/>
    </row>
    <row r="481" ht="12.0" customHeight="1">
      <c r="B481" s="260"/>
      <c r="C481" s="130"/>
      <c r="E481" s="130"/>
    </row>
    <row r="482" ht="12.0" customHeight="1">
      <c r="B482" s="260"/>
      <c r="C482" s="130"/>
      <c r="E482" s="130"/>
    </row>
    <row r="483" ht="12.0" customHeight="1">
      <c r="B483" s="260"/>
      <c r="C483" s="130"/>
      <c r="E483" s="130"/>
    </row>
    <row r="484" ht="12.0" customHeight="1">
      <c r="B484" s="260"/>
      <c r="C484" s="130"/>
      <c r="E484" s="130"/>
    </row>
    <row r="485" ht="12.0" customHeight="1">
      <c r="B485" s="260"/>
      <c r="C485" s="130"/>
      <c r="E485" s="130"/>
    </row>
    <row r="486" ht="12.0" customHeight="1">
      <c r="B486" s="260"/>
      <c r="C486" s="130"/>
      <c r="E486" s="130"/>
    </row>
    <row r="487" ht="12.0" customHeight="1">
      <c r="B487" s="260"/>
      <c r="C487" s="130"/>
      <c r="E487" s="130"/>
    </row>
    <row r="488" ht="12.0" customHeight="1">
      <c r="B488" s="260"/>
      <c r="C488" s="130"/>
      <c r="E488" s="130"/>
    </row>
    <row r="489" ht="12.0" customHeight="1">
      <c r="B489" s="260"/>
      <c r="C489" s="130"/>
      <c r="E489" s="130"/>
    </row>
    <row r="490" ht="12.0" customHeight="1">
      <c r="B490" s="260"/>
      <c r="C490" s="130"/>
      <c r="E490" s="130"/>
    </row>
    <row r="491" ht="12.0" customHeight="1">
      <c r="B491" s="260"/>
      <c r="C491" s="130"/>
      <c r="E491" s="130"/>
    </row>
    <row r="492" ht="12.0" customHeight="1">
      <c r="B492" s="260"/>
      <c r="C492" s="130"/>
      <c r="E492" s="130"/>
    </row>
    <row r="493" ht="12.0" customHeight="1">
      <c r="B493" s="260"/>
      <c r="C493" s="130"/>
      <c r="E493" s="130"/>
    </row>
    <row r="494" ht="12.0" customHeight="1">
      <c r="B494" s="260"/>
      <c r="C494" s="130"/>
      <c r="E494" s="130"/>
    </row>
    <row r="495" ht="12.0" customHeight="1">
      <c r="B495" s="260"/>
      <c r="C495" s="130"/>
      <c r="E495" s="130"/>
    </row>
    <row r="496" ht="12.0" customHeight="1">
      <c r="B496" s="260"/>
      <c r="C496" s="130"/>
      <c r="E496" s="130"/>
    </row>
    <row r="497" ht="12.0" customHeight="1">
      <c r="B497" s="260"/>
      <c r="C497" s="130"/>
      <c r="E497" s="130"/>
    </row>
    <row r="498" ht="12.0" customHeight="1">
      <c r="B498" s="260"/>
      <c r="C498" s="130"/>
      <c r="E498" s="130"/>
    </row>
    <row r="499" ht="12.0" customHeight="1">
      <c r="B499" s="260"/>
      <c r="C499" s="130"/>
      <c r="E499" s="130"/>
    </row>
    <row r="500" ht="12.0" customHeight="1">
      <c r="B500" s="260"/>
      <c r="C500" s="130"/>
      <c r="E500" s="130"/>
    </row>
    <row r="501" ht="12.0" customHeight="1">
      <c r="B501" s="260"/>
      <c r="C501" s="130"/>
      <c r="E501" s="130"/>
    </row>
    <row r="502" ht="12.0" customHeight="1">
      <c r="B502" s="260"/>
      <c r="C502" s="130"/>
      <c r="E502" s="130"/>
    </row>
    <row r="503" ht="12.0" customHeight="1">
      <c r="B503" s="260"/>
      <c r="C503" s="130"/>
      <c r="E503" s="130"/>
    </row>
    <row r="504" ht="12.0" customHeight="1">
      <c r="B504" s="260"/>
      <c r="C504" s="130"/>
      <c r="E504" s="130"/>
    </row>
    <row r="505" ht="12.0" customHeight="1">
      <c r="B505" s="260"/>
      <c r="C505" s="130"/>
      <c r="E505" s="130"/>
    </row>
    <row r="506" ht="12.0" customHeight="1">
      <c r="B506" s="260"/>
      <c r="C506" s="130"/>
      <c r="E506" s="130"/>
    </row>
    <row r="507" ht="12.0" customHeight="1">
      <c r="B507" s="260"/>
      <c r="C507" s="130"/>
      <c r="E507" s="130"/>
    </row>
    <row r="508" ht="12.0" customHeight="1">
      <c r="B508" s="260"/>
      <c r="C508" s="130"/>
      <c r="E508" s="130"/>
    </row>
    <row r="509" ht="12.0" customHeight="1">
      <c r="B509" s="260"/>
      <c r="C509" s="130"/>
      <c r="E509" s="130"/>
    </row>
    <row r="510" ht="12.0" customHeight="1">
      <c r="B510" s="260"/>
      <c r="C510" s="130"/>
      <c r="E510" s="130"/>
    </row>
    <row r="511" ht="12.0" customHeight="1">
      <c r="B511" s="260"/>
      <c r="C511" s="130"/>
      <c r="E511" s="130"/>
    </row>
    <row r="512" ht="12.0" customHeight="1">
      <c r="B512" s="260"/>
      <c r="C512" s="130"/>
      <c r="E512" s="130"/>
    </row>
    <row r="513" ht="12.0" customHeight="1">
      <c r="B513" s="260"/>
      <c r="C513" s="130"/>
      <c r="E513" s="130"/>
    </row>
    <row r="514" ht="12.0" customHeight="1">
      <c r="B514" s="260"/>
      <c r="C514" s="130"/>
      <c r="E514" s="130"/>
    </row>
    <row r="515" ht="12.0" customHeight="1">
      <c r="B515" s="260"/>
      <c r="C515" s="130"/>
      <c r="E515" s="130"/>
    </row>
    <row r="516" ht="12.0" customHeight="1">
      <c r="B516" s="260"/>
      <c r="C516" s="130"/>
      <c r="E516" s="130"/>
    </row>
    <row r="517" ht="12.0" customHeight="1">
      <c r="B517" s="260"/>
      <c r="C517" s="130"/>
      <c r="E517" s="130"/>
    </row>
    <row r="518" ht="12.0" customHeight="1">
      <c r="B518" s="260"/>
      <c r="C518" s="130"/>
      <c r="E518" s="130"/>
    </row>
    <row r="519" ht="12.0" customHeight="1">
      <c r="B519" s="260"/>
      <c r="C519" s="130"/>
      <c r="E519" s="130"/>
    </row>
    <row r="520" ht="12.0" customHeight="1">
      <c r="B520" s="260"/>
      <c r="C520" s="130"/>
      <c r="E520" s="130"/>
    </row>
    <row r="521" ht="12.0" customHeight="1">
      <c r="B521" s="260"/>
      <c r="C521" s="130"/>
      <c r="E521" s="130"/>
    </row>
    <row r="522" ht="12.0" customHeight="1">
      <c r="B522" s="260"/>
      <c r="C522" s="130"/>
      <c r="E522" s="130"/>
    </row>
    <row r="523" ht="12.0" customHeight="1">
      <c r="B523" s="260"/>
      <c r="C523" s="130"/>
      <c r="E523" s="130"/>
    </row>
    <row r="524" ht="12.0" customHeight="1">
      <c r="B524" s="260"/>
      <c r="C524" s="130"/>
      <c r="E524" s="130"/>
    </row>
    <row r="525" ht="12.0" customHeight="1">
      <c r="B525" s="260"/>
      <c r="C525" s="130"/>
      <c r="E525" s="130"/>
    </row>
    <row r="526" ht="12.0" customHeight="1">
      <c r="B526" s="260"/>
      <c r="C526" s="130"/>
      <c r="E526" s="130"/>
    </row>
    <row r="527" ht="12.0" customHeight="1">
      <c r="B527" s="260"/>
      <c r="C527" s="130"/>
      <c r="E527" s="130"/>
    </row>
    <row r="528" ht="12.0" customHeight="1">
      <c r="B528" s="260"/>
      <c r="C528" s="130"/>
      <c r="E528" s="130"/>
    </row>
    <row r="529" ht="12.0" customHeight="1">
      <c r="B529" s="260"/>
      <c r="C529" s="130"/>
      <c r="E529" s="130"/>
    </row>
    <row r="530" ht="12.0" customHeight="1">
      <c r="B530" s="260"/>
      <c r="C530" s="130"/>
      <c r="E530" s="130"/>
    </row>
    <row r="531" ht="12.0" customHeight="1">
      <c r="B531" s="260"/>
      <c r="C531" s="130"/>
      <c r="E531" s="130"/>
    </row>
    <row r="532" ht="12.0" customHeight="1">
      <c r="B532" s="260"/>
      <c r="C532" s="130"/>
      <c r="E532" s="130"/>
    </row>
    <row r="533" ht="12.0" customHeight="1">
      <c r="B533" s="260"/>
      <c r="C533" s="130"/>
      <c r="E533" s="130"/>
    </row>
    <row r="534" ht="12.0" customHeight="1">
      <c r="B534" s="260"/>
      <c r="C534" s="130"/>
      <c r="E534" s="130"/>
    </row>
    <row r="535" ht="12.0" customHeight="1">
      <c r="B535" s="260"/>
      <c r="C535" s="130"/>
      <c r="E535" s="130"/>
    </row>
    <row r="536" ht="12.0" customHeight="1">
      <c r="B536" s="260"/>
      <c r="C536" s="130"/>
      <c r="E536" s="130"/>
    </row>
    <row r="537" ht="12.0" customHeight="1">
      <c r="B537" s="260"/>
      <c r="C537" s="130"/>
      <c r="E537" s="130"/>
    </row>
    <row r="538" ht="12.0" customHeight="1">
      <c r="B538" s="260"/>
      <c r="C538" s="130"/>
      <c r="E538" s="130"/>
    </row>
    <row r="539" ht="12.0" customHeight="1">
      <c r="B539" s="260"/>
      <c r="C539" s="130"/>
      <c r="E539" s="130"/>
    </row>
    <row r="540" ht="12.0" customHeight="1">
      <c r="B540" s="260"/>
      <c r="C540" s="130"/>
      <c r="E540" s="130"/>
    </row>
    <row r="541" ht="12.0" customHeight="1">
      <c r="B541" s="260"/>
      <c r="C541" s="130"/>
      <c r="E541" s="130"/>
    </row>
    <row r="542" ht="12.0" customHeight="1">
      <c r="B542" s="260"/>
      <c r="C542" s="130"/>
      <c r="E542" s="130"/>
    </row>
    <row r="543" ht="12.0" customHeight="1">
      <c r="B543" s="260"/>
      <c r="C543" s="130"/>
      <c r="E543" s="130"/>
    </row>
    <row r="544" ht="12.0" customHeight="1">
      <c r="B544" s="260"/>
      <c r="C544" s="130"/>
      <c r="E544" s="130"/>
    </row>
    <row r="545" ht="12.0" customHeight="1">
      <c r="B545" s="260"/>
      <c r="C545" s="130"/>
      <c r="E545" s="130"/>
    </row>
    <row r="546" ht="12.0" customHeight="1">
      <c r="B546" s="260"/>
      <c r="C546" s="130"/>
      <c r="E546" s="130"/>
    </row>
    <row r="547" ht="12.0" customHeight="1">
      <c r="B547" s="260"/>
      <c r="C547" s="130"/>
      <c r="E547" s="130"/>
    </row>
    <row r="548" ht="12.0" customHeight="1">
      <c r="B548" s="260"/>
      <c r="C548" s="130"/>
      <c r="E548" s="130"/>
    </row>
    <row r="549" ht="12.0" customHeight="1">
      <c r="B549" s="260"/>
      <c r="C549" s="130"/>
      <c r="E549" s="130"/>
    </row>
    <row r="550" ht="12.0" customHeight="1">
      <c r="B550" s="260"/>
      <c r="C550" s="130"/>
      <c r="E550" s="130"/>
    </row>
    <row r="551" ht="12.0" customHeight="1">
      <c r="B551" s="260"/>
      <c r="C551" s="130"/>
      <c r="E551" s="130"/>
    </row>
    <row r="552" ht="12.0" customHeight="1">
      <c r="B552" s="260"/>
      <c r="C552" s="130"/>
      <c r="E552" s="130"/>
    </row>
    <row r="553" ht="12.0" customHeight="1">
      <c r="B553" s="260"/>
      <c r="C553" s="130"/>
      <c r="E553" s="130"/>
    </row>
    <row r="554" ht="12.0" customHeight="1">
      <c r="B554" s="260"/>
      <c r="C554" s="130"/>
      <c r="E554" s="130"/>
    </row>
    <row r="555" ht="12.0" customHeight="1">
      <c r="B555" s="260"/>
      <c r="C555" s="130"/>
      <c r="E555" s="130"/>
    </row>
    <row r="556" ht="12.0" customHeight="1">
      <c r="B556" s="260"/>
      <c r="C556" s="130"/>
      <c r="E556" s="130"/>
    </row>
    <row r="557" ht="12.0" customHeight="1">
      <c r="B557" s="260"/>
      <c r="C557" s="130"/>
      <c r="E557" s="130"/>
    </row>
    <row r="558" ht="12.0" customHeight="1">
      <c r="B558" s="260"/>
      <c r="C558" s="130"/>
      <c r="E558" s="130"/>
    </row>
    <row r="559" ht="12.0" customHeight="1">
      <c r="B559" s="260"/>
      <c r="C559" s="130"/>
      <c r="E559" s="130"/>
    </row>
    <row r="560" ht="12.0" customHeight="1">
      <c r="B560" s="260"/>
      <c r="C560" s="130"/>
      <c r="E560" s="130"/>
    </row>
    <row r="561" ht="12.0" customHeight="1">
      <c r="B561" s="260"/>
      <c r="C561" s="130"/>
      <c r="E561" s="130"/>
    </row>
    <row r="562" ht="12.0" customHeight="1">
      <c r="B562" s="260"/>
      <c r="C562" s="130"/>
      <c r="E562" s="130"/>
    </row>
    <row r="563" ht="12.0" customHeight="1">
      <c r="B563" s="260"/>
      <c r="C563" s="130"/>
      <c r="E563" s="130"/>
    </row>
    <row r="564" ht="12.0" customHeight="1">
      <c r="B564" s="260"/>
      <c r="C564" s="130"/>
      <c r="E564" s="130"/>
    </row>
    <row r="565" ht="12.0" customHeight="1">
      <c r="B565" s="260"/>
      <c r="C565" s="130"/>
      <c r="E565" s="130"/>
    </row>
    <row r="566" ht="12.0" customHeight="1">
      <c r="B566" s="260"/>
      <c r="C566" s="130"/>
      <c r="E566" s="130"/>
    </row>
    <row r="567" ht="12.0" customHeight="1">
      <c r="B567" s="260"/>
      <c r="C567" s="130"/>
      <c r="E567" s="130"/>
    </row>
    <row r="568" ht="12.0" customHeight="1">
      <c r="B568" s="260"/>
      <c r="C568" s="130"/>
      <c r="E568" s="130"/>
    </row>
    <row r="569" ht="12.0" customHeight="1">
      <c r="B569" s="260"/>
      <c r="C569" s="130"/>
      <c r="E569" s="130"/>
    </row>
    <row r="570" ht="12.0" customHeight="1">
      <c r="B570" s="260"/>
      <c r="C570" s="130"/>
      <c r="E570" s="130"/>
    </row>
    <row r="571" ht="12.0" customHeight="1">
      <c r="B571" s="260"/>
      <c r="C571" s="130"/>
      <c r="E571" s="130"/>
    </row>
    <row r="572" ht="12.0" customHeight="1">
      <c r="B572" s="260"/>
      <c r="C572" s="130"/>
      <c r="E572" s="130"/>
    </row>
    <row r="573" ht="12.0" customHeight="1">
      <c r="B573" s="260"/>
      <c r="C573" s="130"/>
      <c r="E573" s="130"/>
    </row>
    <row r="574" ht="12.0" customHeight="1">
      <c r="B574" s="260"/>
      <c r="C574" s="130"/>
      <c r="E574" s="130"/>
    </row>
    <row r="575" ht="12.0" customHeight="1">
      <c r="B575" s="260"/>
      <c r="C575" s="130"/>
      <c r="E575" s="130"/>
    </row>
    <row r="576" ht="12.0" customHeight="1">
      <c r="B576" s="260"/>
      <c r="C576" s="130"/>
      <c r="E576" s="130"/>
    </row>
    <row r="577" ht="12.0" customHeight="1">
      <c r="B577" s="260"/>
      <c r="C577" s="130"/>
      <c r="E577" s="130"/>
    </row>
    <row r="578" ht="12.0" customHeight="1">
      <c r="B578" s="260"/>
      <c r="C578" s="130"/>
      <c r="E578" s="130"/>
    </row>
    <row r="579" ht="12.0" customHeight="1">
      <c r="B579" s="260"/>
      <c r="C579" s="130"/>
      <c r="E579" s="130"/>
    </row>
    <row r="580" ht="12.0" customHeight="1">
      <c r="B580" s="260"/>
      <c r="C580" s="130"/>
      <c r="E580" s="130"/>
    </row>
    <row r="581" ht="12.0" customHeight="1">
      <c r="B581" s="260"/>
      <c r="C581" s="130"/>
      <c r="E581" s="130"/>
    </row>
    <row r="582" ht="12.0" customHeight="1">
      <c r="B582" s="260"/>
      <c r="C582" s="130"/>
      <c r="E582" s="130"/>
    </row>
    <row r="583" ht="12.0" customHeight="1">
      <c r="B583" s="260"/>
      <c r="C583" s="130"/>
      <c r="E583" s="130"/>
    </row>
    <row r="584" ht="12.0" customHeight="1">
      <c r="B584" s="260"/>
      <c r="C584" s="130"/>
      <c r="E584" s="130"/>
    </row>
    <row r="585" ht="12.0" customHeight="1">
      <c r="B585" s="260"/>
      <c r="C585" s="130"/>
      <c r="E585" s="130"/>
    </row>
    <row r="586" ht="12.0" customHeight="1">
      <c r="B586" s="260"/>
      <c r="C586" s="130"/>
      <c r="E586" s="130"/>
    </row>
    <row r="587" ht="12.0" customHeight="1">
      <c r="B587" s="260"/>
      <c r="C587" s="130"/>
      <c r="E587" s="130"/>
    </row>
    <row r="588" ht="12.0" customHeight="1">
      <c r="B588" s="260"/>
      <c r="C588" s="130"/>
      <c r="E588" s="130"/>
    </row>
    <row r="589" ht="12.0" customHeight="1">
      <c r="B589" s="260"/>
      <c r="C589" s="130"/>
      <c r="E589" s="130"/>
    </row>
    <row r="590" ht="12.0" customHeight="1">
      <c r="B590" s="260"/>
      <c r="C590" s="130"/>
      <c r="E590" s="130"/>
    </row>
    <row r="591" ht="12.0" customHeight="1">
      <c r="B591" s="260"/>
      <c r="C591" s="130"/>
      <c r="E591" s="130"/>
    </row>
    <row r="592" ht="12.0" customHeight="1">
      <c r="B592" s="260"/>
      <c r="C592" s="130"/>
      <c r="E592" s="130"/>
    </row>
    <row r="593" ht="12.0" customHeight="1">
      <c r="B593" s="260"/>
      <c r="C593" s="130"/>
      <c r="E593" s="130"/>
    </row>
    <row r="594" ht="12.0" customHeight="1">
      <c r="B594" s="260"/>
      <c r="C594" s="130"/>
      <c r="E594" s="130"/>
    </row>
    <row r="595" ht="12.0" customHeight="1">
      <c r="B595" s="260"/>
      <c r="C595" s="130"/>
      <c r="E595" s="130"/>
    </row>
    <row r="596" ht="12.0" customHeight="1">
      <c r="B596" s="260"/>
      <c r="C596" s="130"/>
      <c r="E596" s="130"/>
    </row>
    <row r="597" ht="12.0" customHeight="1">
      <c r="B597" s="260"/>
      <c r="C597" s="130"/>
      <c r="E597" s="130"/>
    </row>
    <row r="598" ht="12.0" customHeight="1">
      <c r="B598" s="260"/>
      <c r="C598" s="130"/>
      <c r="E598" s="130"/>
    </row>
    <row r="599" ht="12.0" customHeight="1">
      <c r="B599" s="260"/>
      <c r="C599" s="130"/>
      <c r="E599" s="130"/>
    </row>
    <row r="600" ht="12.0" customHeight="1">
      <c r="B600" s="260"/>
      <c r="C600" s="130"/>
      <c r="E600" s="130"/>
    </row>
    <row r="601" ht="12.0" customHeight="1">
      <c r="B601" s="260"/>
      <c r="C601" s="130"/>
      <c r="E601" s="130"/>
    </row>
    <row r="602" ht="12.0" customHeight="1">
      <c r="B602" s="260"/>
      <c r="C602" s="130"/>
      <c r="E602" s="130"/>
    </row>
    <row r="603" ht="12.0" customHeight="1">
      <c r="B603" s="260"/>
      <c r="C603" s="130"/>
      <c r="E603" s="130"/>
    </row>
    <row r="604" ht="12.0" customHeight="1">
      <c r="B604" s="260"/>
      <c r="C604" s="130"/>
      <c r="E604" s="130"/>
    </row>
    <row r="605" ht="12.0" customHeight="1">
      <c r="B605" s="260"/>
      <c r="C605" s="130"/>
      <c r="E605" s="130"/>
    </row>
    <row r="606" ht="12.0" customHeight="1">
      <c r="B606" s="260"/>
      <c r="C606" s="130"/>
      <c r="E606" s="130"/>
    </row>
    <row r="607" ht="12.0" customHeight="1">
      <c r="B607" s="260"/>
      <c r="C607" s="130"/>
      <c r="E607" s="130"/>
    </row>
    <row r="608" ht="12.0" customHeight="1">
      <c r="B608" s="260"/>
      <c r="C608" s="130"/>
      <c r="E608" s="130"/>
    </row>
    <row r="609" ht="12.0" customHeight="1">
      <c r="B609" s="260"/>
      <c r="C609" s="130"/>
      <c r="E609" s="130"/>
    </row>
    <row r="610" ht="12.0" customHeight="1">
      <c r="B610" s="260"/>
      <c r="C610" s="130"/>
      <c r="E610" s="130"/>
    </row>
    <row r="611" ht="12.0" customHeight="1">
      <c r="B611" s="260"/>
      <c r="C611" s="130"/>
      <c r="E611" s="130"/>
    </row>
    <row r="612" ht="12.0" customHeight="1">
      <c r="B612" s="260"/>
      <c r="C612" s="130"/>
      <c r="E612" s="130"/>
    </row>
    <row r="613" ht="12.0" customHeight="1">
      <c r="B613" s="260"/>
      <c r="C613" s="130"/>
      <c r="E613" s="130"/>
    </row>
    <row r="614" ht="12.0" customHeight="1">
      <c r="B614" s="260"/>
      <c r="C614" s="130"/>
      <c r="E614" s="130"/>
    </row>
    <row r="615" ht="12.0" customHeight="1">
      <c r="B615" s="260"/>
      <c r="C615" s="130"/>
      <c r="E615" s="130"/>
    </row>
    <row r="616" ht="12.0" customHeight="1">
      <c r="B616" s="260"/>
      <c r="C616" s="130"/>
      <c r="E616" s="130"/>
    </row>
    <row r="617" ht="12.0" customHeight="1">
      <c r="B617" s="260"/>
      <c r="C617" s="130"/>
      <c r="E617" s="130"/>
    </row>
    <row r="618" ht="12.0" customHeight="1">
      <c r="B618" s="260"/>
      <c r="C618" s="130"/>
      <c r="E618" s="130"/>
    </row>
    <row r="619" ht="12.0" customHeight="1">
      <c r="B619" s="260"/>
      <c r="C619" s="130"/>
      <c r="E619" s="130"/>
    </row>
    <row r="620" ht="12.0" customHeight="1">
      <c r="B620" s="260"/>
      <c r="C620" s="130"/>
      <c r="E620" s="130"/>
    </row>
    <row r="621" ht="12.0" customHeight="1">
      <c r="B621" s="260"/>
      <c r="C621" s="130"/>
      <c r="E621" s="130"/>
    </row>
    <row r="622" ht="12.0" customHeight="1">
      <c r="B622" s="260"/>
      <c r="C622" s="130"/>
      <c r="E622" s="130"/>
    </row>
    <row r="623" ht="12.0" customHeight="1">
      <c r="B623" s="260"/>
      <c r="C623" s="130"/>
      <c r="E623" s="130"/>
    </row>
    <row r="624" ht="12.0" customHeight="1">
      <c r="B624" s="260"/>
      <c r="C624" s="130"/>
      <c r="E624" s="130"/>
    </row>
    <row r="625" ht="12.0" customHeight="1">
      <c r="B625" s="260"/>
      <c r="C625" s="130"/>
      <c r="E625" s="130"/>
    </row>
    <row r="626" ht="12.0" customHeight="1">
      <c r="B626" s="260"/>
      <c r="C626" s="130"/>
      <c r="E626" s="130"/>
    </row>
    <row r="627" ht="12.0" customHeight="1">
      <c r="B627" s="260"/>
      <c r="C627" s="130"/>
      <c r="E627" s="130"/>
    </row>
    <row r="628" ht="12.0" customHeight="1">
      <c r="B628" s="260"/>
      <c r="C628" s="130"/>
      <c r="E628" s="130"/>
    </row>
    <row r="629" ht="12.0" customHeight="1">
      <c r="B629" s="260"/>
      <c r="C629" s="130"/>
      <c r="E629" s="130"/>
    </row>
    <row r="630" ht="12.0" customHeight="1">
      <c r="B630" s="260"/>
      <c r="C630" s="130"/>
      <c r="E630" s="130"/>
    </row>
    <row r="631" ht="12.0" customHeight="1">
      <c r="B631" s="260"/>
      <c r="C631" s="130"/>
      <c r="E631" s="130"/>
    </row>
    <row r="632" ht="12.0" customHeight="1">
      <c r="B632" s="260"/>
      <c r="C632" s="130"/>
      <c r="E632" s="130"/>
    </row>
    <row r="633" ht="12.0" customHeight="1">
      <c r="B633" s="260"/>
      <c r="C633" s="130"/>
      <c r="E633" s="130"/>
    </row>
    <row r="634" ht="12.0" customHeight="1">
      <c r="B634" s="260"/>
      <c r="C634" s="130"/>
      <c r="E634" s="130"/>
    </row>
    <row r="635" ht="12.0" customHeight="1">
      <c r="B635" s="260"/>
      <c r="C635" s="130"/>
      <c r="E635" s="130"/>
    </row>
    <row r="636" ht="12.0" customHeight="1">
      <c r="B636" s="260"/>
      <c r="C636" s="130"/>
      <c r="E636" s="130"/>
    </row>
    <row r="637" ht="12.0" customHeight="1">
      <c r="B637" s="260"/>
      <c r="C637" s="130"/>
      <c r="E637" s="130"/>
    </row>
    <row r="638" ht="12.0" customHeight="1">
      <c r="B638" s="260"/>
      <c r="C638" s="130"/>
      <c r="E638" s="130"/>
    </row>
    <row r="639" ht="12.0" customHeight="1">
      <c r="B639" s="260"/>
      <c r="C639" s="130"/>
      <c r="E639" s="130"/>
    </row>
    <row r="640" ht="12.0" customHeight="1">
      <c r="B640" s="260"/>
      <c r="C640" s="130"/>
      <c r="E640" s="130"/>
    </row>
    <row r="641" ht="12.0" customHeight="1">
      <c r="B641" s="260"/>
      <c r="C641" s="130"/>
      <c r="E641" s="130"/>
    </row>
    <row r="642" ht="12.0" customHeight="1">
      <c r="B642" s="260"/>
      <c r="C642" s="130"/>
      <c r="E642" s="130"/>
    </row>
    <row r="643" ht="12.0" customHeight="1">
      <c r="B643" s="260"/>
      <c r="C643" s="130"/>
      <c r="E643" s="130"/>
    </row>
    <row r="644" ht="12.0" customHeight="1">
      <c r="B644" s="260"/>
      <c r="C644" s="130"/>
      <c r="E644" s="130"/>
    </row>
    <row r="645" ht="12.0" customHeight="1">
      <c r="B645" s="260"/>
      <c r="C645" s="130"/>
      <c r="E645" s="130"/>
    </row>
    <row r="646" ht="12.0" customHeight="1">
      <c r="B646" s="260"/>
      <c r="C646" s="130"/>
      <c r="E646" s="130"/>
    </row>
    <row r="647" ht="12.0" customHeight="1">
      <c r="B647" s="260"/>
      <c r="C647" s="130"/>
      <c r="E647" s="130"/>
    </row>
    <row r="648" ht="12.0" customHeight="1">
      <c r="B648" s="260"/>
      <c r="C648" s="130"/>
      <c r="E648" s="130"/>
    </row>
    <row r="649" ht="12.0" customHeight="1">
      <c r="B649" s="260"/>
      <c r="C649" s="130"/>
      <c r="E649" s="130"/>
    </row>
    <row r="650" ht="12.0" customHeight="1">
      <c r="B650" s="260"/>
      <c r="C650" s="130"/>
      <c r="E650" s="130"/>
    </row>
    <row r="651" ht="12.0" customHeight="1">
      <c r="B651" s="260"/>
      <c r="C651" s="130"/>
      <c r="E651" s="130"/>
    </row>
    <row r="652" ht="12.0" customHeight="1">
      <c r="B652" s="260"/>
      <c r="C652" s="130"/>
      <c r="E652" s="130"/>
    </row>
    <row r="653" ht="12.0" customHeight="1">
      <c r="B653" s="260"/>
      <c r="C653" s="130"/>
      <c r="E653" s="130"/>
    </row>
    <row r="654" ht="12.0" customHeight="1">
      <c r="B654" s="260"/>
      <c r="C654" s="130"/>
      <c r="E654" s="130"/>
    </row>
    <row r="655" ht="12.0" customHeight="1">
      <c r="B655" s="260"/>
      <c r="C655" s="130"/>
      <c r="E655" s="130"/>
    </row>
    <row r="656" ht="12.0" customHeight="1">
      <c r="B656" s="260"/>
      <c r="C656" s="130"/>
      <c r="E656" s="130"/>
    </row>
    <row r="657" ht="12.0" customHeight="1">
      <c r="B657" s="260"/>
      <c r="C657" s="130"/>
      <c r="E657" s="130"/>
    </row>
    <row r="658" ht="12.0" customHeight="1">
      <c r="B658" s="260"/>
      <c r="C658" s="130"/>
      <c r="E658" s="130"/>
    </row>
    <row r="659" ht="12.0" customHeight="1">
      <c r="B659" s="260"/>
      <c r="C659" s="130"/>
      <c r="E659" s="130"/>
    </row>
    <row r="660" ht="12.0" customHeight="1">
      <c r="B660" s="260"/>
      <c r="C660" s="130"/>
      <c r="E660" s="130"/>
    </row>
    <row r="661" ht="12.0" customHeight="1">
      <c r="B661" s="260"/>
      <c r="C661" s="130"/>
      <c r="E661" s="130"/>
    </row>
    <row r="662" ht="12.0" customHeight="1">
      <c r="B662" s="260"/>
      <c r="C662" s="130"/>
      <c r="E662" s="130"/>
    </row>
    <row r="663" ht="12.0" customHeight="1">
      <c r="B663" s="260"/>
      <c r="C663" s="130"/>
      <c r="E663" s="130"/>
    </row>
    <row r="664" ht="12.0" customHeight="1">
      <c r="B664" s="260"/>
      <c r="C664" s="130"/>
      <c r="E664" s="130"/>
    </row>
    <row r="665" ht="12.0" customHeight="1">
      <c r="B665" s="260"/>
      <c r="C665" s="130"/>
      <c r="E665" s="130"/>
    </row>
    <row r="666" ht="12.0" customHeight="1">
      <c r="B666" s="260"/>
      <c r="C666" s="130"/>
      <c r="E666" s="130"/>
    </row>
    <row r="667" ht="12.0" customHeight="1">
      <c r="B667" s="260"/>
      <c r="C667" s="130"/>
      <c r="E667" s="130"/>
    </row>
    <row r="668" ht="12.0" customHeight="1">
      <c r="B668" s="260"/>
      <c r="C668" s="130"/>
      <c r="E668" s="130"/>
    </row>
    <row r="669" ht="12.0" customHeight="1">
      <c r="B669" s="260"/>
      <c r="C669" s="130"/>
      <c r="E669" s="130"/>
    </row>
    <row r="670" ht="12.0" customHeight="1">
      <c r="B670" s="260"/>
      <c r="C670" s="130"/>
      <c r="E670" s="130"/>
    </row>
    <row r="671" ht="12.0" customHeight="1">
      <c r="B671" s="260"/>
      <c r="C671" s="130"/>
      <c r="E671" s="130"/>
    </row>
    <row r="672" ht="12.0" customHeight="1">
      <c r="B672" s="260"/>
      <c r="C672" s="130"/>
      <c r="E672" s="130"/>
    </row>
    <row r="673" ht="12.0" customHeight="1">
      <c r="B673" s="260"/>
      <c r="C673" s="130"/>
      <c r="E673" s="130"/>
    </row>
    <row r="674" ht="12.0" customHeight="1">
      <c r="B674" s="260"/>
      <c r="C674" s="130"/>
      <c r="E674" s="130"/>
    </row>
    <row r="675" ht="12.0" customHeight="1">
      <c r="B675" s="260"/>
      <c r="C675" s="130"/>
      <c r="E675" s="130"/>
    </row>
    <row r="676" ht="12.0" customHeight="1">
      <c r="B676" s="260"/>
      <c r="C676" s="130"/>
      <c r="E676" s="130"/>
    </row>
    <row r="677" ht="12.0" customHeight="1">
      <c r="B677" s="260"/>
      <c r="C677" s="130"/>
      <c r="E677" s="130"/>
    </row>
    <row r="678" ht="12.0" customHeight="1">
      <c r="B678" s="260"/>
      <c r="C678" s="130"/>
      <c r="E678" s="130"/>
    </row>
    <row r="679" ht="12.0" customHeight="1">
      <c r="B679" s="260"/>
      <c r="C679" s="130"/>
      <c r="E679" s="130"/>
    </row>
    <row r="680" ht="12.0" customHeight="1">
      <c r="B680" s="260"/>
      <c r="C680" s="130"/>
      <c r="E680" s="130"/>
    </row>
    <row r="681" ht="12.0" customHeight="1">
      <c r="B681" s="260"/>
      <c r="C681" s="130"/>
      <c r="E681" s="130"/>
    </row>
    <row r="682" ht="12.0" customHeight="1">
      <c r="B682" s="260"/>
      <c r="C682" s="130"/>
      <c r="E682" s="130"/>
    </row>
    <row r="683" ht="12.0" customHeight="1">
      <c r="B683" s="260"/>
      <c r="C683" s="130"/>
      <c r="E683" s="130"/>
    </row>
    <row r="684" ht="12.0" customHeight="1">
      <c r="B684" s="260"/>
      <c r="C684" s="130"/>
      <c r="E684" s="130"/>
    </row>
    <row r="685" ht="12.0" customHeight="1">
      <c r="B685" s="260"/>
      <c r="C685" s="130"/>
      <c r="E685" s="130"/>
    </row>
    <row r="686" ht="12.0" customHeight="1">
      <c r="B686" s="260"/>
      <c r="C686" s="130"/>
      <c r="E686" s="130"/>
    </row>
    <row r="687" ht="12.0" customHeight="1">
      <c r="B687" s="260"/>
      <c r="C687" s="130"/>
      <c r="E687" s="130"/>
    </row>
    <row r="688" ht="12.0" customHeight="1">
      <c r="B688" s="260"/>
      <c r="C688" s="130"/>
      <c r="E688" s="130"/>
    </row>
    <row r="689" ht="12.0" customHeight="1">
      <c r="B689" s="260"/>
      <c r="C689" s="130"/>
      <c r="E689" s="130"/>
    </row>
    <row r="690" ht="12.0" customHeight="1">
      <c r="B690" s="260"/>
      <c r="C690" s="130"/>
      <c r="E690" s="130"/>
    </row>
    <row r="691" ht="12.0" customHeight="1">
      <c r="B691" s="260"/>
      <c r="C691" s="130"/>
      <c r="E691" s="130"/>
    </row>
    <row r="692" ht="12.0" customHeight="1">
      <c r="B692" s="260"/>
      <c r="C692" s="130"/>
      <c r="E692" s="130"/>
    </row>
    <row r="693" ht="12.0" customHeight="1">
      <c r="B693" s="260"/>
      <c r="C693" s="130"/>
      <c r="E693" s="130"/>
    </row>
    <row r="694" ht="12.0" customHeight="1">
      <c r="B694" s="260"/>
      <c r="C694" s="130"/>
      <c r="E694" s="130"/>
    </row>
    <row r="695" ht="12.0" customHeight="1">
      <c r="B695" s="260"/>
      <c r="C695" s="130"/>
      <c r="E695" s="130"/>
    </row>
    <row r="696" ht="12.0" customHeight="1">
      <c r="B696" s="260"/>
      <c r="C696" s="130"/>
      <c r="E696" s="130"/>
    </row>
    <row r="697" ht="12.0" customHeight="1">
      <c r="B697" s="260"/>
      <c r="C697" s="130"/>
      <c r="E697" s="130"/>
    </row>
    <row r="698" ht="12.0" customHeight="1">
      <c r="B698" s="260"/>
      <c r="C698" s="130"/>
      <c r="E698" s="130"/>
    </row>
    <row r="699" ht="12.0" customHeight="1">
      <c r="B699" s="260"/>
      <c r="C699" s="130"/>
      <c r="E699" s="130"/>
    </row>
    <row r="700" ht="12.0" customHeight="1">
      <c r="B700" s="260"/>
      <c r="C700" s="130"/>
      <c r="E700" s="130"/>
    </row>
    <row r="701" ht="12.0" customHeight="1">
      <c r="B701" s="260"/>
      <c r="C701" s="130"/>
      <c r="E701" s="130"/>
    </row>
    <row r="702" ht="12.0" customHeight="1">
      <c r="B702" s="260"/>
      <c r="C702" s="130"/>
      <c r="E702" s="130"/>
    </row>
    <row r="703" ht="12.0" customHeight="1">
      <c r="B703" s="260"/>
      <c r="C703" s="130"/>
      <c r="E703" s="130"/>
    </row>
    <row r="704" ht="12.0" customHeight="1">
      <c r="B704" s="260"/>
      <c r="C704" s="130"/>
      <c r="E704" s="130"/>
    </row>
    <row r="705" ht="12.0" customHeight="1">
      <c r="B705" s="260"/>
      <c r="C705" s="130"/>
      <c r="E705" s="130"/>
    </row>
    <row r="706" ht="12.0" customHeight="1">
      <c r="B706" s="260"/>
      <c r="C706" s="130"/>
      <c r="E706" s="130"/>
    </row>
    <row r="707" ht="12.0" customHeight="1">
      <c r="B707" s="260"/>
      <c r="C707" s="130"/>
      <c r="E707" s="130"/>
    </row>
    <row r="708" ht="12.0" customHeight="1">
      <c r="B708" s="260"/>
      <c r="C708" s="130"/>
      <c r="E708" s="130"/>
    </row>
    <row r="709" ht="12.0" customHeight="1">
      <c r="B709" s="260"/>
      <c r="C709" s="130"/>
      <c r="E709" s="130"/>
    </row>
    <row r="710" ht="12.0" customHeight="1">
      <c r="B710" s="260"/>
      <c r="C710" s="130"/>
      <c r="E710" s="130"/>
    </row>
    <row r="711" ht="12.0" customHeight="1">
      <c r="B711" s="260"/>
      <c r="C711" s="130"/>
      <c r="E711" s="130"/>
    </row>
    <row r="712" ht="12.0" customHeight="1">
      <c r="B712" s="260"/>
      <c r="C712" s="130"/>
      <c r="E712" s="130"/>
    </row>
    <row r="713" ht="12.0" customHeight="1">
      <c r="B713" s="260"/>
      <c r="C713" s="130"/>
      <c r="E713" s="130"/>
    </row>
    <row r="714" ht="12.0" customHeight="1">
      <c r="B714" s="260"/>
      <c r="C714" s="130"/>
      <c r="E714" s="130"/>
    </row>
    <row r="715" ht="12.0" customHeight="1">
      <c r="B715" s="260"/>
      <c r="C715" s="130"/>
      <c r="E715" s="130"/>
    </row>
    <row r="716" ht="12.0" customHeight="1">
      <c r="B716" s="260"/>
      <c r="C716" s="130"/>
      <c r="E716" s="130"/>
    </row>
    <row r="717" ht="12.0" customHeight="1">
      <c r="B717" s="260"/>
      <c r="C717" s="130"/>
      <c r="E717" s="130"/>
    </row>
    <row r="718" ht="12.0" customHeight="1">
      <c r="B718" s="260"/>
      <c r="C718" s="130"/>
      <c r="E718" s="130"/>
    </row>
    <row r="719" ht="12.0" customHeight="1">
      <c r="B719" s="260"/>
      <c r="C719" s="130"/>
      <c r="E719" s="130"/>
    </row>
    <row r="720" ht="12.0" customHeight="1">
      <c r="B720" s="260"/>
      <c r="C720" s="130"/>
      <c r="E720" s="130"/>
    </row>
    <row r="721" ht="12.0" customHeight="1">
      <c r="B721" s="260"/>
      <c r="C721" s="130"/>
      <c r="E721" s="130"/>
    </row>
    <row r="722" ht="12.0" customHeight="1">
      <c r="B722" s="260"/>
      <c r="C722" s="130"/>
      <c r="E722" s="130"/>
    </row>
    <row r="723" ht="12.0" customHeight="1">
      <c r="B723" s="260"/>
      <c r="C723" s="130"/>
      <c r="E723" s="130"/>
    </row>
    <row r="724" ht="12.0" customHeight="1">
      <c r="B724" s="260"/>
      <c r="C724" s="130"/>
      <c r="E724" s="130"/>
    </row>
    <row r="725" ht="12.0" customHeight="1">
      <c r="B725" s="260"/>
      <c r="C725" s="130"/>
      <c r="E725" s="130"/>
    </row>
    <row r="726" ht="12.0" customHeight="1">
      <c r="B726" s="260"/>
      <c r="C726" s="130"/>
      <c r="E726" s="130"/>
    </row>
    <row r="727" ht="12.0" customHeight="1">
      <c r="B727" s="260"/>
      <c r="C727" s="130"/>
      <c r="E727" s="130"/>
    </row>
    <row r="728" ht="12.0" customHeight="1">
      <c r="B728" s="260"/>
      <c r="C728" s="130"/>
      <c r="E728" s="130"/>
    </row>
    <row r="729" ht="12.0" customHeight="1">
      <c r="B729" s="260"/>
      <c r="C729" s="130"/>
      <c r="E729" s="130"/>
    </row>
    <row r="730" ht="12.0" customHeight="1">
      <c r="B730" s="260"/>
      <c r="C730" s="130"/>
      <c r="E730" s="130"/>
    </row>
    <row r="731" ht="12.0" customHeight="1">
      <c r="B731" s="260"/>
      <c r="C731" s="130"/>
      <c r="E731" s="130"/>
    </row>
    <row r="732" ht="12.0" customHeight="1">
      <c r="B732" s="260"/>
      <c r="C732" s="130"/>
      <c r="E732" s="130"/>
    </row>
    <row r="733" ht="12.0" customHeight="1">
      <c r="B733" s="260"/>
      <c r="C733" s="130"/>
      <c r="E733" s="130"/>
    </row>
    <row r="734" ht="12.0" customHeight="1">
      <c r="B734" s="260"/>
      <c r="C734" s="130"/>
      <c r="E734" s="130"/>
    </row>
    <row r="735" ht="12.0" customHeight="1">
      <c r="B735" s="260"/>
      <c r="C735" s="130"/>
      <c r="E735" s="130"/>
    </row>
    <row r="736" ht="12.0" customHeight="1">
      <c r="B736" s="260"/>
      <c r="C736" s="130"/>
      <c r="E736" s="130"/>
    </row>
    <row r="737" ht="12.0" customHeight="1">
      <c r="B737" s="260"/>
      <c r="C737" s="130"/>
      <c r="E737" s="130"/>
    </row>
    <row r="738" ht="12.0" customHeight="1">
      <c r="B738" s="260"/>
      <c r="C738" s="130"/>
      <c r="E738" s="130"/>
    </row>
    <row r="739" ht="12.0" customHeight="1">
      <c r="B739" s="260"/>
      <c r="C739" s="130"/>
      <c r="E739" s="130"/>
    </row>
    <row r="740" ht="12.0" customHeight="1">
      <c r="B740" s="260"/>
      <c r="C740" s="130"/>
      <c r="E740" s="130"/>
    </row>
    <row r="741" ht="12.0" customHeight="1">
      <c r="B741" s="260"/>
      <c r="C741" s="130"/>
      <c r="E741" s="130"/>
    </row>
    <row r="742" ht="12.0" customHeight="1">
      <c r="B742" s="260"/>
      <c r="C742" s="130"/>
      <c r="E742" s="130"/>
    </row>
    <row r="743" ht="12.0" customHeight="1">
      <c r="B743" s="260"/>
      <c r="C743" s="130"/>
      <c r="E743" s="130"/>
    </row>
    <row r="744" ht="12.0" customHeight="1">
      <c r="B744" s="260"/>
      <c r="C744" s="130"/>
      <c r="E744" s="130"/>
    </row>
    <row r="745" ht="12.0" customHeight="1">
      <c r="B745" s="260"/>
      <c r="C745" s="130"/>
      <c r="E745" s="130"/>
    </row>
    <row r="746" ht="12.0" customHeight="1">
      <c r="B746" s="260"/>
      <c r="C746" s="130"/>
      <c r="E746" s="130"/>
    </row>
    <row r="747" ht="12.0" customHeight="1">
      <c r="B747" s="260"/>
      <c r="C747" s="130"/>
      <c r="E747" s="130"/>
    </row>
    <row r="748" ht="12.0" customHeight="1">
      <c r="B748" s="260"/>
      <c r="C748" s="130"/>
      <c r="E748" s="130"/>
    </row>
    <row r="749" ht="12.0" customHeight="1">
      <c r="B749" s="260"/>
      <c r="C749" s="130"/>
      <c r="E749" s="130"/>
    </row>
    <row r="750" ht="12.0" customHeight="1">
      <c r="B750" s="260"/>
      <c r="C750" s="130"/>
      <c r="E750" s="130"/>
    </row>
    <row r="751" ht="12.0" customHeight="1">
      <c r="B751" s="260"/>
      <c r="C751" s="130"/>
      <c r="E751" s="130"/>
    </row>
    <row r="752" ht="12.0" customHeight="1">
      <c r="B752" s="260"/>
      <c r="C752" s="130"/>
      <c r="E752" s="130"/>
    </row>
    <row r="753" ht="12.0" customHeight="1">
      <c r="B753" s="260"/>
      <c r="C753" s="130"/>
      <c r="E753" s="130"/>
    </row>
    <row r="754" ht="12.0" customHeight="1">
      <c r="B754" s="260"/>
      <c r="C754" s="130"/>
      <c r="E754" s="130"/>
    </row>
    <row r="755" ht="12.0" customHeight="1">
      <c r="B755" s="260"/>
      <c r="C755" s="130"/>
      <c r="E755" s="130"/>
    </row>
    <row r="756" ht="12.0" customHeight="1">
      <c r="B756" s="260"/>
      <c r="C756" s="130"/>
      <c r="E756" s="130"/>
    </row>
    <row r="757" ht="12.0" customHeight="1">
      <c r="B757" s="260"/>
      <c r="C757" s="130"/>
      <c r="E757" s="130"/>
    </row>
    <row r="758" ht="12.0" customHeight="1">
      <c r="B758" s="260"/>
      <c r="C758" s="130"/>
      <c r="E758" s="130"/>
    </row>
    <row r="759" ht="12.0" customHeight="1">
      <c r="B759" s="260"/>
      <c r="C759" s="130"/>
      <c r="E759" s="130"/>
    </row>
    <row r="760" ht="12.0" customHeight="1">
      <c r="B760" s="260"/>
      <c r="C760" s="130"/>
      <c r="E760" s="130"/>
    </row>
    <row r="761" ht="12.0" customHeight="1">
      <c r="B761" s="260"/>
      <c r="C761" s="130"/>
      <c r="E761" s="130"/>
    </row>
    <row r="762" ht="12.0" customHeight="1">
      <c r="B762" s="260"/>
      <c r="C762" s="130"/>
      <c r="E762" s="130"/>
    </row>
    <row r="763" ht="12.0" customHeight="1">
      <c r="B763" s="260"/>
      <c r="C763" s="130"/>
      <c r="E763" s="130"/>
    </row>
    <row r="764" ht="12.0" customHeight="1">
      <c r="B764" s="260"/>
      <c r="C764" s="130"/>
      <c r="E764" s="130"/>
    </row>
    <row r="765" ht="12.0" customHeight="1">
      <c r="B765" s="260"/>
      <c r="C765" s="130"/>
      <c r="E765" s="130"/>
    </row>
    <row r="766" ht="12.0" customHeight="1">
      <c r="B766" s="260"/>
      <c r="C766" s="130"/>
      <c r="E766" s="130"/>
    </row>
    <row r="767" ht="12.0" customHeight="1">
      <c r="B767" s="260"/>
      <c r="C767" s="130"/>
      <c r="E767" s="130"/>
    </row>
    <row r="768" ht="12.0" customHeight="1">
      <c r="B768" s="260"/>
      <c r="C768" s="130"/>
      <c r="E768" s="130"/>
    </row>
    <row r="769" ht="12.0" customHeight="1">
      <c r="B769" s="260"/>
      <c r="C769" s="130"/>
      <c r="E769" s="130"/>
    </row>
    <row r="770" ht="12.0" customHeight="1">
      <c r="B770" s="260"/>
      <c r="C770" s="130"/>
      <c r="E770" s="130"/>
    </row>
    <row r="771" ht="12.0" customHeight="1">
      <c r="B771" s="260"/>
      <c r="C771" s="130"/>
      <c r="E771" s="130"/>
    </row>
    <row r="772" ht="12.0" customHeight="1">
      <c r="B772" s="260"/>
      <c r="C772" s="130"/>
      <c r="E772" s="130"/>
    </row>
    <row r="773" ht="12.0" customHeight="1">
      <c r="B773" s="260"/>
      <c r="C773" s="130"/>
      <c r="E773" s="130"/>
    </row>
    <row r="774" ht="12.0" customHeight="1">
      <c r="B774" s="260"/>
      <c r="C774" s="130"/>
      <c r="E774" s="130"/>
    </row>
    <row r="775" ht="12.0" customHeight="1">
      <c r="B775" s="260"/>
      <c r="C775" s="130"/>
      <c r="E775" s="130"/>
    </row>
    <row r="776" ht="12.0" customHeight="1">
      <c r="B776" s="260"/>
      <c r="C776" s="130"/>
      <c r="E776" s="130"/>
    </row>
    <row r="777" ht="12.0" customHeight="1">
      <c r="B777" s="260"/>
      <c r="C777" s="130"/>
      <c r="E777" s="130"/>
    </row>
    <row r="778" ht="12.0" customHeight="1">
      <c r="B778" s="260"/>
      <c r="C778" s="130"/>
      <c r="E778" s="130"/>
    </row>
    <row r="779" ht="12.0" customHeight="1">
      <c r="B779" s="260"/>
      <c r="C779" s="130"/>
      <c r="E779" s="130"/>
    </row>
    <row r="780" ht="12.0" customHeight="1">
      <c r="B780" s="260"/>
      <c r="C780" s="130"/>
      <c r="E780" s="130"/>
    </row>
    <row r="781" ht="12.0" customHeight="1">
      <c r="B781" s="260"/>
      <c r="C781" s="130"/>
      <c r="E781" s="130"/>
    </row>
    <row r="782" ht="12.0" customHeight="1">
      <c r="B782" s="260"/>
      <c r="C782" s="130"/>
      <c r="E782" s="130"/>
    </row>
    <row r="783" ht="12.0" customHeight="1">
      <c r="B783" s="260"/>
      <c r="C783" s="130"/>
      <c r="E783" s="130"/>
    </row>
    <row r="784" ht="12.0" customHeight="1">
      <c r="B784" s="260"/>
      <c r="C784" s="130"/>
      <c r="E784" s="130"/>
    </row>
    <row r="785" ht="12.0" customHeight="1">
      <c r="B785" s="260"/>
      <c r="C785" s="130"/>
      <c r="E785" s="130"/>
    </row>
    <row r="786" ht="12.0" customHeight="1">
      <c r="B786" s="260"/>
      <c r="C786" s="130"/>
      <c r="E786" s="130"/>
    </row>
    <row r="787" ht="12.0" customHeight="1">
      <c r="B787" s="260"/>
      <c r="C787" s="130"/>
      <c r="E787" s="130"/>
    </row>
    <row r="788" ht="12.0" customHeight="1">
      <c r="B788" s="260"/>
      <c r="C788" s="130"/>
      <c r="E788" s="130"/>
    </row>
    <row r="789" ht="12.0" customHeight="1">
      <c r="B789" s="260"/>
      <c r="C789" s="130"/>
      <c r="E789" s="130"/>
    </row>
    <row r="790" ht="12.0" customHeight="1">
      <c r="B790" s="260"/>
      <c r="C790" s="130"/>
      <c r="E790" s="130"/>
    </row>
    <row r="791" ht="12.0" customHeight="1">
      <c r="B791" s="260"/>
      <c r="C791" s="130"/>
      <c r="E791" s="130"/>
    </row>
    <row r="792" ht="12.0" customHeight="1">
      <c r="B792" s="260"/>
      <c r="C792" s="130"/>
      <c r="E792" s="130"/>
    </row>
    <row r="793" ht="12.0" customHeight="1">
      <c r="B793" s="260"/>
      <c r="C793" s="130"/>
      <c r="E793" s="130"/>
    </row>
    <row r="794" ht="12.0" customHeight="1">
      <c r="B794" s="260"/>
      <c r="C794" s="130"/>
      <c r="E794" s="130"/>
    </row>
    <row r="795" ht="12.0" customHeight="1">
      <c r="B795" s="260"/>
      <c r="C795" s="130"/>
      <c r="E795" s="130"/>
    </row>
    <row r="796" ht="12.0" customHeight="1">
      <c r="B796" s="260"/>
      <c r="C796" s="130"/>
      <c r="E796" s="130"/>
    </row>
    <row r="797" ht="12.0" customHeight="1">
      <c r="B797" s="260"/>
      <c r="C797" s="130"/>
      <c r="E797" s="130"/>
    </row>
    <row r="798" ht="12.0" customHeight="1">
      <c r="B798" s="260"/>
      <c r="C798" s="130"/>
      <c r="E798" s="130"/>
    </row>
    <row r="799" ht="12.0" customHeight="1">
      <c r="B799" s="260"/>
      <c r="C799" s="130"/>
      <c r="E799" s="130"/>
    </row>
    <row r="800" ht="12.0" customHeight="1">
      <c r="B800" s="260"/>
      <c r="C800" s="130"/>
      <c r="E800" s="130"/>
    </row>
    <row r="801" ht="12.0" customHeight="1">
      <c r="B801" s="260"/>
      <c r="C801" s="130"/>
      <c r="E801" s="130"/>
    </row>
    <row r="802" ht="12.0" customHeight="1">
      <c r="B802" s="260"/>
      <c r="C802" s="130"/>
      <c r="E802" s="130"/>
    </row>
    <row r="803" ht="12.0" customHeight="1">
      <c r="B803" s="260"/>
      <c r="C803" s="130"/>
      <c r="E803" s="130"/>
    </row>
    <row r="804" ht="12.0" customHeight="1">
      <c r="B804" s="260"/>
      <c r="C804" s="130"/>
      <c r="E804" s="130"/>
    </row>
    <row r="805" ht="12.0" customHeight="1">
      <c r="B805" s="260"/>
      <c r="C805" s="130"/>
      <c r="E805" s="130"/>
    </row>
    <row r="806" ht="12.0" customHeight="1">
      <c r="B806" s="260"/>
      <c r="C806" s="130"/>
      <c r="E806" s="130"/>
    </row>
    <row r="807" ht="12.0" customHeight="1">
      <c r="B807" s="260"/>
      <c r="C807" s="130"/>
      <c r="E807" s="130"/>
    </row>
    <row r="808" ht="12.0" customHeight="1">
      <c r="B808" s="260"/>
      <c r="C808" s="130"/>
      <c r="E808" s="130"/>
    </row>
    <row r="809" ht="12.0" customHeight="1">
      <c r="B809" s="260"/>
      <c r="C809" s="130"/>
      <c r="E809" s="130"/>
    </row>
    <row r="810" ht="12.0" customHeight="1">
      <c r="B810" s="260"/>
      <c r="C810" s="130"/>
      <c r="E810" s="130"/>
    </row>
    <row r="811" ht="12.0" customHeight="1">
      <c r="B811" s="260"/>
      <c r="C811" s="130"/>
      <c r="E811" s="130"/>
    </row>
    <row r="812" ht="12.0" customHeight="1">
      <c r="B812" s="260"/>
      <c r="C812" s="130"/>
      <c r="E812" s="130"/>
    </row>
    <row r="813" ht="12.0" customHeight="1">
      <c r="B813" s="260"/>
      <c r="C813" s="130"/>
      <c r="E813" s="130"/>
    </row>
    <row r="814" ht="12.0" customHeight="1">
      <c r="B814" s="260"/>
      <c r="C814" s="130"/>
      <c r="E814" s="130"/>
    </row>
    <row r="815" ht="12.0" customHeight="1">
      <c r="B815" s="260"/>
      <c r="C815" s="130"/>
      <c r="E815" s="130"/>
    </row>
    <row r="816" ht="12.0" customHeight="1">
      <c r="B816" s="260"/>
      <c r="C816" s="130"/>
      <c r="E816" s="130"/>
    </row>
    <row r="817" ht="12.0" customHeight="1">
      <c r="B817" s="260"/>
      <c r="C817" s="130"/>
      <c r="E817" s="130"/>
    </row>
    <row r="818" ht="12.0" customHeight="1">
      <c r="B818" s="260"/>
      <c r="C818" s="130"/>
      <c r="E818" s="130"/>
    </row>
    <row r="819" ht="12.0" customHeight="1">
      <c r="B819" s="260"/>
      <c r="C819" s="130"/>
      <c r="E819" s="130"/>
    </row>
    <row r="820" ht="12.0" customHeight="1">
      <c r="B820" s="260"/>
      <c r="C820" s="130"/>
      <c r="E820" s="130"/>
    </row>
    <row r="821" ht="12.0" customHeight="1">
      <c r="B821" s="260"/>
      <c r="C821" s="130"/>
      <c r="E821" s="130"/>
    </row>
    <row r="822" ht="12.0" customHeight="1">
      <c r="B822" s="260"/>
      <c r="C822" s="130"/>
      <c r="E822" s="130"/>
    </row>
    <row r="823" ht="12.0" customHeight="1">
      <c r="B823" s="260"/>
      <c r="C823" s="130"/>
      <c r="E823" s="130"/>
    </row>
    <row r="824" ht="12.0" customHeight="1">
      <c r="B824" s="260"/>
      <c r="C824" s="130"/>
      <c r="E824" s="130"/>
    </row>
    <row r="825" ht="12.0" customHeight="1">
      <c r="B825" s="260"/>
      <c r="C825" s="130"/>
      <c r="E825" s="130"/>
    </row>
    <row r="826" ht="12.0" customHeight="1">
      <c r="B826" s="260"/>
      <c r="C826" s="130"/>
      <c r="E826" s="130"/>
    </row>
    <row r="827" ht="12.0" customHeight="1">
      <c r="B827" s="260"/>
      <c r="C827" s="130"/>
      <c r="E827" s="130"/>
    </row>
    <row r="828" ht="12.0" customHeight="1">
      <c r="B828" s="260"/>
      <c r="C828" s="130"/>
      <c r="E828" s="130"/>
    </row>
    <row r="829" ht="12.0" customHeight="1">
      <c r="B829" s="260"/>
      <c r="C829" s="130"/>
      <c r="E829" s="130"/>
    </row>
    <row r="830" ht="12.0" customHeight="1">
      <c r="B830" s="260"/>
      <c r="C830" s="130"/>
      <c r="E830" s="130"/>
    </row>
    <row r="831" ht="12.0" customHeight="1">
      <c r="B831" s="260"/>
      <c r="C831" s="130"/>
      <c r="E831" s="130"/>
    </row>
    <row r="832" ht="12.0" customHeight="1">
      <c r="B832" s="260"/>
      <c r="C832" s="130"/>
      <c r="E832" s="130"/>
    </row>
    <row r="833" ht="12.0" customHeight="1">
      <c r="B833" s="260"/>
      <c r="C833" s="130"/>
      <c r="E833" s="130"/>
    </row>
    <row r="834" ht="12.0" customHeight="1">
      <c r="B834" s="260"/>
      <c r="C834" s="130"/>
      <c r="E834" s="130"/>
    </row>
    <row r="835" ht="12.0" customHeight="1">
      <c r="B835" s="260"/>
      <c r="C835" s="130"/>
      <c r="E835" s="130"/>
    </row>
    <row r="836" ht="12.0" customHeight="1">
      <c r="B836" s="260"/>
      <c r="C836" s="130"/>
      <c r="E836" s="130"/>
    </row>
    <row r="837" ht="12.0" customHeight="1">
      <c r="B837" s="260"/>
      <c r="C837" s="130"/>
      <c r="E837" s="130"/>
    </row>
    <row r="838" ht="12.0" customHeight="1">
      <c r="B838" s="260"/>
      <c r="C838" s="130"/>
      <c r="E838" s="130"/>
    </row>
    <row r="839" ht="12.0" customHeight="1">
      <c r="B839" s="260"/>
      <c r="C839" s="130"/>
      <c r="E839" s="130"/>
    </row>
    <row r="840" ht="12.0" customHeight="1">
      <c r="B840" s="260"/>
      <c r="C840" s="130"/>
      <c r="E840" s="130"/>
    </row>
    <row r="841" ht="12.0" customHeight="1">
      <c r="B841" s="260"/>
      <c r="C841" s="130"/>
      <c r="E841" s="130"/>
    </row>
    <row r="842" ht="12.0" customHeight="1">
      <c r="B842" s="260"/>
      <c r="C842" s="130"/>
      <c r="E842" s="130"/>
    </row>
    <row r="843" ht="12.0" customHeight="1">
      <c r="B843" s="260"/>
      <c r="C843" s="130"/>
      <c r="E843" s="130"/>
    </row>
    <row r="844" ht="12.0" customHeight="1">
      <c r="B844" s="260"/>
      <c r="C844" s="130"/>
      <c r="E844" s="130"/>
    </row>
    <row r="845" ht="12.0" customHeight="1">
      <c r="B845" s="260"/>
      <c r="C845" s="130"/>
      <c r="E845" s="130"/>
    </row>
    <row r="846" ht="12.0" customHeight="1">
      <c r="B846" s="260"/>
      <c r="C846" s="130"/>
      <c r="E846" s="130"/>
    </row>
    <row r="847" ht="12.0" customHeight="1">
      <c r="B847" s="260"/>
      <c r="C847" s="130"/>
      <c r="E847" s="130"/>
    </row>
    <row r="848" ht="12.0" customHeight="1">
      <c r="B848" s="260"/>
      <c r="C848" s="130"/>
      <c r="E848" s="130"/>
    </row>
    <row r="849" ht="12.0" customHeight="1">
      <c r="B849" s="260"/>
      <c r="C849" s="130"/>
      <c r="E849" s="130"/>
    </row>
    <row r="850" ht="12.0" customHeight="1">
      <c r="B850" s="260"/>
      <c r="C850" s="130"/>
      <c r="E850" s="130"/>
    </row>
    <row r="851" ht="12.0" customHeight="1">
      <c r="B851" s="260"/>
      <c r="C851" s="130"/>
      <c r="E851" s="130"/>
    </row>
    <row r="852" ht="12.0" customHeight="1">
      <c r="B852" s="260"/>
      <c r="C852" s="130"/>
      <c r="E852" s="130"/>
    </row>
    <row r="853" ht="12.0" customHeight="1">
      <c r="B853" s="260"/>
      <c r="C853" s="130"/>
      <c r="E853" s="130"/>
    </row>
    <row r="854" ht="12.0" customHeight="1">
      <c r="B854" s="260"/>
      <c r="C854" s="130"/>
      <c r="E854" s="130"/>
    </row>
    <row r="855" ht="12.0" customHeight="1">
      <c r="B855" s="260"/>
      <c r="C855" s="130"/>
      <c r="E855" s="130"/>
    </row>
    <row r="856" ht="12.0" customHeight="1">
      <c r="B856" s="260"/>
      <c r="C856" s="130"/>
      <c r="E856" s="130"/>
    </row>
    <row r="857" ht="12.0" customHeight="1">
      <c r="B857" s="260"/>
      <c r="C857" s="130"/>
      <c r="E857" s="130"/>
    </row>
    <row r="858" ht="12.0" customHeight="1">
      <c r="B858" s="260"/>
      <c r="C858" s="130"/>
      <c r="E858" s="130"/>
    </row>
    <row r="859" ht="12.0" customHeight="1">
      <c r="B859" s="260"/>
      <c r="C859" s="130"/>
      <c r="E859" s="130"/>
    </row>
    <row r="860" ht="12.0" customHeight="1">
      <c r="B860" s="260"/>
      <c r="C860" s="130"/>
      <c r="E860" s="130"/>
    </row>
    <row r="861" ht="12.0" customHeight="1">
      <c r="B861" s="260"/>
      <c r="C861" s="130"/>
      <c r="E861" s="130"/>
    </row>
    <row r="862" ht="12.0" customHeight="1">
      <c r="B862" s="260"/>
      <c r="C862" s="130"/>
      <c r="E862" s="130"/>
    </row>
    <row r="863" ht="12.0" customHeight="1">
      <c r="B863" s="260"/>
      <c r="C863" s="130"/>
      <c r="E863" s="130"/>
    </row>
    <row r="864" ht="12.0" customHeight="1">
      <c r="B864" s="260"/>
      <c r="C864" s="130"/>
      <c r="E864" s="130"/>
    </row>
    <row r="865" ht="12.0" customHeight="1">
      <c r="B865" s="260"/>
      <c r="C865" s="130"/>
      <c r="E865" s="130"/>
    </row>
    <row r="866" ht="12.0" customHeight="1">
      <c r="B866" s="260"/>
      <c r="C866" s="130"/>
      <c r="E866" s="130"/>
    </row>
    <row r="867" ht="12.0" customHeight="1">
      <c r="B867" s="260"/>
      <c r="C867" s="130"/>
      <c r="E867" s="130"/>
    </row>
    <row r="868" ht="12.0" customHeight="1">
      <c r="B868" s="260"/>
      <c r="C868" s="130"/>
      <c r="E868" s="130"/>
    </row>
    <row r="869" ht="12.0" customHeight="1">
      <c r="B869" s="260"/>
      <c r="C869" s="130"/>
      <c r="E869" s="130"/>
    </row>
    <row r="870" ht="12.0" customHeight="1">
      <c r="B870" s="260"/>
      <c r="C870" s="130"/>
      <c r="E870" s="130"/>
    </row>
    <row r="871" ht="12.0" customHeight="1">
      <c r="B871" s="260"/>
      <c r="C871" s="130"/>
      <c r="E871" s="130"/>
    </row>
    <row r="872" ht="12.0" customHeight="1">
      <c r="B872" s="260"/>
      <c r="C872" s="130"/>
      <c r="E872" s="130"/>
    </row>
    <row r="873" ht="12.0" customHeight="1">
      <c r="B873" s="260"/>
      <c r="C873" s="130"/>
      <c r="E873" s="130"/>
    </row>
    <row r="874" ht="12.0" customHeight="1">
      <c r="B874" s="260"/>
      <c r="C874" s="130"/>
      <c r="E874" s="130"/>
    </row>
    <row r="875" ht="12.0" customHeight="1">
      <c r="B875" s="260"/>
      <c r="C875" s="130"/>
      <c r="E875" s="130"/>
    </row>
    <row r="876" ht="12.0" customHeight="1">
      <c r="B876" s="260"/>
      <c r="C876" s="130"/>
      <c r="E876" s="130"/>
    </row>
    <row r="877" ht="12.0" customHeight="1">
      <c r="B877" s="260"/>
      <c r="C877" s="130"/>
      <c r="E877" s="130"/>
    </row>
    <row r="878" ht="12.0" customHeight="1">
      <c r="B878" s="260"/>
      <c r="C878" s="130"/>
      <c r="E878" s="130"/>
    </row>
    <row r="879" ht="12.0" customHeight="1">
      <c r="B879" s="260"/>
      <c r="C879" s="130"/>
      <c r="E879" s="130"/>
    </row>
    <row r="880" ht="12.0" customHeight="1">
      <c r="B880" s="260"/>
      <c r="C880" s="130"/>
      <c r="E880" s="130"/>
    </row>
    <row r="881" ht="12.0" customHeight="1">
      <c r="B881" s="260"/>
      <c r="C881" s="130"/>
      <c r="E881" s="130"/>
    </row>
    <row r="882" ht="12.0" customHeight="1">
      <c r="B882" s="260"/>
      <c r="C882" s="130"/>
      <c r="E882" s="130"/>
    </row>
    <row r="883" ht="12.0" customHeight="1">
      <c r="B883" s="260"/>
      <c r="C883" s="130"/>
      <c r="E883" s="130"/>
    </row>
    <row r="884" ht="12.0" customHeight="1">
      <c r="B884" s="260"/>
      <c r="C884" s="130"/>
      <c r="E884" s="130"/>
    </row>
    <row r="885" ht="12.0" customHeight="1">
      <c r="B885" s="260"/>
      <c r="C885" s="130"/>
      <c r="E885" s="130"/>
    </row>
    <row r="886" ht="12.0" customHeight="1">
      <c r="B886" s="260"/>
      <c r="C886" s="130"/>
      <c r="E886" s="130"/>
    </row>
    <row r="887" ht="12.0" customHeight="1">
      <c r="B887" s="260"/>
      <c r="C887" s="130"/>
      <c r="E887" s="130"/>
    </row>
    <row r="888" ht="12.0" customHeight="1">
      <c r="B888" s="260"/>
      <c r="C888" s="130"/>
      <c r="E888" s="130"/>
    </row>
    <row r="889" ht="12.0" customHeight="1">
      <c r="B889" s="260"/>
      <c r="C889" s="130"/>
      <c r="E889" s="130"/>
    </row>
    <row r="890" ht="12.0" customHeight="1">
      <c r="B890" s="260"/>
      <c r="C890" s="130"/>
      <c r="E890" s="130"/>
    </row>
    <row r="891" ht="12.0" customHeight="1">
      <c r="B891" s="260"/>
      <c r="C891" s="130"/>
      <c r="E891" s="130"/>
    </row>
    <row r="892" ht="12.0" customHeight="1">
      <c r="B892" s="260"/>
      <c r="C892" s="130"/>
      <c r="E892" s="130"/>
    </row>
    <row r="893" ht="12.0" customHeight="1">
      <c r="B893" s="260"/>
      <c r="C893" s="130"/>
      <c r="E893" s="130"/>
    </row>
    <row r="894" ht="12.0" customHeight="1">
      <c r="B894" s="260"/>
      <c r="C894" s="130"/>
      <c r="E894" s="130"/>
    </row>
    <row r="895" ht="12.0" customHeight="1">
      <c r="B895" s="260"/>
      <c r="C895" s="130"/>
      <c r="E895" s="130"/>
    </row>
    <row r="896" ht="12.0" customHeight="1">
      <c r="B896" s="260"/>
      <c r="C896" s="130"/>
      <c r="E896" s="130"/>
    </row>
    <row r="897" ht="12.0" customHeight="1">
      <c r="B897" s="260"/>
      <c r="C897" s="130"/>
      <c r="E897" s="130"/>
    </row>
    <row r="898" ht="12.0" customHeight="1">
      <c r="B898" s="260"/>
      <c r="C898" s="130"/>
      <c r="E898" s="130"/>
    </row>
    <row r="899" ht="12.0" customHeight="1">
      <c r="B899" s="260"/>
      <c r="C899" s="130"/>
      <c r="E899" s="130"/>
    </row>
    <row r="900" ht="12.0" customHeight="1">
      <c r="B900" s="260"/>
      <c r="C900" s="130"/>
      <c r="E900" s="130"/>
    </row>
    <row r="901" ht="12.0" customHeight="1">
      <c r="B901" s="260"/>
      <c r="C901" s="130"/>
      <c r="E901" s="130"/>
    </row>
    <row r="902" ht="12.0" customHeight="1">
      <c r="B902" s="260"/>
      <c r="C902" s="130"/>
      <c r="E902" s="130"/>
    </row>
    <row r="903" ht="12.0" customHeight="1">
      <c r="B903" s="260"/>
      <c r="C903" s="130"/>
      <c r="E903" s="130"/>
    </row>
    <row r="904" ht="12.0" customHeight="1">
      <c r="B904" s="260"/>
      <c r="C904" s="130"/>
      <c r="E904" s="130"/>
    </row>
    <row r="905" ht="12.0" customHeight="1">
      <c r="B905" s="260"/>
      <c r="C905" s="130"/>
      <c r="E905" s="130"/>
    </row>
    <row r="906" ht="12.0" customHeight="1">
      <c r="B906" s="260"/>
      <c r="C906" s="130"/>
      <c r="E906" s="130"/>
    </row>
    <row r="907" ht="12.0" customHeight="1">
      <c r="B907" s="260"/>
      <c r="C907" s="130"/>
      <c r="E907" s="130"/>
    </row>
    <row r="908" ht="12.0" customHeight="1">
      <c r="B908" s="260"/>
      <c r="C908" s="130"/>
      <c r="E908" s="130"/>
    </row>
    <row r="909" ht="12.0" customHeight="1">
      <c r="B909" s="260"/>
      <c r="C909" s="130"/>
      <c r="E909" s="130"/>
    </row>
    <row r="910" ht="12.0" customHeight="1">
      <c r="B910" s="260"/>
      <c r="C910" s="130"/>
      <c r="E910" s="130"/>
    </row>
    <row r="911" ht="12.0" customHeight="1">
      <c r="B911" s="260"/>
      <c r="C911" s="130"/>
      <c r="E911" s="130"/>
    </row>
    <row r="912" ht="12.0" customHeight="1">
      <c r="B912" s="260"/>
      <c r="C912" s="130"/>
      <c r="E912" s="130"/>
    </row>
    <row r="913" ht="12.0" customHeight="1">
      <c r="B913" s="260"/>
      <c r="C913" s="130"/>
      <c r="E913" s="130"/>
    </row>
    <row r="914" ht="12.0" customHeight="1">
      <c r="B914" s="260"/>
      <c r="C914" s="130"/>
      <c r="E914" s="130"/>
    </row>
    <row r="915" ht="12.0" customHeight="1">
      <c r="B915" s="260"/>
      <c r="C915" s="130"/>
      <c r="E915" s="130"/>
    </row>
    <row r="916" ht="12.0" customHeight="1">
      <c r="B916" s="260"/>
      <c r="C916" s="130"/>
      <c r="E916" s="130"/>
    </row>
    <row r="917" ht="12.0" customHeight="1">
      <c r="B917" s="260"/>
      <c r="C917" s="130"/>
      <c r="E917" s="130"/>
    </row>
    <row r="918" ht="12.0" customHeight="1">
      <c r="B918" s="260"/>
      <c r="C918" s="130"/>
      <c r="E918" s="130"/>
    </row>
    <row r="919" ht="12.0" customHeight="1">
      <c r="B919" s="260"/>
      <c r="C919" s="130"/>
      <c r="E919" s="130"/>
    </row>
    <row r="920" ht="12.0" customHeight="1">
      <c r="B920" s="260"/>
      <c r="C920" s="130"/>
      <c r="E920" s="130"/>
    </row>
    <row r="921" ht="12.0" customHeight="1">
      <c r="B921" s="260"/>
      <c r="C921" s="130"/>
      <c r="E921" s="130"/>
    </row>
    <row r="922" ht="12.0" customHeight="1">
      <c r="B922" s="260"/>
      <c r="C922" s="130"/>
      <c r="E922" s="130"/>
    </row>
    <row r="923" ht="12.0" customHeight="1">
      <c r="B923" s="260"/>
      <c r="C923" s="130"/>
      <c r="E923" s="130"/>
    </row>
    <row r="924" ht="12.0" customHeight="1">
      <c r="B924" s="260"/>
      <c r="C924" s="130"/>
      <c r="E924" s="130"/>
    </row>
    <row r="925" ht="12.0" customHeight="1">
      <c r="B925" s="260"/>
      <c r="C925" s="130"/>
      <c r="E925" s="130"/>
    </row>
    <row r="926" ht="12.0" customHeight="1">
      <c r="B926" s="260"/>
      <c r="C926" s="130"/>
      <c r="E926" s="130"/>
    </row>
    <row r="927" ht="12.0" customHeight="1">
      <c r="B927" s="260"/>
      <c r="C927" s="130"/>
      <c r="E927" s="130"/>
    </row>
    <row r="928" ht="12.0" customHeight="1">
      <c r="B928" s="260"/>
      <c r="C928" s="130"/>
      <c r="E928" s="130"/>
    </row>
    <row r="929" ht="12.0" customHeight="1">
      <c r="B929" s="260"/>
      <c r="C929" s="130"/>
      <c r="E929" s="130"/>
    </row>
    <row r="930" ht="12.0" customHeight="1">
      <c r="B930" s="260"/>
      <c r="C930" s="130"/>
      <c r="E930" s="130"/>
    </row>
    <row r="931" ht="12.0" customHeight="1">
      <c r="B931" s="260"/>
      <c r="C931" s="130"/>
      <c r="E931" s="130"/>
    </row>
    <row r="932" ht="12.0" customHeight="1">
      <c r="B932" s="260"/>
      <c r="C932" s="130"/>
      <c r="E932" s="130"/>
    </row>
    <row r="933" ht="12.0" customHeight="1">
      <c r="B933" s="260"/>
      <c r="C933" s="130"/>
      <c r="E933" s="130"/>
    </row>
    <row r="934" ht="12.0" customHeight="1">
      <c r="B934" s="260"/>
      <c r="C934" s="130"/>
      <c r="E934" s="130"/>
    </row>
    <row r="935" ht="12.0" customHeight="1">
      <c r="B935" s="260"/>
      <c r="C935" s="130"/>
      <c r="E935" s="130"/>
    </row>
    <row r="936" ht="12.0" customHeight="1">
      <c r="B936" s="260"/>
      <c r="C936" s="130"/>
      <c r="E936" s="130"/>
    </row>
    <row r="937" ht="12.0" customHeight="1">
      <c r="B937" s="260"/>
      <c r="C937" s="130"/>
      <c r="E937" s="130"/>
    </row>
    <row r="938" ht="12.0" customHeight="1">
      <c r="B938" s="260"/>
      <c r="C938" s="130"/>
      <c r="E938" s="130"/>
    </row>
    <row r="939" ht="12.0" customHeight="1">
      <c r="B939" s="260"/>
      <c r="C939" s="130"/>
      <c r="E939" s="130"/>
    </row>
    <row r="940" ht="12.0" customHeight="1">
      <c r="B940" s="260"/>
      <c r="C940" s="130"/>
      <c r="E940" s="130"/>
    </row>
    <row r="941" ht="12.0" customHeight="1">
      <c r="B941" s="260"/>
      <c r="C941" s="130"/>
      <c r="E941" s="130"/>
    </row>
    <row r="942" ht="12.0" customHeight="1">
      <c r="B942" s="260"/>
      <c r="C942" s="130"/>
      <c r="E942" s="130"/>
    </row>
    <row r="943" ht="12.0" customHeight="1">
      <c r="B943" s="260"/>
      <c r="C943" s="130"/>
      <c r="E943" s="130"/>
    </row>
    <row r="944" ht="12.0" customHeight="1">
      <c r="B944" s="260"/>
      <c r="C944" s="130"/>
      <c r="E944" s="130"/>
    </row>
    <row r="945" ht="12.0" customHeight="1">
      <c r="B945" s="260"/>
      <c r="C945" s="130"/>
      <c r="E945" s="130"/>
    </row>
    <row r="946" ht="12.0" customHeight="1">
      <c r="B946" s="260"/>
      <c r="C946" s="130"/>
      <c r="E946" s="130"/>
    </row>
    <row r="947" ht="12.0" customHeight="1">
      <c r="B947" s="260"/>
      <c r="C947" s="130"/>
      <c r="E947" s="130"/>
    </row>
    <row r="948" ht="12.0" customHeight="1">
      <c r="B948" s="260"/>
      <c r="C948" s="130"/>
      <c r="E948" s="130"/>
    </row>
    <row r="949" ht="12.0" customHeight="1">
      <c r="B949" s="260"/>
      <c r="C949" s="130"/>
      <c r="E949" s="130"/>
    </row>
    <row r="950" ht="12.0" customHeight="1">
      <c r="B950" s="260"/>
      <c r="C950" s="130"/>
      <c r="E950" s="130"/>
    </row>
    <row r="951" ht="12.0" customHeight="1">
      <c r="B951" s="260"/>
      <c r="C951" s="130"/>
      <c r="E951" s="130"/>
    </row>
    <row r="952" ht="12.0" customHeight="1">
      <c r="B952" s="260"/>
      <c r="C952" s="130"/>
      <c r="E952" s="130"/>
    </row>
    <row r="953" ht="12.0" customHeight="1">
      <c r="B953" s="260"/>
      <c r="C953" s="130"/>
      <c r="E953" s="130"/>
    </row>
    <row r="954" ht="12.0" customHeight="1">
      <c r="B954" s="260"/>
      <c r="C954" s="130"/>
      <c r="E954" s="130"/>
    </row>
    <row r="955" ht="12.0" customHeight="1">
      <c r="B955" s="260"/>
      <c r="C955" s="130"/>
      <c r="E955" s="130"/>
    </row>
    <row r="956" ht="12.0" customHeight="1">
      <c r="B956" s="260"/>
      <c r="C956" s="130"/>
      <c r="E956" s="130"/>
    </row>
    <row r="957" ht="12.0" customHeight="1">
      <c r="B957" s="260"/>
      <c r="C957" s="130"/>
      <c r="E957" s="130"/>
    </row>
    <row r="958" ht="12.0" customHeight="1">
      <c r="B958" s="260"/>
      <c r="C958" s="130"/>
      <c r="E958" s="130"/>
    </row>
    <row r="959" ht="12.0" customHeight="1">
      <c r="B959" s="260"/>
      <c r="C959" s="130"/>
      <c r="E959" s="130"/>
    </row>
    <row r="960" ht="12.0" customHeight="1">
      <c r="B960" s="260"/>
      <c r="C960" s="130"/>
      <c r="E960" s="130"/>
    </row>
    <row r="961" ht="12.0" customHeight="1">
      <c r="B961" s="260"/>
      <c r="C961" s="130"/>
      <c r="E961" s="130"/>
    </row>
    <row r="962" ht="12.0" customHeight="1">
      <c r="B962" s="260"/>
      <c r="C962" s="130"/>
      <c r="E962" s="130"/>
    </row>
    <row r="963" ht="12.0" customHeight="1">
      <c r="B963" s="260"/>
      <c r="C963" s="130"/>
      <c r="E963" s="130"/>
    </row>
    <row r="964" ht="12.0" customHeight="1">
      <c r="B964" s="260"/>
      <c r="C964" s="130"/>
      <c r="E964" s="130"/>
    </row>
    <row r="965" ht="12.0" customHeight="1">
      <c r="B965" s="260"/>
      <c r="C965" s="130"/>
      <c r="E965" s="130"/>
    </row>
    <row r="966" ht="12.0" customHeight="1">
      <c r="B966" s="260"/>
      <c r="C966" s="130"/>
      <c r="E966" s="130"/>
    </row>
    <row r="967" ht="12.0" customHeight="1">
      <c r="B967" s="260"/>
      <c r="C967" s="130"/>
      <c r="E967" s="130"/>
    </row>
    <row r="968" ht="12.0" customHeight="1">
      <c r="B968" s="260"/>
      <c r="C968" s="130"/>
      <c r="E968" s="130"/>
    </row>
    <row r="969" ht="12.0" customHeight="1">
      <c r="B969" s="260"/>
      <c r="C969" s="130"/>
      <c r="E969" s="130"/>
    </row>
    <row r="970" ht="12.0" customHeight="1">
      <c r="B970" s="260"/>
      <c r="C970" s="130"/>
      <c r="E970" s="130"/>
    </row>
    <row r="971" ht="12.0" customHeight="1">
      <c r="B971" s="260"/>
      <c r="C971" s="130"/>
      <c r="E971" s="130"/>
    </row>
    <row r="972" ht="12.0" customHeight="1">
      <c r="B972" s="260"/>
      <c r="C972" s="130"/>
      <c r="E972" s="130"/>
    </row>
    <row r="973" ht="12.0" customHeight="1">
      <c r="B973" s="260"/>
      <c r="C973" s="130"/>
      <c r="E973" s="130"/>
    </row>
    <row r="974" ht="12.0" customHeight="1">
      <c r="B974" s="260"/>
      <c r="C974" s="130"/>
      <c r="E974" s="130"/>
    </row>
    <row r="975" ht="12.0" customHeight="1">
      <c r="B975" s="260"/>
      <c r="C975" s="130"/>
      <c r="E975" s="130"/>
    </row>
    <row r="976" ht="12.0" customHeight="1">
      <c r="B976" s="260"/>
      <c r="C976" s="130"/>
      <c r="E976" s="130"/>
    </row>
    <row r="977" ht="12.0" customHeight="1">
      <c r="B977" s="260"/>
      <c r="C977" s="130"/>
      <c r="E977" s="130"/>
    </row>
    <row r="978" ht="12.0" customHeight="1">
      <c r="B978" s="260"/>
      <c r="C978" s="130"/>
      <c r="E978" s="130"/>
    </row>
    <row r="979" ht="12.0" customHeight="1">
      <c r="B979" s="260"/>
      <c r="C979" s="130"/>
      <c r="E979" s="130"/>
    </row>
    <row r="980" ht="12.0" customHeight="1">
      <c r="B980" s="260"/>
      <c r="C980" s="130"/>
      <c r="E980" s="130"/>
    </row>
    <row r="981" ht="12.0" customHeight="1">
      <c r="B981" s="260"/>
      <c r="C981" s="130"/>
      <c r="E981" s="130"/>
    </row>
    <row r="982" ht="12.0" customHeight="1">
      <c r="B982" s="260"/>
      <c r="C982" s="130"/>
      <c r="E982" s="130"/>
    </row>
    <row r="983" ht="12.0" customHeight="1">
      <c r="B983" s="260"/>
      <c r="C983" s="130"/>
      <c r="E983" s="130"/>
    </row>
    <row r="984" ht="12.0" customHeight="1">
      <c r="B984" s="260"/>
      <c r="C984" s="130"/>
      <c r="E984" s="130"/>
    </row>
    <row r="985" ht="12.0" customHeight="1">
      <c r="B985" s="260"/>
      <c r="C985" s="130"/>
      <c r="E985" s="130"/>
    </row>
    <row r="986" ht="12.0" customHeight="1">
      <c r="B986" s="260"/>
      <c r="C986" s="130"/>
      <c r="E986" s="130"/>
    </row>
    <row r="987" ht="12.0" customHeight="1">
      <c r="B987" s="260"/>
      <c r="C987" s="130"/>
      <c r="E987" s="130"/>
    </row>
    <row r="988" ht="12.0" customHeight="1">
      <c r="B988" s="260"/>
      <c r="C988" s="130"/>
      <c r="E988" s="130"/>
    </row>
    <row r="989" ht="12.0" customHeight="1">
      <c r="B989" s="260"/>
      <c r="C989" s="130"/>
      <c r="E989" s="130"/>
    </row>
    <row r="990" ht="12.0" customHeight="1">
      <c r="B990" s="260"/>
      <c r="C990" s="130"/>
      <c r="E990" s="130"/>
    </row>
    <row r="991" ht="12.0" customHeight="1">
      <c r="B991" s="260"/>
      <c r="C991" s="130"/>
      <c r="E991" s="130"/>
    </row>
    <row r="992" ht="12.0" customHeight="1">
      <c r="B992" s="260"/>
      <c r="C992" s="130"/>
      <c r="E992" s="130"/>
    </row>
    <row r="993" ht="12.0" customHeight="1">
      <c r="B993" s="260"/>
      <c r="C993" s="130"/>
      <c r="E993" s="130"/>
    </row>
    <row r="994" ht="12.0" customHeight="1">
      <c r="B994" s="260"/>
      <c r="C994" s="130"/>
      <c r="E994" s="130"/>
    </row>
    <row r="995" ht="12.0" customHeight="1">
      <c r="B995" s="260"/>
      <c r="C995" s="130"/>
      <c r="E995" s="130"/>
    </row>
    <row r="996" ht="12.0" customHeight="1">
      <c r="B996" s="260"/>
      <c r="C996" s="130"/>
      <c r="E996" s="130"/>
    </row>
    <row r="997" ht="12.0" customHeight="1">
      <c r="B997" s="260"/>
      <c r="C997" s="130"/>
      <c r="E997" s="130"/>
    </row>
    <row r="998" ht="12.0" customHeight="1">
      <c r="B998" s="260"/>
      <c r="C998" s="130"/>
      <c r="E998" s="130"/>
    </row>
    <row r="999" ht="12.0" customHeight="1">
      <c r="B999" s="260"/>
      <c r="C999" s="130"/>
      <c r="E999" s="130"/>
    </row>
    <row r="1000" ht="12.0" customHeight="1">
      <c r="B1000" s="260"/>
      <c r="C1000" s="130"/>
      <c r="E1000" s="130"/>
    </row>
    <row r="1001" ht="12.0" customHeight="1">
      <c r="B1001" s="260"/>
      <c r="C1001" s="130"/>
      <c r="E1001" s="130"/>
    </row>
    <row r="1002" ht="12.0" customHeight="1">
      <c r="B1002" s="260"/>
      <c r="C1002" s="130"/>
      <c r="E1002" s="130"/>
    </row>
  </sheetData>
  <mergeCells count="19">
    <mergeCell ref="B39:C39"/>
    <mergeCell ref="F39:G39"/>
    <mergeCell ref="B48:C48"/>
    <mergeCell ref="B50:H53"/>
    <mergeCell ref="B57:D57"/>
    <mergeCell ref="F57:H57"/>
    <mergeCell ref="G58:H58"/>
    <mergeCell ref="E70:F72"/>
    <mergeCell ref="G70:H72"/>
    <mergeCell ref="B73:D73"/>
    <mergeCell ref="E73:F73"/>
    <mergeCell ref="G73:H73"/>
    <mergeCell ref="G59:H59"/>
    <mergeCell ref="G60:H60"/>
    <mergeCell ref="G61:H61"/>
    <mergeCell ref="G62:H62"/>
    <mergeCell ref="G63:H63"/>
    <mergeCell ref="G64:H64"/>
    <mergeCell ref="B70:D72"/>
  </mergeCells>
  <dataValidations>
    <dataValidation type="list" allowBlank="1" showErrorMessage="1" sqref="C22">
      <formula1>LS1A!$A$5:$A$33</formula1>
    </dataValidation>
  </dataValidations>
  <printOptions/>
  <pageMargins bottom="0.75" footer="0.0" header="0.0" left="0.25" right="0.25" top="0.75"/>
  <pageSetup paperSize="8"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3.0"/>
    <col customWidth="1" min="4" max="4" width="17.25"/>
    <col customWidth="1" min="5" max="5" width="15.38"/>
    <col customWidth="1" min="6" max="6" width="13.5"/>
    <col customWidth="1" min="7" max="9" width="16.5"/>
    <col customWidth="1" min="10" max="27" width="8.63"/>
  </cols>
  <sheetData>
    <row r="1" ht="12.0" customHeight="1">
      <c r="A1" s="113"/>
      <c r="B1" s="260"/>
    </row>
    <row r="2" ht="12.0" customHeight="1">
      <c r="B2" s="260"/>
    </row>
    <row r="3" ht="12.0" customHeight="1">
      <c r="A3" s="2"/>
      <c r="B3" s="261"/>
      <c r="C3" s="2"/>
      <c r="D3" s="2"/>
      <c r="E3" s="2"/>
      <c r="F3" s="2"/>
      <c r="G3" s="2"/>
      <c r="H3" s="2"/>
      <c r="I3" s="2"/>
    </row>
    <row r="4" ht="12.0" customHeight="1">
      <c r="A4" s="2"/>
      <c r="B4" s="261"/>
      <c r="C4" s="2"/>
      <c r="D4" s="2"/>
      <c r="E4" s="2"/>
      <c r="F4" s="2"/>
      <c r="G4" s="2"/>
      <c r="H4" s="2"/>
      <c r="I4" s="2"/>
    </row>
    <row r="5" ht="12.0" customHeight="1">
      <c r="A5" s="2"/>
      <c r="B5" s="261"/>
      <c r="C5" s="2"/>
      <c r="D5" s="2"/>
      <c r="E5" s="2"/>
      <c r="F5" s="2"/>
      <c r="G5" s="2"/>
      <c r="H5" s="2"/>
      <c r="I5" s="2"/>
    </row>
    <row r="6" ht="12.0" customHeight="1">
      <c r="A6" s="2"/>
      <c r="B6" s="261"/>
      <c r="C6" s="2"/>
      <c r="D6" s="2"/>
      <c r="E6" s="2"/>
      <c r="F6" s="2"/>
      <c r="G6" s="2"/>
      <c r="H6" s="2"/>
      <c r="I6" s="2"/>
    </row>
    <row r="7" ht="12.0" customHeight="1">
      <c r="A7" s="2"/>
      <c r="B7" s="261"/>
      <c r="C7" s="2"/>
      <c r="D7" s="2"/>
      <c r="E7" s="2"/>
      <c r="F7" s="2"/>
      <c r="G7" s="2"/>
      <c r="H7" s="2"/>
      <c r="I7" s="2"/>
    </row>
    <row r="8" ht="12.0" customHeight="1">
      <c r="A8" s="2"/>
      <c r="B8" s="261"/>
      <c r="C8" s="2"/>
      <c r="D8" s="2"/>
      <c r="E8" s="2"/>
      <c r="F8" s="2"/>
      <c r="G8" s="2"/>
      <c r="H8" s="2"/>
      <c r="I8" s="2"/>
    </row>
    <row r="9" ht="12.0" customHeight="1">
      <c r="A9" s="2"/>
      <c r="B9" s="261"/>
      <c r="C9" s="2"/>
      <c r="D9" s="2"/>
      <c r="E9" s="2"/>
      <c r="F9" s="2"/>
      <c r="G9" s="2"/>
      <c r="H9" s="2"/>
      <c r="I9" s="2"/>
    </row>
    <row r="10" ht="12.0" customHeight="1">
      <c r="A10" s="2"/>
      <c r="B10" s="261"/>
      <c r="C10" s="2"/>
      <c r="D10" s="2"/>
      <c r="E10" s="2"/>
      <c r="F10" s="2"/>
      <c r="G10" s="2"/>
      <c r="H10" s="2"/>
      <c r="I10" s="2"/>
    </row>
    <row r="11" ht="12.0" customHeight="1">
      <c r="A11" s="2"/>
      <c r="B11" s="261"/>
      <c r="C11" s="2"/>
      <c r="D11" s="2"/>
      <c r="E11" s="2"/>
      <c r="F11" s="2"/>
      <c r="G11" s="2"/>
      <c r="H11" s="2"/>
      <c r="I11" s="2"/>
    </row>
    <row r="12" ht="12.0" customHeight="1">
      <c r="A12" s="2"/>
      <c r="B12" s="261"/>
      <c r="C12" s="2"/>
      <c r="D12" s="2"/>
      <c r="E12" s="2"/>
      <c r="F12" s="2"/>
      <c r="G12" s="2"/>
      <c r="H12" s="2"/>
      <c r="I12" s="2"/>
    </row>
    <row r="13" ht="12.0" customHeight="1">
      <c r="A13" s="2"/>
      <c r="B13" s="261"/>
      <c r="C13" s="2"/>
      <c r="D13" s="2"/>
      <c r="E13" s="2"/>
      <c r="F13" s="2"/>
      <c r="G13" s="2"/>
      <c r="H13" s="2"/>
      <c r="I13" s="2"/>
    </row>
    <row r="14" ht="12.0" customHeight="1">
      <c r="A14" s="2"/>
      <c r="B14" s="261"/>
      <c r="C14" s="2"/>
      <c r="D14" s="2"/>
      <c r="E14" s="2"/>
      <c r="F14" s="2"/>
      <c r="G14" s="2"/>
      <c r="H14" s="2"/>
      <c r="I14" s="2"/>
    </row>
    <row r="15" ht="12.0" customHeight="1">
      <c r="A15" s="2"/>
      <c r="B15" s="261"/>
      <c r="C15" s="2"/>
      <c r="D15" s="2"/>
      <c r="E15" s="2"/>
      <c r="F15" s="2"/>
      <c r="G15" s="2"/>
      <c r="H15" s="2"/>
      <c r="I15" s="2"/>
    </row>
    <row r="16" ht="12.0" customHeight="1">
      <c r="A16" s="2"/>
      <c r="B16" s="261"/>
      <c r="C16" s="2"/>
      <c r="D16" s="2"/>
      <c r="E16" s="2"/>
      <c r="F16" s="2"/>
      <c r="G16" s="2"/>
      <c r="H16" s="2"/>
      <c r="I16" s="2"/>
    </row>
    <row r="17" ht="12.0" customHeight="1">
      <c r="A17" s="2"/>
      <c r="B17" s="261"/>
      <c r="C17" s="2"/>
      <c r="D17" s="2"/>
      <c r="E17" s="2"/>
      <c r="F17" s="2"/>
      <c r="G17" s="2"/>
      <c r="H17" s="2"/>
      <c r="I17" s="2"/>
    </row>
    <row r="18" ht="12.0" customHeight="1">
      <c r="A18" s="2"/>
      <c r="B18" s="261"/>
      <c r="C18" s="2"/>
      <c r="D18" s="2"/>
      <c r="E18" s="2"/>
      <c r="F18" s="2"/>
      <c r="G18" s="2"/>
      <c r="H18" s="2"/>
      <c r="I18" s="2"/>
    </row>
    <row r="19" ht="12.0" customHeight="1">
      <c r="A19" s="2"/>
      <c r="B19" s="261"/>
      <c r="C19" s="2"/>
      <c r="D19" s="2"/>
      <c r="E19" s="2"/>
      <c r="F19" s="2"/>
      <c r="G19" s="2"/>
      <c r="H19" s="2"/>
      <c r="I19" s="2"/>
    </row>
    <row r="20" ht="9.0" customHeight="1">
      <c r="A20" s="2"/>
      <c r="B20" s="261"/>
      <c r="C20" s="2"/>
      <c r="D20" s="2"/>
      <c r="E20" s="2"/>
      <c r="F20" s="2"/>
      <c r="G20" s="2"/>
      <c r="H20" s="2"/>
      <c r="I20" s="2"/>
    </row>
    <row r="21" ht="12.0" customHeight="1">
      <c r="A21" s="2"/>
      <c r="B21" s="2"/>
      <c r="C21" s="2"/>
      <c r="D21" s="2"/>
      <c r="E21" s="2"/>
      <c r="F21" s="2"/>
      <c r="G21" s="2"/>
      <c r="H21" s="2"/>
      <c r="I21" s="2"/>
    </row>
    <row r="22" ht="21.0" customHeight="1">
      <c r="A22" s="2"/>
      <c r="B22" s="2" t="s">
        <v>618</v>
      </c>
      <c r="C22" s="351">
        <v>15.0</v>
      </c>
      <c r="D22" s="2"/>
      <c r="E22" s="2"/>
      <c r="F22" s="2"/>
      <c r="G22" s="2"/>
      <c r="H22" s="2"/>
      <c r="I22" s="2"/>
    </row>
    <row r="23" ht="21.0" customHeight="1">
      <c r="A23" s="2"/>
      <c r="B23" s="260"/>
      <c r="D23" s="2"/>
      <c r="E23" s="2"/>
      <c r="F23" s="2"/>
      <c r="G23" s="2"/>
      <c r="H23" s="2"/>
      <c r="I23" s="2"/>
    </row>
    <row r="24" ht="12.0" customHeight="1">
      <c r="A24" s="2"/>
      <c r="B24" s="260"/>
      <c r="D24" s="2"/>
      <c r="E24" s="2"/>
      <c r="F24" s="2"/>
      <c r="G24" s="2"/>
      <c r="H24" s="2"/>
      <c r="I24" s="2"/>
    </row>
    <row r="25" ht="21.75" customHeight="1">
      <c r="A25" s="2"/>
      <c r="B25" s="352" t="s">
        <v>619</v>
      </c>
      <c r="C25" s="353" t="str">
        <f>VLOOKUP($C$22,LS1B!$A$3:$AY$32,2,0)</f>
        <v>Shimwambwa Natalie</v>
      </c>
      <c r="D25" s="354" t="s">
        <v>620</v>
      </c>
      <c r="E25" s="355" t="s">
        <v>38</v>
      </c>
      <c r="G25" s="353" t="s">
        <v>73</v>
      </c>
      <c r="H25" s="356">
        <f>RANK(G40,LS1B!$AR$5:$AR$32)</f>
        <v>3</v>
      </c>
      <c r="I25" s="2"/>
    </row>
    <row r="26" ht="12.0" customHeight="1">
      <c r="A26" s="2"/>
      <c r="B26" s="271"/>
      <c r="C26" s="273"/>
      <c r="D26" s="273"/>
      <c r="E26" s="273"/>
      <c r="F26" s="273"/>
      <c r="G26" s="273"/>
      <c r="H26" s="273"/>
      <c r="I26" s="2"/>
    </row>
    <row r="27" ht="26.25" customHeight="1">
      <c r="A27" s="274"/>
      <c r="B27" s="275" t="s">
        <v>621</v>
      </c>
      <c r="C27" s="275" t="s">
        <v>80</v>
      </c>
      <c r="D27" s="275" t="s">
        <v>81</v>
      </c>
      <c r="E27" s="275" t="s">
        <v>622</v>
      </c>
      <c r="F27" s="275" t="s">
        <v>83</v>
      </c>
      <c r="G27" s="275" t="s">
        <v>653</v>
      </c>
      <c r="H27" s="277" t="s">
        <v>654</v>
      </c>
      <c r="I27" s="278"/>
      <c r="J27" s="279"/>
      <c r="K27" s="279"/>
      <c r="L27" s="279"/>
      <c r="M27" s="279"/>
      <c r="N27" s="279"/>
      <c r="O27" s="279"/>
      <c r="P27" s="279"/>
      <c r="Q27" s="279"/>
      <c r="R27" s="279"/>
      <c r="S27" s="279"/>
      <c r="T27" s="279"/>
      <c r="U27" s="279"/>
      <c r="V27" s="279"/>
      <c r="W27" s="279"/>
      <c r="X27" s="279"/>
      <c r="Y27" s="279"/>
      <c r="Z27" s="279"/>
      <c r="AA27" s="279"/>
    </row>
    <row r="28" ht="33.0" customHeight="1">
      <c r="A28" s="280"/>
      <c r="B28" s="270" t="s">
        <v>23</v>
      </c>
      <c r="C28" s="357">
        <f>VLOOKUP($C$22,LS1B!$A$3:$AY$34,3,0)</f>
        <v>37</v>
      </c>
      <c r="D28" s="357">
        <f>VLOOKUP($C$22,LS1B!$A$3:$AY$34,4,0)</f>
        <v>46</v>
      </c>
      <c r="E28" s="357">
        <f t="shared" ref="E28:E37" si="1">C28+D28</f>
        <v>83</v>
      </c>
      <c r="F28" s="357" t="str">
        <f>VLOOKUP($C$22,LS1B!$A$3:$AY$34,6,0)</f>
        <v>A</v>
      </c>
      <c r="G28" s="357">
        <f>RANK(E28,LS1B!$E$5:$E$30)</f>
        <v>1</v>
      </c>
      <c r="H28" s="281">
        <f>LS1B!E35</f>
        <v>65.96296296</v>
      </c>
      <c r="I28" s="283"/>
    </row>
    <row r="29" ht="35.25" customHeight="1">
      <c r="A29" s="280"/>
      <c r="B29" s="270" t="s">
        <v>24</v>
      </c>
      <c r="C29" s="357">
        <f>VLOOKUP($C$22,LS1B!$A$3:$AY$34,7,0)</f>
        <v>26</v>
      </c>
      <c r="D29" s="357">
        <f>VLOOKUP($C$22,LS1B!$A$3:$AY$34,8,0)</f>
        <v>52</v>
      </c>
      <c r="E29" s="357">
        <f t="shared" si="1"/>
        <v>78</v>
      </c>
      <c r="F29" s="357" t="str">
        <f>VLOOKUP($C$22,LS1B!$A$3:$AY$34,10,0)</f>
        <v>B</v>
      </c>
      <c r="G29" s="357">
        <f>RANK(E29,LS1B!$I$5:$I$30)</f>
        <v>3</v>
      </c>
      <c r="H29" s="281">
        <f>LS1B!I35</f>
        <v>52.55555556</v>
      </c>
      <c r="I29" s="283"/>
    </row>
    <row r="30" ht="36.75" customHeight="1">
      <c r="A30" s="280"/>
      <c r="B30" s="270" t="s">
        <v>25</v>
      </c>
      <c r="C30" s="358">
        <f>VLOOKUP($C$22,LS1B!$A$3:$AY$34,11,0)</f>
        <v>30.6</v>
      </c>
      <c r="D30" s="358">
        <f>VLOOKUP($C$22,LS1B!$A$3:$AY$34,12,0)</f>
        <v>47.4</v>
      </c>
      <c r="E30" s="358">
        <f t="shared" si="1"/>
        <v>78</v>
      </c>
      <c r="F30" s="357" t="str">
        <f>VLOOKUP($C$22,LS1B!$A$3:$AY$34,14,0)</f>
        <v>B</v>
      </c>
      <c r="G30" s="357">
        <f>RANK(E30,LS1B!$M$5:$M$30)</f>
        <v>5</v>
      </c>
      <c r="H30" s="281">
        <f>LS1B!M35</f>
        <v>58.93703704</v>
      </c>
      <c r="I30" s="283"/>
    </row>
    <row r="31" ht="36.75" customHeight="1">
      <c r="A31" s="280"/>
      <c r="B31" s="270" t="s">
        <v>26</v>
      </c>
      <c r="C31" s="357">
        <f>VLOOKUP($C$22,LS1B!$A$3:$AY$34,15,0)</f>
        <v>35</v>
      </c>
      <c r="D31" s="357">
        <f>VLOOKUP($C$22,LS1B!$A$3:$AY$34,16,0)</f>
        <v>47</v>
      </c>
      <c r="E31" s="357">
        <f t="shared" si="1"/>
        <v>82</v>
      </c>
      <c r="F31" s="357" t="str">
        <f>VLOOKUP($C$22,LS1B!$A$3:$AY$34,18,0)</f>
        <v>A</v>
      </c>
      <c r="G31" s="357">
        <f>RANK(E31,LS1B!$Q$5:$Q$30)</f>
        <v>1</v>
      </c>
      <c r="H31" s="281">
        <f>LS1B!Q35</f>
        <v>61.66666667</v>
      </c>
      <c r="I31" s="283"/>
    </row>
    <row r="32" ht="36.75" customHeight="1">
      <c r="A32" s="280"/>
      <c r="B32" s="270" t="s">
        <v>27</v>
      </c>
      <c r="C32" s="357">
        <f>VLOOKUP($C$22,LS1B!$A$3:$AY$34,19,0)</f>
        <v>39</v>
      </c>
      <c r="D32" s="357">
        <f>VLOOKUP($C$22,LS1B!$A$3:$AY$34,20,0)</f>
        <v>56</v>
      </c>
      <c r="E32" s="357">
        <f t="shared" si="1"/>
        <v>95</v>
      </c>
      <c r="F32" s="357" t="str">
        <f>VLOOKUP($C$22,LS1B!$A$3:$AY$34,22,0)</f>
        <v>A*</v>
      </c>
      <c r="G32" s="357">
        <f>RANK(E32,LS1B!$U$5:$U$30)</f>
        <v>1</v>
      </c>
      <c r="H32" s="281">
        <f>LS1B!U35</f>
        <v>68.77777778</v>
      </c>
      <c r="I32" s="283"/>
    </row>
    <row r="33" ht="36.75" customHeight="1">
      <c r="A33" s="280"/>
      <c r="B33" s="270" t="s">
        <v>28</v>
      </c>
      <c r="C33" s="357">
        <f>VLOOKUP($C$22,LS1B!$A$3:$AY$34,23,0)</f>
        <v>31</v>
      </c>
      <c r="D33" s="357">
        <f>VLOOKUP($C$22,LS1B!$A$3:$AY$34,24,0)</f>
        <v>54</v>
      </c>
      <c r="E33" s="357">
        <f t="shared" si="1"/>
        <v>85</v>
      </c>
      <c r="F33" s="357" t="str">
        <f>VLOOKUP($C$22,LS1B!$A$3:$AY$34,26,0)</f>
        <v>A</v>
      </c>
      <c r="G33" s="357">
        <f>RANK(E33,LS1B!$Y$5:$Y$30)</f>
        <v>5</v>
      </c>
      <c r="H33" s="281">
        <f>LS1B!Y35</f>
        <v>70.88888889</v>
      </c>
      <c r="I33" s="283"/>
    </row>
    <row r="34" ht="33.0" customHeight="1">
      <c r="A34" s="280"/>
      <c r="B34" s="270" t="s">
        <v>29</v>
      </c>
      <c r="C34" s="357">
        <f>VLOOKUP($C$22,LS1B!$A$3:$AY$34,27,0)</f>
        <v>34</v>
      </c>
      <c r="D34" s="357">
        <f>VLOOKUP($C$22,LS1B!$A$3:$AY$34,28,0)</f>
        <v>50</v>
      </c>
      <c r="E34" s="357">
        <f t="shared" si="1"/>
        <v>84</v>
      </c>
      <c r="F34" s="357" t="str">
        <f>VLOOKUP($C$22,LS1B!$A$3:$AY$34,30,0)</f>
        <v>A</v>
      </c>
      <c r="G34" s="357">
        <f>RANK(E34,LS1B!$AC$5:$AC$30)</f>
        <v>5</v>
      </c>
      <c r="H34" s="281">
        <f>LS1B!AC35</f>
        <v>70.07692308</v>
      </c>
      <c r="I34" s="283"/>
    </row>
    <row r="35" ht="31.5" customHeight="1">
      <c r="A35" s="280"/>
      <c r="B35" s="270" t="s">
        <v>625</v>
      </c>
      <c r="C35" s="357">
        <f>VLOOKUP($C$22,LS1B!$A$3:$AY$34,31,0)</f>
        <v>28</v>
      </c>
      <c r="D35" s="357">
        <f>VLOOKUP($C$22,LS1B!$A$3:$AY$34,32,0)</f>
        <v>43</v>
      </c>
      <c r="E35" s="357">
        <f t="shared" si="1"/>
        <v>71</v>
      </c>
      <c r="F35" s="357" t="str">
        <f>VLOOKUP($C$22,LS1B!$A$3:$AY$34,34,0)</f>
        <v>B</v>
      </c>
      <c r="G35" s="357">
        <f>RANK(E35,LS1B!$AG$5:$AG$30)</f>
        <v>20</v>
      </c>
      <c r="H35" s="281">
        <f>LS1B!AG35</f>
        <v>75.74074074</v>
      </c>
      <c r="I35" s="283"/>
    </row>
    <row r="36" ht="31.5" customHeight="1">
      <c r="A36" s="280"/>
      <c r="B36" s="270" t="s">
        <v>31</v>
      </c>
      <c r="C36" s="357">
        <f>VLOOKUP($C$22,LS1B!$A$3:$AY$34,35,0)</f>
        <v>34</v>
      </c>
      <c r="D36" s="357">
        <f>VLOOKUP($C$22,LS1B!$A$3:$AY$34,36,0)</f>
        <v>56</v>
      </c>
      <c r="E36" s="357">
        <f t="shared" si="1"/>
        <v>90</v>
      </c>
      <c r="F36" s="357" t="str">
        <f>VLOOKUP($C$22,LS1B!$A$3:$AY$34,38,0)</f>
        <v>A*</v>
      </c>
      <c r="G36" s="357">
        <f>RANK(E36,LS1B!$AK$5:$AK$30)</f>
        <v>1</v>
      </c>
      <c r="H36" s="281">
        <f>LS1B!AK35</f>
        <v>68.81481481</v>
      </c>
      <c r="I36" s="283"/>
    </row>
    <row r="37" ht="35.25" customHeight="1">
      <c r="A37" s="280"/>
      <c r="B37" s="270" t="s">
        <v>32</v>
      </c>
      <c r="C37" s="357">
        <f>VLOOKUP($C$22,LS1B!$A$3:$AY$34,39,0)</f>
        <v>22</v>
      </c>
      <c r="D37" s="357">
        <f>VLOOKUP($C$22,LS1B!$A$3:$AY$34,40,0)</f>
        <v>51</v>
      </c>
      <c r="E37" s="357">
        <f t="shared" si="1"/>
        <v>73</v>
      </c>
      <c r="F37" s="357" t="str">
        <f>VLOOKUP($C$22,LS1B!$A$3:$AY$34,42,0)</f>
        <v>B</v>
      </c>
      <c r="G37" s="357">
        <f>RANK(E37,LS1B!$AO$5:$AO$30)</f>
        <v>5</v>
      </c>
      <c r="H37" s="281">
        <f>LS1B!AO35</f>
        <v>66.86296296</v>
      </c>
      <c r="I37" s="283"/>
    </row>
    <row r="38" ht="21.75" customHeight="1">
      <c r="A38" s="2"/>
      <c r="B38" s="260"/>
      <c r="D38" s="284"/>
      <c r="E38" s="284"/>
      <c r="F38" s="286"/>
      <c r="G38" s="286"/>
      <c r="H38" s="284"/>
      <c r="I38" s="2"/>
    </row>
    <row r="39" ht="22.5" customHeight="1">
      <c r="A39" s="280"/>
      <c r="B39" s="359" t="s">
        <v>655</v>
      </c>
      <c r="C39" s="46"/>
      <c r="D39" s="283"/>
      <c r="E39" s="280"/>
      <c r="F39" s="289" t="s">
        <v>627</v>
      </c>
      <c r="G39" s="46"/>
      <c r="H39" s="290"/>
      <c r="I39" s="2"/>
    </row>
    <row r="40" ht="28.5" customHeight="1">
      <c r="A40" s="280"/>
      <c r="B40" s="360" t="s">
        <v>74</v>
      </c>
      <c r="C40" s="361" t="str">
        <f>VLOOKUP($C$22,LS1B!$A$3:$AY$34,46,0)</f>
        <v>A+</v>
      </c>
      <c r="E40" s="280"/>
      <c r="F40" s="362" t="s">
        <v>628</v>
      </c>
      <c r="G40" s="294">
        <f>AVERAGE(E28:E37)</f>
        <v>81.9</v>
      </c>
      <c r="I40" s="283"/>
    </row>
    <row r="41" ht="26.25" customHeight="1">
      <c r="A41" s="280"/>
      <c r="B41" s="360" t="s">
        <v>75</v>
      </c>
      <c r="C41" s="361" t="str">
        <f>VLOOKUP($C$22,LS1B!$A$3:$AY$34,47,0)</f>
        <v>A</v>
      </c>
      <c r="E41" s="280"/>
      <c r="F41" s="362" t="s">
        <v>629</v>
      </c>
      <c r="G41" s="295">
        <f>COUNTIF(E28:E37,"&gt;=50")</f>
        <v>10</v>
      </c>
      <c r="I41" s="283"/>
    </row>
    <row r="42" ht="24.0" customHeight="1">
      <c r="A42" s="280"/>
      <c r="B42" s="360" t="s">
        <v>76</v>
      </c>
      <c r="C42" s="361" t="str">
        <f>VLOOKUP($C$22,LS1B!$A$3:$AY$34,48,0)</f>
        <v>A</v>
      </c>
      <c r="E42" s="280"/>
      <c r="F42" s="362" t="s">
        <v>630</v>
      </c>
      <c r="G42" s="295">
        <f>COUNTIF(E28:E37,"&lt;=50")</f>
        <v>0</v>
      </c>
      <c r="I42" s="296"/>
    </row>
    <row r="43" ht="28.5" customHeight="1">
      <c r="A43" s="280"/>
      <c r="B43" s="360" t="s">
        <v>77</v>
      </c>
      <c r="C43" s="361" t="str">
        <f>VLOOKUP($C$22,LS1B!$A$3:$AY$34,49,0)</f>
        <v>A+</v>
      </c>
      <c r="E43" s="280"/>
      <c r="F43" s="362" t="s">
        <v>631</v>
      </c>
      <c r="G43" s="297">
        <f>RANK(G40,LS1B!$AR$5:$AR$31)</f>
        <v>3</v>
      </c>
      <c r="I43" s="296"/>
    </row>
    <row r="44" ht="19.5" customHeight="1">
      <c r="A44" s="280"/>
      <c r="B44" s="363" t="s">
        <v>78</v>
      </c>
      <c r="C44" s="361" t="str">
        <f>VLOOKUP($C$22,LS1B!$A$3:$AY$34,50,0)</f>
        <v>A+</v>
      </c>
      <c r="E44" s="280"/>
      <c r="F44" s="362" t="s">
        <v>632</v>
      </c>
      <c r="G44" s="299">
        <f>COUNT(LS1B!A5:A31)</f>
        <v>27</v>
      </c>
      <c r="I44" s="296"/>
    </row>
    <row r="45" ht="22.5" customHeight="1">
      <c r="A45" s="2"/>
      <c r="B45" s="300"/>
      <c r="C45" s="284"/>
      <c r="D45" s="2"/>
      <c r="E45" s="2"/>
      <c r="F45" s="301" t="s">
        <v>633</v>
      </c>
      <c r="G45" s="284"/>
      <c r="H45" s="284"/>
      <c r="I45" s="261"/>
    </row>
    <row r="46" ht="22.5" customHeight="1">
      <c r="A46" s="2"/>
      <c r="B46" s="311"/>
      <c r="C46" s="313"/>
      <c r="D46" s="313"/>
      <c r="E46" s="313"/>
      <c r="F46" s="313"/>
      <c r="G46" s="313"/>
      <c r="H46" s="313"/>
      <c r="I46" s="261"/>
    </row>
    <row r="47" ht="22.5" customHeight="1">
      <c r="A47" s="2"/>
      <c r="B47" s="364" t="s">
        <v>634</v>
      </c>
      <c r="C47" s="365"/>
      <c r="D47" s="313"/>
      <c r="E47" s="313"/>
      <c r="F47" s="313"/>
      <c r="G47" s="313"/>
      <c r="H47" s="313"/>
      <c r="I47" s="261"/>
    </row>
    <row r="48" ht="20.25" customHeight="1">
      <c r="A48" s="280"/>
      <c r="B48" s="366" t="str">
        <f>VLOOKUP($C$22,LS1B!$A$3:$AY$34,51,0)</f>
        <v>Natalie consistently demonstrates outstanding behavior in class. She shows great respect to both teachers and classmates, listens attentively, and approaches all tasks with enthusiasm. Her ability to stay focused and complete assignments on time is commendable. Additionally, she actively participates in discussions and willingly supports her peers, contributing to a positive classroom atmosphere. I encourage Natalie to maintain this high level of commitment and continue to be a role model for others.</v>
      </c>
      <c r="C48" s="304"/>
      <c r="D48" s="304"/>
      <c r="E48" s="304"/>
      <c r="F48" s="304"/>
      <c r="G48" s="304"/>
      <c r="H48" s="305"/>
      <c r="I48" s="296"/>
    </row>
    <row r="49" ht="55.5" customHeight="1">
      <c r="A49" s="280"/>
      <c r="B49" s="306"/>
      <c r="H49" s="307"/>
      <c r="I49" s="296"/>
    </row>
    <row r="50" ht="41.25" customHeight="1">
      <c r="A50" s="280"/>
      <c r="B50" s="306"/>
      <c r="H50" s="307"/>
      <c r="I50" s="296"/>
    </row>
    <row r="51" ht="20.25" customHeight="1">
      <c r="A51" s="280"/>
      <c r="B51" s="308"/>
      <c r="C51" s="309"/>
      <c r="D51" s="309"/>
      <c r="E51" s="309"/>
      <c r="F51" s="309"/>
      <c r="G51" s="309"/>
      <c r="H51" s="310"/>
      <c r="I51" s="296"/>
    </row>
    <row r="52" ht="15.75" customHeight="1">
      <c r="A52" s="280"/>
      <c r="I52" s="283"/>
    </row>
    <row r="53" ht="12.0" customHeight="1">
      <c r="A53" s="280"/>
      <c r="B53" s="311"/>
      <c r="C53" s="313"/>
      <c r="D53" s="313"/>
      <c r="E53" s="313"/>
      <c r="F53" s="313"/>
      <c r="G53" s="313"/>
      <c r="H53" s="313"/>
      <c r="I53" s="283"/>
    </row>
    <row r="54" ht="12.0" customHeight="1">
      <c r="A54" s="2"/>
      <c r="B54" s="314"/>
      <c r="C54" s="286"/>
      <c r="D54" s="286"/>
      <c r="E54" s="284"/>
      <c r="F54" s="286"/>
      <c r="G54" s="286"/>
      <c r="H54" s="286"/>
      <c r="I54" s="2"/>
    </row>
    <row r="55" ht="27.75" customHeight="1">
      <c r="A55" s="280"/>
      <c r="B55" s="367" t="s">
        <v>635</v>
      </c>
      <c r="C55" s="45"/>
      <c r="D55" s="46"/>
      <c r="E55" s="368"/>
      <c r="F55" s="319" t="s">
        <v>636</v>
      </c>
      <c r="G55" s="45"/>
      <c r="H55" s="46"/>
      <c r="I55" s="283"/>
    </row>
    <row r="56" ht="24.75" customHeight="1">
      <c r="A56" s="280"/>
      <c r="B56" s="320" t="s">
        <v>637</v>
      </c>
      <c r="C56" s="320" t="s">
        <v>638</v>
      </c>
      <c r="D56" s="320" t="s">
        <v>639</v>
      </c>
      <c r="E56" s="368"/>
      <c r="F56" s="369" t="s">
        <v>637</v>
      </c>
      <c r="G56" s="370" t="s">
        <v>638</v>
      </c>
      <c r="H56" s="46"/>
      <c r="I56" s="283"/>
    </row>
    <row r="57" ht="26.25" customHeight="1">
      <c r="A57" s="280"/>
      <c r="B57" s="371" t="s">
        <v>151</v>
      </c>
      <c r="C57" s="371" t="s">
        <v>86</v>
      </c>
      <c r="D57" s="371" t="s">
        <v>640</v>
      </c>
      <c r="E57" s="368"/>
      <c r="F57" s="329" t="s">
        <v>641</v>
      </c>
      <c r="G57" s="330" t="s">
        <v>86</v>
      </c>
      <c r="H57" s="46"/>
      <c r="I57" s="283"/>
    </row>
    <row r="58" ht="25.5" customHeight="1">
      <c r="A58" s="280"/>
      <c r="B58" s="371" t="s">
        <v>150</v>
      </c>
      <c r="C58" s="371" t="s">
        <v>85</v>
      </c>
      <c r="D58" s="371" t="s">
        <v>640</v>
      </c>
      <c r="E58" s="368"/>
      <c r="F58" s="329" t="s">
        <v>149</v>
      </c>
      <c r="G58" s="330" t="s">
        <v>85</v>
      </c>
      <c r="H58" s="46"/>
      <c r="I58" s="283"/>
    </row>
    <row r="59" ht="28.5" customHeight="1">
      <c r="A59" s="280"/>
      <c r="B59" s="371" t="s">
        <v>149</v>
      </c>
      <c r="C59" s="371" t="s">
        <v>87</v>
      </c>
      <c r="D59" s="371" t="s">
        <v>642</v>
      </c>
      <c r="E59" s="368"/>
      <c r="F59" s="329" t="s">
        <v>148</v>
      </c>
      <c r="G59" s="330" t="s">
        <v>87</v>
      </c>
      <c r="H59" s="46"/>
      <c r="I59" s="283"/>
    </row>
    <row r="60" ht="23.25" customHeight="1">
      <c r="A60" s="280"/>
      <c r="B60" s="371" t="s">
        <v>148</v>
      </c>
      <c r="C60" s="371" t="s">
        <v>90</v>
      </c>
      <c r="D60" s="371" t="s">
        <v>643</v>
      </c>
      <c r="E60" s="368"/>
      <c r="F60" s="329" t="s">
        <v>147</v>
      </c>
      <c r="G60" s="330" t="s">
        <v>90</v>
      </c>
      <c r="H60" s="46"/>
      <c r="I60" s="283"/>
    </row>
    <row r="61" ht="24.75" customHeight="1">
      <c r="A61" s="280"/>
      <c r="B61" s="371" t="s">
        <v>147</v>
      </c>
      <c r="C61" s="371" t="s">
        <v>93</v>
      </c>
      <c r="D61" s="371" t="s">
        <v>644</v>
      </c>
      <c r="E61" s="368"/>
      <c r="F61" s="329" t="s">
        <v>645</v>
      </c>
      <c r="G61" s="330" t="s">
        <v>93</v>
      </c>
      <c r="H61" s="46"/>
      <c r="I61" s="283"/>
    </row>
    <row r="62" ht="26.25" customHeight="1">
      <c r="A62" s="280"/>
      <c r="B62" s="371" t="s">
        <v>145</v>
      </c>
      <c r="C62" s="371" t="s">
        <v>146</v>
      </c>
      <c r="D62" s="371" t="s">
        <v>644</v>
      </c>
      <c r="E62" s="368"/>
      <c r="F62" s="372"/>
      <c r="G62" s="372"/>
      <c r="I62" s="283"/>
    </row>
    <row r="63" ht="29.25" customHeight="1">
      <c r="A63" s="280"/>
      <c r="B63" s="371" t="s">
        <v>143</v>
      </c>
      <c r="C63" s="371" t="s">
        <v>144</v>
      </c>
      <c r="D63" s="371" t="s">
        <v>646</v>
      </c>
      <c r="E63" s="283"/>
      <c r="F63" s="286"/>
      <c r="G63" s="286"/>
      <c r="H63" s="284"/>
      <c r="I63" s="2"/>
    </row>
    <row r="64" ht="22.5" customHeight="1">
      <c r="A64" s="280"/>
      <c r="B64" s="371" t="s">
        <v>141</v>
      </c>
      <c r="C64" s="371" t="s">
        <v>142</v>
      </c>
      <c r="D64" s="371" t="s">
        <v>646</v>
      </c>
      <c r="E64" s="368"/>
      <c r="F64" s="334" t="s">
        <v>647</v>
      </c>
      <c r="G64" s="334"/>
      <c r="H64" s="283"/>
      <c r="I64" s="2"/>
    </row>
    <row r="65" ht="19.5" customHeight="1">
      <c r="A65" s="280"/>
      <c r="B65" s="371" t="s">
        <v>139</v>
      </c>
      <c r="C65" s="371" t="s">
        <v>140</v>
      </c>
      <c r="D65" s="371" t="s">
        <v>646</v>
      </c>
      <c r="E65" s="368"/>
      <c r="F65" s="334" t="s">
        <v>648</v>
      </c>
      <c r="G65" s="334"/>
      <c r="H65" s="283"/>
      <c r="I65" s="2"/>
    </row>
    <row r="66" ht="12.0" customHeight="1">
      <c r="A66" s="2"/>
      <c r="B66" s="300"/>
      <c r="C66" s="284"/>
      <c r="D66" s="284"/>
      <c r="E66" s="2"/>
      <c r="F66" s="373"/>
      <c r="G66" s="373"/>
      <c r="H66" s="2"/>
      <c r="I66" s="2"/>
    </row>
    <row r="67" ht="12.0" customHeight="1">
      <c r="B67" s="260"/>
    </row>
    <row r="68" ht="12.0" customHeight="1">
      <c r="B68" s="335" t="s">
        <v>656</v>
      </c>
      <c r="C68" s="336"/>
      <c r="D68" s="337"/>
      <c r="E68" s="374"/>
      <c r="F68" s="339"/>
      <c r="G68" s="340"/>
      <c r="H68" s="341"/>
    </row>
    <row r="69" ht="12.0" customHeight="1">
      <c r="B69" s="342"/>
      <c r="D69" s="343"/>
      <c r="F69" s="344"/>
      <c r="H69" s="343"/>
    </row>
    <row r="70" ht="12.0" customHeight="1">
      <c r="B70" s="345"/>
      <c r="C70" s="346"/>
      <c r="D70" s="325"/>
      <c r="E70" s="346"/>
      <c r="F70" s="347"/>
      <c r="G70" s="346"/>
      <c r="H70" s="325"/>
    </row>
    <row r="71" ht="19.5" customHeight="1">
      <c r="B71" s="348" t="s">
        <v>650</v>
      </c>
      <c r="C71" s="346"/>
      <c r="D71" s="325"/>
      <c r="E71" s="349" t="s">
        <v>651</v>
      </c>
      <c r="F71" s="325"/>
      <c r="G71" s="350" t="s">
        <v>652</v>
      </c>
      <c r="H71" s="325"/>
    </row>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row r="997" ht="12.0" customHeight="1">
      <c r="B997" s="260"/>
    </row>
    <row r="998" ht="12.0" customHeight="1">
      <c r="B998" s="260"/>
    </row>
    <row r="999" ht="12.0" customHeight="1">
      <c r="B999" s="260"/>
    </row>
    <row r="1000" ht="12.0" customHeight="1">
      <c r="B1000" s="260"/>
    </row>
  </sheetData>
  <mergeCells count="19">
    <mergeCell ref="B39:C39"/>
    <mergeCell ref="F39:G39"/>
    <mergeCell ref="B47:C47"/>
    <mergeCell ref="B48:H51"/>
    <mergeCell ref="B55:D55"/>
    <mergeCell ref="F55:H55"/>
    <mergeCell ref="G56:H56"/>
    <mergeCell ref="E68:F70"/>
    <mergeCell ref="G68:H70"/>
    <mergeCell ref="B71:D71"/>
    <mergeCell ref="E71:F71"/>
    <mergeCell ref="G71:H71"/>
    <mergeCell ref="G57:H57"/>
    <mergeCell ref="G58:H58"/>
    <mergeCell ref="G59:H59"/>
    <mergeCell ref="G60:H60"/>
    <mergeCell ref="G61:H61"/>
    <mergeCell ref="G62:H62"/>
    <mergeCell ref="B68:D70"/>
  </mergeCells>
  <dataValidations>
    <dataValidation type="list" allowBlank="1" showErrorMessage="1" sqref="C22">
      <formula1>LS1B!$A$5:$A$32</formula1>
    </dataValidation>
  </dataValidations>
  <printOptions/>
  <pageMargins bottom="0.75" footer="0.0" header="0.0" left="0.7" right="0.7" top="0.75"/>
  <pageSetup paperSize="8"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4.75"/>
    <col customWidth="1" min="4" max="4" width="19.5"/>
    <col customWidth="1" min="5" max="5" width="20.5"/>
    <col customWidth="1" min="6" max="6" width="17.63"/>
    <col customWidth="1" min="7" max="9" width="16.5"/>
    <col customWidth="1" min="10" max="27" width="8.63"/>
  </cols>
  <sheetData>
    <row r="1" ht="12.0" customHeight="1">
      <c r="A1" s="113"/>
      <c r="B1" s="260"/>
      <c r="C1" s="130"/>
    </row>
    <row r="2" ht="12.0" customHeight="1">
      <c r="B2" s="260"/>
      <c r="C2" s="130"/>
    </row>
    <row r="3" ht="12.0" customHeight="1">
      <c r="A3" s="2"/>
      <c r="B3" s="261"/>
      <c r="C3" s="262"/>
      <c r="D3" s="2"/>
      <c r="E3" s="2"/>
      <c r="F3" s="2"/>
      <c r="G3" s="2"/>
      <c r="H3" s="2"/>
      <c r="I3" s="2"/>
    </row>
    <row r="4" ht="12.0" customHeight="1">
      <c r="A4" s="2"/>
      <c r="B4" s="261"/>
      <c r="C4" s="262"/>
      <c r="D4" s="2"/>
      <c r="E4" s="2"/>
      <c r="F4" s="2"/>
      <c r="G4" s="2"/>
      <c r="H4" s="2"/>
      <c r="I4" s="2"/>
    </row>
    <row r="5" ht="12.0" customHeight="1">
      <c r="A5" s="2"/>
      <c r="B5" s="261"/>
      <c r="C5" s="262"/>
      <c r="D5" s="2"/>
      <c r="E5" s="2"/>
      <c r="F5" s="2"/>
      <c r="G5" s="2"/>
      <c r="H5" s="2"/>
      <c r="I5" s="2"/>
    </row>
    <row r="6" ht="12.0" customHeight="1">
      <c r="A6" s="2"/>
      <c r="B6" s="261"/>
      <c r="C6" s="262"/>
      <c r="D6" s="2"/>
      <c r="E6" s="2"/>
      <c r="F6" s="2"/>
      <c r="G6" s="2"/>
      <c r="H6" s="2"/>
      <c r="I6" s="2"/>
    </row>
    <row r="7" ht="12.0" customHeight="1">
      <c r="A7" s="2"/>
      <c r="B7" s="261"/>
      <c r="C7" s="262"/>
      <c r="D7" s="2"/>
      <c r="E7" s="2"/>
      <c r="F7" s="2"/>
      <c r="G7" s="2"/>
      <c r="H7" s="2"/>
      <c r="I7" s="2"/>
    </row>
    <row r="8" ht="12.0" customHeight="1">
      <c r="A8" s="2"/>
      <c r="B8" s="261"/>
      <c r="C8" s="262"/>
      <c r="D8" s="2"/>
      <c r="E8" s="2"/>
      <c r="F8" s="2"/>
      <c r="G8" s="2"/>
      <c r="H8" s="2"/>
      <c r="I8" s="2"/>
    </row>
    <row r="9" ht="12.0" customHeight="1">
      <c r="A9" s="2"/>
      <c r="B9" s="261"/>
      <c r="C9" s="262"/>
      <c r="D9" s="2"/>
      <c r="E9" s="2"/>
      <c r="F9" s="2"/>
      <c r="G9" s="2"/>
      <c r="H9" s="2"/>
      <c r="I9" s="2"/>
    </row>
    <row r="10" ht="12.0" customHeight="1">
      <c r="A10" s="2"/>
      <c r="B10" s="261"/>
      <c r="C10" s="262"/>
      <c r="D10" s="2"/>
      <c r="E10" s="2"/>
      <c r="F10" s="2"/>
      <c r="G10" s="2"/>
      <c r="H10" s="2"/>
      <c r="I10" s="2"/>
    </row>
    <row r="11" ht="12.0" customHeight="1">
      <c r="A11" s="2"/>
      <c r="B11" s="261"/>
      <c r="C11" s="262"/>
      <c r="D11" s="2"/>
      <c r="E11" s="2"/>
      <c r="F11" s="2"/>
      <c r="G11" s="2"/>
      <c r="H11" s="2"/>
      <c r="I11" s="2"/>
    </row>
    <row r="12" ht="12.0" customHeight="1">
      <c r="A12" s="2"/>
      <c r="B12" s="261"/>
      <c r="C12" s="262"/>
      <c r="D12" s="2"/>
      <c r="E12" s="2"/>
      <c r="F12" s="2"/>
      <c r="G12" s="2"/>
      <c r="H12" s="2"/>
      <c r="I12" s="2"/>
    </row>
    <row r="13" ht="12.0" customHeight="1">
      <c r="A13" s="2"/>
      <c r="B13" s="261"/>
      <c r="C13" s="262"/>
      <c r="D13" s="2"/>
      <c r="E13" s="2"/>
      <c r="F13" s="2"/>
      <c r="G13" s="2"/>
      <c r="H13" s="2"/>
      <c r="I13" s="2"/>
    </row>
    <row r="14" ht="12.0" customHeight="1">
      <c r="A14" s="2"/>
      <c r="B14" s="261"/>
      <c r="C14" s="262"/>
      <c r="D14" s="2"/>
      <c r="E14" s="2"/>
      <c r="F14" s="2"/>
      <c r="G14" s="2"/>
      <c r="H14" s="2"/>
      <c r="I14" s="2"/>
    </row>
    <row r="15" ht="12.0" customHeight="1">
      <c r="A15" s="2"/>
      <c r="B15" s="261"/>
      <c r="C15" s="262"/>
      <c r="D15" s="2"/>
      <c r="E15" s="2"/>
      <c r="F15" s="2"/>
      <c r="G15" s="2"/>
      <c r="H15" s="2"/>
      <c r="I15" s="2"/>
    </row>
    <row r="16" ht="12.0" customHeight="1">
      <c r="A16" s="2"/>
      <c r="B16" s="261"/>
      <c r="C16" s="262"/>
      <c r="D16" s="2"/>
      <c r="E16" s="2"/>
      <c r="F16" s="2"/>
      <c r="G16" s="2"/>
      <c r="H16" s="2"/>
      <c r="I16" s="2"/>
    </row>
    <row r="17" ht="12.0" customHeight="1">
      <c r="A17" s="2"/>
      <c r="B17" s="261"/>
      <c r="C17" s="262"/>
      <c r="D17" s="2"/>
      <c r="E17" s="2"/>
      <c r="F17" s="2"/>
      <c r="G17" s="2"/>
      <c r="H17" s="2"/>
      <c r="I17" s="2"/>
    </row>
    <row r="18" ht="12.0" customHeight="1">
      <c r="A18" s="2"/>
      <c r="B18" s="261"/>
      <c r="C18" s="262"/>
      <c r="D18" s="2"/>
      <c r="E18" s="2"/>
      <c r="F18" s="2"/>
      <c r="G18" s="2"/>
      <c r="H18" s="2"/>
      <c r="I18" s="2"/>
    </row>
    <row r="19" ht="12.0" customHeight="1">
      <c r="A19" s="2"/>
      <c r="B19" s="261"/>
      <c r="C19" s="262"/>
      <c r="D19" s="2"/>
      <c r="E19" s="2"/>
      <c r="F19" s="2"/>
      <c r="G19" s="2"/>
      <c r="H19" s="2"/>
      <c r="I19" s="2"/>
    </row>
    <row r="20" ht="9.0" customHeight="1">
      <c r="A20" s="2"/>
      <c r="B20" s="261"/>
      <c r="C20" s="262"/>
      <c r="D20" s="2"/>
      <c r="E20" s="2"/>
      <c r="F20" s="2"/>
      <c r="G20" s="2"/>
      <c r="H20" s="2"/>
      <c r="I20" s="2"/>
    </row>
    <row r="21" ht="12.0" customHeight="1">
      <c r="A21" s="2"/>
      <c r="B21" s="2"/>
      <c r="C21" s="262"/>
      <c r="D21" s="2"/>
      <c r="E21" s="2"/>
      <c r="F21" s="2"/>
      <c r="G21" s="2"/>
      <c r="H21" s="2"/>
      <c r="I21" s="2"/>
    </row>
    <row r="22" ht="21.0" customHeight="1">
      <c r="A22" s="2"/>
      <c r="B22" s="2" t="s">
        <v>618</v>
      </c>
      <c r="C22" s="263">
        <v>6.0</v>
      </c>
      <c r="D22" s="2"/>
      <c r="E22" s="2"/>
      <c r="F22" s="2"/>
      <c r="G22" s="2"/>
      <c r="H22" s="2"/>
      <c r="I22" s="2"/>
    </row>
    <row r="23" ht="21.0" customHeight="1">
      <c r="A23" s="2"/>
      <c r="B23" s="260"/>
      <c r="C23" s="130"/>
      <c r="D23" s="2"/>
      <c r="E23" s="2"/>
      <c r="F23" s="2"/>
      <c r="G23" s="2"/>
      <c r="H23" s="2"/>
      <c r="I23" s="2"/>
    </row>
    <row r="24" ht="12.0" customHeight="1">
      <c r="A24" s="2"/>
      <c r="B24" s="260"/>
      <c r="C24" s="130"/>
      <c r="D24" s="2"/>
      <c r="E24" s="2"/>
      <c r="F24" s="2"/>
      <c r="G24" s="2"/>
      <c r="H24" s="2"/>
      <c r="I24" s="2"/>
    </row>
    <row r="25" ht="21.75" customHeight="1">
      <c r="A25" s="2"/>
      <c r="B25" s="375" t="s">
        <v>619</v>
      </c>
      <c r="C25" s="376" t="str">
        <f>VLOOKUP($C$22,LS2A!$A$3:$AY$35,2,0)</f>
        <v>Rovira Phiri Lucas</v>
      </c>
      <c r="D25" s="354" t="s">
        <v>620</v>
      </c>
      <c r="E25" s="353" t="s">
        <v>39</v>
      </c>
      <c r="F25" s="377"/>
      <c r="G25" s="355" t="s">
        <v>73</v>
      </c>
      <c r="H25" s="356">
        <f>RANK(G40,LS2A!$AR$5:$AR$30)</f>
        <v>20</v>
      </c>
      <c r="I25" s="2"/>
    </row>
    <row r="26" ht="12.0" customHeight="1">
      <c r="A26" s="2"/>
      <c r="B26" s="271"/>
      <c r="C26" s="272"/>
      <c r="D26" s="273"/>
      <c r="E26" s="273"/>
      <c r="F26" s="273"/>
      <c r="G26" s="273"/>
      <c r="H26" s="273"/>
      <c r="I26" s="2"/>
    </row>
    <row r="27" ht="26.25" customHeight="1">
      <c r="A27" s="274"/>
      <c r="B27" s="275" t="s">
        <v>621</v>
      </c>
      <c r="C27" s="276" t="s">
        <v>80</v>
      </c>
      <c r="D27" s="275" t="s">
        <v>81</v>
      </c>
      <c r="E27" s="275" t="s">
        <v>622</v>
      </c>
      <c r="F27" s="275" t="s">
        <v>83</v>
      </c>
      <c r="G27" s="275" t="s">
        <v>653</v>
      </c>
      <c r="H27" s="277" t="s">
        <v>624</v>
      </c>
      <c r="I27" s="278"/>
      <c r="J27" s="279"/>
      <c r="K27" s="279"/>
      <c r="L27" s="279"/>
      <c r="M27" s="279"/>
      <c r="N27" s="279"/>
      <c r="O27" s="279"/>
      <c r="P27" s="279"/>
      <c r="Q27" s="279"/>
      <c r="R27" s="279"/>
      <c r="S27" s="279"/>
      <c r="T27" s="279"/>
      <c r="U27" s="279"/>
      <c r="V27" s="279"/>
      <c r="W27" s="279"/>
      <c r="X27" s="279"/>
      <c r="Y27" s="279"/>
      <c r="Z27" s="279"/>
      <c r="AA27" s="279"/>
    </row>
    <row r="28" ht="29.25" customHeight="1">
      <c r="A28" s="280"/>
      <c r="B28" s="378" t="s">
        <v>23</v>
      </c>
      <c r="C28" s="358">
        <f>VLOOKUP($C$22,LS2A!$A$3:$AY$33,3,0)</f>
        <v>26</v>
      </c>
      <c r="D28" s="358">
        <f>VLOOKUP($C$22,LS2A!$A$3:$AY$34,4,0)</f>
        <v>37</v>
      </c>
      <c r="E28" s="358">
        <f t="shared" ref="E28:E37" si="1">C28+D28</f>
        <v>63</v>
      </c>
      <c r="F28" s="357" t="str">
        <f>VLOOKUP($C$22,LS2A!$A$3:$AY$33,6,0)</f>
        <v>C</v>
      </c>
      <c r="G28" s="357">
        <f>RANK(E28,LS2A!$E$5:$E$26)</f>
        <v>2</v>
      </c>
      <c r="H28" s="281">
        <f>LS2A!E34</f>
        <v>50.48</v>
      </c>
      <c r="I28" s="283"/>
    </row>
    <row r="29" ht="30.0" customHeight="1">
      <c r="A29" s="280"/>
      <c r="B29" s="378" t="s">
        <v>24</v>
      </c>
      <c r="C29" s="358">
        <f>VLOOKUP($C$22,LS2A!$A$3:$AY$33,7,0)</f>
        <v>10</v>
      </c>
      <c r="D29" s="357">
        <f>VLOOKUP($C$22,LS2A!$A$3:$AY$33,8,0)</f>
        <v>22</v>
      </c>
      <c r="E29" s="358">
        <f t="shared" si="1"/>
        <v>32</v>
      </c>
      <c r="F29" s="357" t="str">
        <f>VLOOKUP($C$22,LS2A!$A$3:$AY$33,10,0)</f>
        <v>F</v>
      </c>
      <c r="G29" s="357">
        <f>RANK(E29,LS2A!$I$5:$I$26)</f>
        <v>19</v>
      </c>
      <c r="H29" s="281">
        <f>LS2A!I34</f>
        <v>53.52</v>
      </c>
      <c r="I29" s="283"/>
    </row>
    <row r="30" ht="32.25" customHeight="1">
      <c r="A30" s="280"/>
      <c r="B30" s="378" t="s">
        <v>25</v>
      </c>
      <c r="C30" s="358">
        <f>VLOOKUP($C$22,LS2A!$A$3:$AY$33,11,0)</f>
        <v>32</v>
      </c>
      <c r="D30" s="357">
        <f>VLOOKUP($C$22,LS2A!$A$3:$AY$33,12,0)</f>
        <v>41</v>
      </c>
      <c r="E30" s="358">
        <f t="shared" si="1"/>
        <v>73</v>
      </c>
      <c r="F30" s="357" t="str">
        <f>VLOOKUP($C$22,LS2A!$A$3:$AY$33,14,0)</f>
        <v>B</v>
      </c>
      <c r="G30" s="357">
        <f>RANK(E30,LS2A!$M$5:$M$26)</f>
        <v>8</v>
      </c>
      <c r="H30" s="281">
        <f>LS2A!M34</f>
        <v>61.48</v>
      </c>
      <c r="I30" s="283"/>
    </row>
    <row r="31" ht="31.5" customHeight="1">
      <c r="A31" s="280"/>
      <c r="B31" s="378" t="s">
        <v>26</v>
      </c>
      <c r="C31" s="358">
        <f>VLOOKUP($C$22,LS2A!$A$3:$AY$33,15,0)</f>
        <v>26</v>
      </c>
      <c r="D31" s="357">
        <f>VLOOKUP($C$22,LS2A!$A$3:$AY$33,16,0)</f>
        <v>37</v>
      </c>
      <c r="E31" s="358">
        <f t="shared" si="1"/>
        <v>63</v>
      </c>
      <c r="F31" s="357" t="str">
        <f>VLOOKUP($C$22,LS2A!$A$3:$AY$33,18,0)</f>
        <v>C</v>
      </c>
      <c r="G31" s="357">
        <f>RANK(E31,LS2A!$Q$5:$Q$26)</f>
        <v>16</v>
      </c>
      <c r="H31" s="281">
        <f>LS2A!Q34</f>
        <v>63.48</v>
      </c>
      <c r="I31" s="283"/>
    </row>
    <row r="32" ht="33.75" customHeight="1">
      <c r="A32" s="280"/>
      <c r="B32" s="378" t="s">
        <v>27</v>
      </c>
      <c r="C32" s="358">
        <f>VLOOKUP($C$22,LS2A!$A$3:$AY$33,19,0)</f>
        <v>25</v>
      </c>
      <c r="D32" s="357">
        <f>VLOOKUP($C$22,LS2A!$A$3:$AY$33,20,0)</f>
        <v>32</v>
      </c>
      <c r="E32" s="358">
        <f t="shared" si="1"/>
        <v>57</v>
      </c>
      <c r="F32" s="357" t="str">
        <f>VLOOKUP($C$22,LS2A!$A$3:$AY$33,22,0)</f>
        <v>D</v>
      </c>
      <c r="G32" s="357">
        <f>RANK(E32,LS2A!$U$5:$U$26)</f>
        <v>17</v>
      </c>
      <c r="H32" s="281">
        <f>LS2A!U34</f>
        <v>69.56</v>
      </c>
      <c r="I32" s="283"/>
    </row>
    <row r="33" ht="34.5" customHeight="1">
      <c r="A33" s="280"/>
      <c r="B33" s="378" t="s">
        <v>28</v>
      </c>
      <c r="C33" s="358">
        <f>VLOOKUP($C$22,LS2A!$A$3:$AY$34,23,0)</f>
        <v>31</v>
      </c>
      <c r="D33" s="357">
        <f>VLOOKUP($C$22,LS2A!$A$3:$AY$33,24,0)</f>
        <v>49</v>
      </c>
      <c r="E33" s="358">
        <f t="shared" si="1"/>
        <v>80</v>
      </c>
      <c r="F33" s="357" t="str">
        <f>VLOOKUP($C$22,LS2A!$A$3:$AY$33,26,0)</f>
        <v>A</v>
      </c>
      <c r="G33" s="357">
        <f>RANK(E33,LS2A!$Y$5:$Y$26)</f>
        <v>7</v>
      </c>
      <c r="H33" s="281">
        <f>LS2A!Y34</f>
        <v>71.24</v>
      </c>
      <c r="I33" s="283"/>
    </row>
    <row r="34" ht="32.25" customHeight="1">
      <c r="A34" s="280"/>
      <c r="B34" s="378" t="s">
        <v>29</v>
      </c>
      <c r="C34" s="358">
        <f>VLOOKUP($C$22,LS2A!$A$3:$AY$33,27,0)</f>
        <v>24</v>
      </c>
      <c r="D34" s="357">
        <f>VLOOKUP($C$22,LS2A!$A$3:$AY$33,28,0)</f>
        <v>27</v>
      </c>
      <c r="E34" s="358">
        <f t="shared" si="1"/>
        <v>51</v>
      </c>
      <c r="F34" s="357" t="str">
        <f>VLOOKUP($C$22,LS2A!$A$3:$AY$33,30,0)</f>
        <v>D</v>
      </c>
      <c r="G34" s="357">
        <f>RANK(E34,LS2A!$AC$5:$AC$26)</f>
        <v>17</v>
      </c>
      <c r="H34" s="281">
        <f>LS2A!AC34</f>
        <v>61.8</v>
      </c>
      <c r="I34" s="283"/>
    </row>
    <row r="35" ht="30.75" customHeight="1">
      <c r="A35" s="280"/>
      <c r="B35" s="378" t="s">
        <v>625</v>
      </c>
      <c r="C35" s="358">
        <f>VLOOKUP($C$22,LS2A!$A$3:$AY$33,31,0)</f>
        <v>31</v>
      </c>
      <c r="D35" s="357">
        <f>VLOOKUP($C$22,LS2A!$A$3:$AY$33,32,0)</f>
        <v>41</v>
      </c>
      <c r="E35" s="358">
        <f t="shared" si="1"/>
        <v>72</v>
      </c>
      <c r="F35" s="357" t="str">
        <f>VLOOKUP($C$22,LS2A!$A$3:$AY$33,34,0)</f>
        <v>B</v>
      </c>
      <c r="G35" s="357">
        <f>RANK(E35,LS2A!$AG$5:$AG$26)</f>
        <v>8</v>
      </c>
      <c r="H35" s="281">
        <f>LS2A!AG34</f>
        <v>68.48</v>
      </c>
      <c r="I35" s="283"/>
    </row>
    <row r="36" ht="31.5" customHeight="1">
      <c r="A36" s="280"/>
      <c r="B36" s="378" t="s">
        <v>31</v>
      </c>
      <c r="C36" s="358">
        <f>VLOOKUP($C$22,LS2A!$A$3:$AY$33,35,0)</f>
        <v>30</v>
      </c>
      <c r="D36" s="357">
        <f>VLOOKUP($C$22,LS2A!$A$3:$AY$33,36,0)</f>
        <v>43</v>
      </c>
      <c r="E36" s="358">
        <f t="shared" si="1"/>
        <v>73</v>
      </c>
      <c r="F36" s="357" t="str">
        <f>VLOOKUP($C$22,LS2A!$A$3:$AY$33,38,0)</f>
        <v>B</v>
      </c>
      <c r="G36" s="357">
        <f>RANK(E36,LS2A!$AK$5:$AK$26)</f>
        <v>14</v>
      </c>
      <c r="H36" s="281">
        <f>LS2A!AK34</f>
        <v>71.68</v>
      </c>
      <c r="I36" s="283"/>
    </row>
    <row r="37" ht="35.25" customHeight="1">
      <c r="A37" s="280"/>
      <c r="B37" s="378" t="s">
        <v>32</v>
      </c>
      <c r="C37" s="358">
        <f>VLOOKUP($C$22,LS2A!$A$3:$AY$33,39,0)</f>
        <v>25.5</v>
      </c>
      <c r="D37" s="357">
        <f>VLOOKUP($C$22,LS2A!$A$3:$AY$33,40,0)</f>
        <v>53</v>
      </c>
      <c r="E37" s="358">
        <f t="shared" si="1"/>
        <v>78.5</v>
      </c>
      <c r="F37" s="357" t="str">
        <f>VLOOKUP($C$22,LS2A!$A$3:$AY$33,42,0)</f>
        <v>B</v>
      </c>
      <c r="G37" s="357">
        <f>RANK(E37,LS2A!$AO$5:$AO$26)</f>
        <v>3</v>
      </c>
      <c r="H37" s="281">
        <f>LS2A!AO34</f>
        <v>67.744</v>
      </c>
      <c r="I37" s="283"/>
    </row>
    <row r="38" ht="21.75" customHeight="1">
      <c r="A38" s="2"/>
      <c r="B38" s="260"/>
      <c r="C38" s="130"/>
      <c r="D38" s="284"/>
      <c r="E38" s="284"/>
      <c r="F38" s="284"/>
      <c r="G38" s="284"/>
      <c r="H38" s="284"/>
      <c r="I38" s="2"/>
    </row>
    <row r="39" ht="24.0" customHeight="1">
      <c r="A39" s="280"/>
      <c r="B39" s="379" t="s">
        <v>655</v>
      </c>
      <c r="C39" s="46"/>
      <c r="D39" s="283"/>
      <c r="E39" s="2"/>
      <c r="F39" s="380" t="s">
        <v>627</v>
      </c>
      <c r="G39" s="46"/>
      <c r="H39" s="273"/>
      <c r="I39" s="2"/>
    </row>
    <row r="40" ht="28.5" customHeight="1">
      <c r="A40" s="280"/>
      <c r="B40" s="360" t="s">
        <v>74</v>
      </c>
      <c r="C40" s="381" t="str">
        <f>VLOOKUP($C$22,LS2A!$A$3:$AY$33,46,0)</f>
        <v>B</v>
      </c>
      <c r="E40" s="280"/>
      <c r="F40" s="382" t="s">
        <v>628</v>
      </c>
      <c r="G40" s="294">
        <f>AVERAGE(E28:E37)</f>
        <v>64.25</v>
      </c>
      <c r="I40" s="283"/>
    </row>
    <row r="41" ht="26.25" customHeight="1">
      <c r="A41" s="280"/>
      <c r="B41" s="360" t="s">
        <v>75</v>
      </c>
      <c r="C41" s="381" t="str">
        <f>VLOOKUP($C$22,LS2A!$A$3:$AY$33,47,0)</f>
        <v>C</v>
      </c>
      <c r="E41" s="280"/>
      <c r="F41" s="382" t="s">
        <v>629</v>
      </c>
      <c r="G41" s="295">
        <f>COUNTIF(E28:E37,"&gt;=50")</f>
        <v>9</v>
      </c>
      <c r="I41" s="283"/>
    </row>
    <row r="42" ht="24.0" customHeight="1">
      <c r="A42" s="280"/>
      <c r="B42" s="360" t="s">
        <v>76</v>
      </c>
      <c r="C42" s="381" t="str">
        <f>VLOOKUP($C$22,LS2A!$A$3:$AY$33,48,0)</f>
        <v>C</v>
      </c>
      <c r="E42" s="280"/>
      <c r="F42" s="382" t="s">
        <v>630</v>
      </c>
      <c r="G42" s="295">
        <f>COUNTIF(E28:E37,"&lt;50")</f>
        <v>1</v>
      </c>
      <c r="I42" s="296"/>
    </row>
    <row r="43" ht="28.5" customHeight="1">
      <c r="A43" s="280"/>
      <c r="B43" s="360" t="s">
        <v>77</v>
      </c>
      <c r="C43" s="381" t="str">
        <f>VLOOKUP($C$22,LS2A!$A$3:$AY$33,49,0)</f>
        <v>B</v>
      </c>
      <c r="E43" s="280"/>
      <c r="F43" s="382" t="s">
        <v>631</v>
      </c>
      <c r="G43" s="297">
        <f>RANK(G40,LS2A!$AR$5:$AR$29)</f>
        <v>20</v>
      </c>
      <c r="I43" s="296"/>
    </row>
    <row r="44" ht="19.5" customHeight="1">
      <c r="A44" s="280"/>
      <c r="B44" s="363" t="s">
        <v>78</v>
      </c>
      <c r="C44" s="381" t="str">
        <f>VLOOKUP($C$22,LS2A!$A$3:$AY$33,50,0)</f>
        <v>C</v>
      </c>
      <c r="E44" s="280"/>
      <c r="F44" s="382" t="s">
        <v>632</v>
      </c>
      <c r="G44" s="299">
        <f>COUNT(LS2A!A5:A29)</f>
        <v>25</v>
      </c>
      <c r="I44" s="296"/>
    </row>
    <row r="45" ht="8.25" customHeight="1">
      <c r="A45" s="2"/>
      <c r="B45" s="300"/>
      <c r="C45" s="285"/>
      <c r="D45" s="2"/>
      <c r="E45" s="2"/>
      <c r="F45" s="301" t="s">
        <v>633</v>
      </c>
      <c r="G45" s="284"/>
      <c r="H45" s="284"/>
      <c r="I45" s="261"/>
    </row>
    <row r="46" ht="12.0" customHeight="1">
      <c r="A46" s="2"/>
      <c r="B46" s="261"/>
      <c r="C46" s="262"/>
      <c r="D46" s="2"/>
      <c r="E46" s="2"/>
      <c r="F46" s="2"/>
      <c r="G46" s="2"/>
      <c r="H46" s="2"/>
      <c r="I46" s="261"/>
    </row>
    <row r="47" ht="12.0" customHeight="1">
      <c r="A47" s="2"/>
      <c r="B47" s="261"/>
      <c r="C47" s="262"/>
      <c r="D47" s="2"/>
      <c r="E47" s="2"/>
      <c r="F47" s="2"/>
      <c r="G47" s="2"/>
      <c r="H47" s="2"/>
      <c r="I47" s="261"/>
    </row>
    <row r="48" ht="21.75" customHeight="1">
      <c r="A48" s="2"/>
      <c r="B48" s="383" t="s">
        <v>634</v>
      </c>
      <c r="C48" s="10"/>
      <c r="D48" s="2"/>
      <c r="E48" s="2"/>
      <c r="F48" s="2"/>
      <c r="G48" s="2"/>
      <c r="H48" s="2"/>
      <c r="I48" s="261"/>
    </row>
    <row r="49" ht="12.0" customHeight="1">
      <c r="A49" s="2"/>
      <c r="B49" s="271"/>
      <c r="C49" s="272"/>
      <c r="D49" s="273"/>
      <c r="E49" s="273"/>
      <c r="F49" s="273"/>
      <c r="G49" s="273"/>
      <c r="H49" s="273"/>
      <c r="I49" s="261"/>
    </row>
    <row r="50" ht="12.75" customHeight="1">
      <c r="A50" s="280"/>
      <c r="B50" s="384" t="str">
        <f>VLOOKUP($C$22,LS2A!$A$3:$AY$34,51,0)</f>
        <v>Lucas is a learning to be a more focused, dependable and responsible student. He has continued to perform well in Science and MDD. Mathematics remains a challenge and needs extra attention. Continued effort and support at home will help him progress well in semester 2.</v>
      </c>
      <c r="C50" s="304"/>
      <c r="D50" s="304"/>
      <c r="E50" s="304"/>
      <c r="F50" s="304"/>
      <c r="G50" s="304"/>
      <c r="H50" s="305"/>
      <c r="I50" s="296"/>
    </row>
    <row r="51" ht="24.0" customHeight="1">
      <c r="A51" s="280"/>
      <c r="B51" s="306"/>
      <c r="H51" s="307"/>
      <c r="I51" s="296"/>
    </row>
    <row r="52" ht="22.5" customHeight="1">
      <c r="A52" s="280"/>
      <c r="B52" s="306"/>
      <c r="H52" s="307"/>
      <c r="I52" s="296"/>
    </row>
    <row r="53" ht="14.25" customHeight="1">
      <c r="A53" s="280"/>
      <c r="B53" s="308"/>
      <c r="C53" s="309"/>
      <c r="D53" s="309"/>
      <c r="E53" s="309"/>
      <c r="F53" s="309"/>
      <c r="G53" s="309"/>
      <c r="H53" s="310"/>
      <c r="I53" s="283"/>
    </row>
    <row r="54" ht="12.0" customHeight="1">
      <c r="A54" s="2"/>
      <c r="B54" s="314"/>
      <c r="C54" s="315"/>
      <c r="D54" s="286"/>
      <c r="E54" s="284"/>
      <c r="F54" s="286"/>
      <c r="G54" s="286"/>
      <c r="H54" s="286"/>
      <c r="I54" s="2"/>
    </row>
    <row r="55" ht="20.25" customHeight="1">
      <c r="A55" s="280"/>
      <c r="B55" s="367" t="s">
        <v>635</v>
      </c>
      <c r="C55" s="45"/>
      <c r="D55" s="46"/>
      <c r="E55" s="368"/>
      <c r="F55" s="319" t="s">
        <v>636</v>
      </c>
      <c r="G55" s="45"/>
      <c r="H55" s="46"/>
      <c r="I55" s="283"/>
    </row>
    <row r="56" ht="25.5" customHeight="1">
      <c r="A56" s="280"/>
      <c r="B56" s="320" t="s">
        <v>637</v>
      </c>
      <c r="C56" s="321" t="s">
        <v>638</v>
      </c>
      <c r="D56" s="320" t="s">
        <v>639</v>
      </c>
      <c r="E56" s="368"/>
      <c r="F56" s="323" t="s">
        <v>637</v>
      </c>
      <c r="G56" s="324" t="s">
        <v>638</v>
      </c>
      <c r="H56" s="325"/>
      <c r="I56" s="283"/>
    </row>
    <row r="57" ht="18.75" customHeight="1">
      <c r="A57" s="280"/>
      <c r="B57" s="371" t="s">
        <v>151</v>
      </c>
      <c r="C57" s="385" t="s">
        <v>86</v>
      </c>
      <c r="D57" s="371" t="s">
        <v>640</v>
      </c>
      <c r="E57" s="368"/>
      <c r="F57" s="327" t="s">
        <v>641</v>
      </c>
      <c r="G57" s="328" t="s">
        <v>86</v>
      </c>
      <c r="H57" s="325"/>
      <c r="I57" s="283"/>
    </row>
    <row r="58" ht="22.5" customHeight="1">
      <c r="A58" s="280"/>
      <c r="B58" s="371" t="s">
        <v>150</v>
      </c>
      <c r="C58" s="385" t="s">
        <v>85</v>
      </c>
      <c r="D58" s="371" t="s">
        <v>640</v>
      </c>
      <c r="E58" s="368"/>
      <c r="F58" s="327" t="s">
        <v>149</v>
      </c>
      <c r="G58" s="328" t="s">
        <v>85</v>
      </c>
      <c r="H58" s="325"/>
      <c r="I58" s="283"/>
    </row>
    <row r="59" ht="25.5" customHeight="1">
      <c r="A59" s="280"/>
      <c r="B59" s="371" t="s">
        <v>149</v>
      </c>
      <c r="C59" s="385" t="s">
        <v>87</v>
      </c>
      <c r="D59" s="371" t="s">
        <v>642</v>
      </c>
      <c r="E59" s="368"/>
      <c r="F59" s="327" t="s">
        <v>148</v>
      </c>
      <c r="G59" s="328" t="s">
        <v>87</v>
      </c>
      <c r="H59" s="325"/>
      <c r="I59" s="283"/>
    </row>
    <row r="60" ht="23.25" customHeight="1">
      <c r="A60" s="280"/>
      <c r="B60" s="371" t="s">
        <v>148</v>
      </c>
      <c r="C60" s="385" t="s">
        <v>90</v>
      </c>
      <c r="D60" s="371" t="s">
        <v>643</v>
      </c>
      <c r="E60" s="368"/>
      <c r="F60" s="327" t="s">
        <v>147</v>
      </c>
      <c r="G60" s="328" t="s">
        <v>90</v>
      </c>
      <c r="H60" s="325"/>
      <c r="I60" s="283"/>
    </row>
    <row r="61" ht="23.25" customHeight="1">
      <c r="A61" s="280"/>
      <c r="B61" s="371" t="s">
        <v>147</v>
      </c>
      <c r="C61" s="385" t="s">
        <v>93</v>
      </c>
      <c r="D61" s="371" t="s">
        <v>644</v>
      </c>
      <c r="E61" s="368"/>
      <c r="F61" s="386" t="s">
        <v>645</v>
      </c>
      <c r="G61" s="372" t="s">
        <v>93</v>
      </c>
      <c r="H61" s="343"/>
      <c r="I61" s="283"/>
    </row>
    <row r="62" ht="20.25" customHeight="1">
      <c r="A62" s="280"/>
      <c r="B62" s="371" t="s">
        <v>145</v>
      </c>
      <c r="C62" s="385" t="s">
        <v>146</v>
      </c>
      <c r="D62" s="371" t="s">
        <v>644</v>
      </c>
      <c r="E62" s="368"/>
      <c r="F62" s="372"/>
      <c r="I62" s="283"/>
    </row>
    <row r="63" ht="22.5" customHeight="1">
      <c r="A63" s="280"/>
      <c r="B63" s="371" t="s">
        <v>143</v>
      </c>
      <c r="C63" s="385" t="s">
        <v>144</v>
      </c>
      <c r="D63" s="371" t="s">
        <v>646</v>
      </c>
      <c r="E63" s="283"/>
      <c r="F63" s="286"/>
      <c r="G63" s="286"/>
      <c r="H63" s="284"/>
      <c r="I63" s="2"/>
    </row>
    <row r="64" ht="21.0" customHeight="1">
      <c r="A64" s="280"/>
      <c r="B64" s="371" t="s">
        <v>141</v>
      </c>
      <c r="C64" s="385" t="s">
        <v>142</v>
      </c>
      <c r="D64" s="371" t="s">
        <v>646</v>
      </c>
      <c r="E64" s="368"/>
      <c r="F64" s="334" t="s">
        <v>647</v>
      </c>
      <c r="G64" s="334"/>
      <c r="H64" s="283"/>
      <c r="I64" s="2"/>
    </row>
    <row r="65" ht="16.5" customHeight="1">
      <c r="A65" s="280"/>
      <c r="B65" s="371" t="s">
        <v>139</v>
      </c>
      <c r="C65" s="385" t="s">
        <v>140</v>
      </c>
      <c r="D65" s="371" t="s">
        <v>646</v>
      </c>
      <c r="E65" s="368"/>
      <c r="F65" s="334" t="s">
        <v>648</v>
      </c>
      <c r="G65" s="334"/>
      <c r="H65" s="283"/>
      <c r="I65" s="2"/>
    </row>
    <row r="66" ht="12.0" customHeight="1">
      <c r="A66" s="2"/>
      <c r="B66" s="300"/>
      <c r="C66" s="285"/>
      <c r="D66" s="284"/>
      <c r="E66" s="2"/>
      <c r="F66" s="284"/>
      <c r="G66" s="284"/>
      <c r="H66" s="2"/>
      <c r="I66" s="2"/>
    </row>
    <row r="67" ht="12.0" customHeight="1">
      <c r="B67" s="260"/>
      <c r="C67" s="130"/>
    </row>
    <row r="68" ht="12.0" customHeight="1">
      <c r="B68" s="335" t="s">
        <v>657</v>
      </c>
      <c r="C68" s="336"/>
      <c r="D68" s="337"/>
      <c r="E68" s="374"/>
      <c r="F68" s="339"/>
      <c r="G68" s="340"/>
      <c r="H68" s="341"/>
    </row>
    <row r="69" ht="12.0" customHeight="1">
      <c r="B69" s="342"/>
      <c r="D69" s="343"/>
      <c r="F69" s="344"/>
      <c r="H69" s="343"/>
    </row>
    <row r="70" ht="12.0" customHeight="1">
      <c r="B70" s="345"/>
      <c r="C70" s="346"/>
      <c r="D70" s="325"/>
      <c r="E70" s="346"/>
      <c r="F70" s="347"/>
      <c r="G70" s="346"/>
      <c r="H70" s="325"/>
    </row>
    <row r="71" ht="22.5" customHeight="1">
      <c r="B71" s="348" t="s">
        <v>650</v>
      </c>
      <c r="C71" s="346"/>
      <c r="D71" s="325"/>
      <c r="E71" s="349" t="s">
        <v>651</v>
      </c>
      <c r="F71" s="325"/>
      <c r="G71" s="350" t="s">
        <v>652</v>
      </c>
      <c r="H71" s="325"/>
    </row>
    <row r="72" ht="12.0" customHeight="1">
      <c r="C72" s="130"/>
    </row>
    <row r="73" ht="12.0" customHeight="1">
      <c r="C73" s="130"/>
    </row>
    <row r="74" ht="12.0" customHeight="1">
      <c r="C74" s="130"/>
    </row>
    <row r="75" ht="12.0" customHeight="1">
      <c r="C75" s="130"/>
    </row>
    <row r="76" ht="12.0" customHeight="1">
      <c r="C76" s="130"/>
    </row>
    <row r="77" ht="12.0" customHeight="1">
      <c r="C77" s="130"/>
    </row>
    <row r="78" ht="12.0" customHeight="1">
      <c r="C78" s="130"/>
    </row>
    <row r="79" ht="12.0" customHeight="1">
      <c r="C79" s="130"/>
    </row>
    <row r="80" ht="12.0" customHeight="1">
      <c r="C80" s="130"/>
    </row>
    <row r="81" ht="12.0" customHeight="1">
      <c r="C81" s="130"/>
    </row>
    <row r="82" ht="12.0" customHeight="1">
      <c r="C82" s="130"/>
    </row>
    <row r="83" ht="12.0" customHeight="1">
      <c r="C83" s="130"/>
    </row>
    <row r="84" ht="12.0" customHeight="1">
      <c r="C84" s="130"/>
    </row>
    <row r="85" ht="12.0" customHeight="1">
      <c r="C85" s="130"/>
    </row>
    <row r="86" ht="12.0" customHeight="1">
      <c r="C86" s="130"/>
    </row>
    <row r="87" ht="12.0" customHeight="1">
      <c r="C87" s="130"/>
    </row>
    <row r="88" ht="12.0" customHeight="1">
      <c r="C88" s="130"/>
    </row>
    <row r="89" ht="12.0" customHeight="1">
      <c r="C89" s="130"/>
    </row>
    <row r="90" ht="12.0" customHeight="1">
      <c r="C90" s="130"/>
    </row>
    <row r="91" ht="12.0" customHeight="1">
      <c r="C91" s="130"/>
    </row>
    <row r="92" ht="12.0" customHeight="1">
      <c r="C92" s="130"/>
    </row>
    <row r="93" ht="12.0" customHeight="1">
      <c r="C93" s="130"/>
    </row>
    <row r="94" ht="12.0" customHeight="1">
      <c r="C94" s="130"/>
    </row>
    <row r="95" ht="12.0" customHeight="1">
      <c r="C95" s="130"/>
    </row>
    <row r="96" ht="12.0" customHeight="1">
      <c r="C96" s="130"/>
    </row>
    <row r="97" ht="12.0" customHeight="1">
      <c r="C97" s="130"/>
    </row>
    <row r="98" ht="12.0" customHeight="1">
      <c r="B98" s="260"/>
      <c r="C98" s="130"/>
    </row>
    <row r="99" ht="12.0" customHeight="1">
      <c r="B99" s="260"/>
      <c r="C99" s="130"/>
    </row>
    <row r="100" ht="12.0" customHeight="1">
      <c r="B100" s="260"/>
      <c r="C100" s="130"/>
    </row>
    <row r="101" ht="12.0" customHeight="1">
      <c r="B101" s="260"/>
      <c r="C101" s="130"/>
    </row>
    <row r="102" ht="12.0" customHeight="1">
      <c r="B102" s="260"/>
      <c r="C102" s="130"/>
    </row>
    <row r="103" ht="12.0" customHeight="1">
      <c r="B103" s="260"/>
      <c r="C103" s="130"/>
    </row>
    <row r="104" ht="12.0" customHeight="1">
      <c r="B104" s="260"/>
      <c r="C104" s="130"/>
    </row>
    <row r="105" ht="12.0" customHeight="1">
      <c r="B105" s="260"/>
      <c r="C105" s="130"/>
    </row>
    <row r="106" ht="12.0" customHeight="1">
      <c r="B106" s="260"/>
      <c r="C106" s="130"/>
    </row>
    <row r="107" ht="12.0" customHeight="1">
      <c r="B107" s="260"/>
      <c r="C107" s="130"/>
    </row>
    <row r="108" ht="12.0" customHeight="1">
      <c r="B108" s="260"/>
      <c r="C108" s="130"/>
    </row>
    <row r="109" ht="12.0" customHeight="1">
      <c r="B109" s="260"/>
      <c r="C109" s="130"/>
    </row>
    <row r="110" ht="12.0" customHeight="1">
      <c r="B110" s="260"/>
      <c r="C110" s="130"/>
    </row>
    <row r="111" ht="12.0" customHeight="1">
      <c r="B111" s="260"/>
      <c r="C111" s="130"/>
    </row>
    <row r="112" ht="12.0" customHeight="1">
      <c r="B112" s="260"/>
      <c r="C112" s="130"/>
    </row>
    <row r="113" ht="12.0" customHeight="1">
      <c r="B113" s="260"/>
      <c r="C113" s="130"/>
    </row>
    <row r="114" ht="12.0" customHeight="1">
      <c r="B114" s="260"/>
      <c r="C114" s="130"/>
    </row>
    <row r="115" ht="12.0" customHeight="1">
      <c r="B115" s="260"/>
      <c r="C115" s="130"/>
    </row>
    <row r="116" ht="12.0" customHeight="1">
      <c r="B116" s="260"/>
      <c r="C116" s="130"/>
    </row>
    <row r="117" ht="12.0" customHeight="1">
      <c r="B117" s="260"/>
      <c r="C117" s="130"/>
    </row>
    <row r="118" ht="12.0" customHeight="1">
      <c r="B118" s="260"/>
      <c r="C118" s="130"/>
    </row>
    <row r="119" ht="12.0" customHeight="1">
      <c r="B119" s="260"/>
      <c r="C119" s="130"/>
    </row>
    <row r="120" ht="12.0" customHeight="1">
      <c r="B120" s="260"/>
      <c r="C120" s="130"/>
    </row>
    <row r="121" ht="12.0" customHeight="1">
      <c r="B121" s="260"/>
      <c r="C121" s="130"/>
    </row>
    <row r="122" ht="12.0" customHeight="1">
      <c r="B122" s="260"/>
      <c r="C122" s="130"/>
    </row>
    <row r="123" ht="12.0" customHeight="1">
      <c r="B123" s="260"/>
      <c r="C123" s="130"/>
    </row>
    <row r="124" ht="12.0" customHeight="1">
      <c r="B124" s="260"/>
      <c r="C124" s="130"/>
    </row>
    <row r="125" ht="12.0" customHeight="1">
      <c r="B125" s="260"/>
      <c r="C125" s="130"/>
    </row>
    <row r="126" ht="12.0" customHeight="1">
      <c r="B126" s="260"/>
      <c r="C126" s="130"/>
    </row>
    <row r="127" ht="12.0" customHeight="1">
      <c r="B127" s="260"/>
      <c r="C127" s="130"/>
    </row>
    <row r="128" ht="12.0" customHeight="1">
      <c r="B128" s="260"/>
      <c r="C128" s="130"/>
    </row>
    <row r="129" ht="12.0" customHeight="1">
      <c r="B129" s="260"/>
      <c r="C129" s="130"/>
    </row>
    <row r="130" ht="12.0" customHeight="1">
      <c r="B130" s="260"/>
      <c r="C130" s="130"/>
    </row>
    <row r="131" ht="12.0" customHeight="1">
      <c r="B131" s="260"/>
      <c r="C131" s="130"/>
    </row>
    <row r="132" ht="12.0" customHeight="1">
      <c r="B132" s="260"/>
      <c r="C132" s="130"/>
    </row>
    <row r="133" ht="12.0" customHeight="1">
      <c r="B133" s="260"/>
      <c r="C133" s="130"/>
    </row>
    <row r="134" ht="12.0" customHeight="1">
      <c r="B134" s="260"/>
      <c r="C134" s="130"/>
    </row>
    <row r="135" ht="12.0" customHeight="1">
      <c r="B135" s="260"/>
      <c r="C135" s="130"/>
    </row>
    <row r="136" ht="12.0" customHeight="1">
      <c r="B136" s="260"/>
      <c r="C136" s="130"/>
    </row>
    <row r="137" ht="12.0" customHeight="1">
      <c r="B137" s="260"/>
      <c r="C137" s="130"/>
    </row>
    <row r="138" ht="12.0" customHeight="1">
      <c r="B138" s="260"/>
      <c r="C138" s="130"/>
    </row>
    <row r="139" ht="12.0" customHeight="1">
      <c r="B139" s="260"/>
      <c r="C139" s="130"/>
    </row>
    <row r="140" ht="12.0" customHeight="1">
      <c r="B140" s="260"/>
      <c r="C140" s="130"/>
    </row>
    <row r="141" ht="12.0" customHeight="1">
      <c r="B141" s="260"/>
      <c r="C141" s="130"/>
    </row>
    <row r="142" ht="12.0" customHeight="1">
      <c r="B142" s="260"/>
      <c r="C142" s="130"/>
    </row>
    <row r="143" ht="12.0" customHeight="1">
      <c r="B143" s="260"/>
      <c r="C143" s="130"/>
    </row>
    <row r="144" ht="12.0" customHeight="1">
      <c r="B144" s="260"/>
      <c r="C144" s="130"/>
    </row>
    <row r="145" ht="12.0" customHeight="1">
      <c r="B145" s="260"/>
      <c r="C145" s="130"/>
    </row>
    <row r="146" ht="12.0" customHeight="1">
      <c r="B146" s="260"/>
      <c r="C146" s="130"/>
    </row>
    <row r="147" ht="12.0" customHeight="1">
      <c r="B147" s="260"/>
      <c r="C147" s="130"/>
    </row>
    <row r="148" ht="12.0" customHeight="1">
      <c r="B148" s="260"/>
      <c r="C148" s="130"/>
    </row>
    <row r="149" ht="12.0" customHeight="1">
      <c r="B149" s="260"/>
      <c r="C149" s="130"/>
    </row>
    <row r="150" ht="12.0" customHeight="1">
      <c r="B150" s="260"/>
      <c r="C150" s="130"/>
    </row>
    <row r="151" ht="12.0" customHeight="1">
      <c r="B151" s="260"/>
      <c r="C151" s="130"/>
    </row>
    <row r="152" ht="12.0" customHeight="1">
      <c r="B152" s="260"/>
      <c r="C152" s="130"/>
    </row>
    <row r="153" ht="12.0" customHeight="1">
      <c r="B153" s="260"/>
      <c r="C153" s="130"/>
    </row>
    <row r="154" ht="12.0" customHeight="1">
      <c r="B154" s="260"/>
      <c r="C154" s="130"/>
    </row>
    <row r="155" ht="12.0" customHeight="1">
      <c r="B155" s="260"/>
      <c r="C155" s="130"/>
    </row>
    <row r="156" ht="12.0" customHeight="1">
      <c r="B156" s="260"/>
      <c r="C156" s="130"/>
    </row>
    <row r="157" ht="12.0" customHeight="1">
      <c r="B157" s="260"/>
      <c r="C157" s="130"/>
    </row>
    <row r="158" ht="12.0" customHeight="1">
      <c r="B158" s="260"/>
      <c r="C158" s="130"/>
    </row>
    <row r="159" ht="12.0" customHeight="1">
      <c r="B159" s="260"/>
      <c r="C159" s="130"/>
    </row>
    <row r="160" ht="12.0" customHeight="1">
      <c r="B160" s="260"/>
      <c r="C160" s="130"/>
    </row>
    <row r="161" ht="12.0" customHeight="1">
      <c r="B161" s="260"/>
      <c r="C161" s="130"/>
    </row>
    <row r="162" ht="12.0" customHeight="1">
      <c r="B162" s="260"/>
      <c r="C162" s="130"/>
    </row>
    <row r="163" ht="12.0" customHeight="1">
      <c r="B163" s="260"/>
      <c r="C163" s="130"/>
    </row>
    <row r="164" ht="12.0" customHeight="1">
      <c r="B164" s="260"/>
      <c r="C164" s="130"/>
    </row>
    <row r="165" ht="12.0" customHeight="1">
      <c r="B165" s="260"/>
      <c r="C165" s="130"/>
    </row>
    <row r="166" ht="12.0" customHeight="1">
      <c r="B166" s="260"/>
      <c r="C166" s="130"/>
    </row>
    <row r="167" ht="12.0" customHeight="1">
      <c r="B167" s="260"/>
      <c r="C167" s="130"/>
    </row>
    <row r="168" ht="12.0" customHeight="1">
      <c r="B168" s="260"/>
      <c r="C168" s="130"/>
    </row>
    <row r="169" ht="12.0" customHeight="1">
      <c r="B169" s="260"/>
      <c r="C169" s="130"/>
    </row>
    <row r="170" ht="12.0" customHeight="1">
      <c r="B170" s="260"/>
      <c r="C170" s="130"/>
    </row>
    <row r="171" ht="12.0" customHeight="1">
      <c r="B171" s="260"/>
      <c r="C171" s="130"/>
    </row>
    <row r="172" ht="12.0" customHeight="1">
      <c r="B172" s="260"/>
      <c r="C172" s="130"/>
    </row>
    <row r="173" ht="12.0" customHeight="1">
      <c r="B173" s="260"/>
      <c r="C173" s="130"/>
    </row>
    <row r="174" ht="12.0" customHeight="1">
      <c r="B174" s="260"/>
      <c r="C174" s="130"/>
    </row>
    <row r="175" ht="12.0" customHeight="1">
      <c r="B175" s="260"/>
      <c r="C175" s="130"/>
    </row>
    <row r="176" ht="12.0" customHeight="1">
      <c r="B176" s="260"/>
      <c r="C176" s="130"/>
    </row>
    <row r="177" ht="12.0" customHeight="1">
      <c r="B177" s="260"/>
      <c r="C177" s="130"/>
    </row>
    <row r="178" ht="12.0" customHeight="1">
      <c r="B178" s="260"/>
      <c r="C178" s="130"/>
    </row>
    <row r="179" ht="12.0" customHeight="1">
      <c r="B179" s="260"/>
      <c r="C179" s="130"/>
    </row>
    <row r="180" ht="12.0" customHeight="1">
      <c r="B180" s="260"/>
      <c r="C180" s="130"/>
    </row>
    <row r="181" ht="12.0" customHeight="1">
      <c r="B181" s="260"/>
      <c r="C181" s="130"/>
    </row>
    <row r="182" ht="12.0" customHeight="1">
      <c r="B182" s="260"/>
      <c r="C182" s="130"/>
    </row>
    <row r="183" ht="12.0" customHeight="1">
      <c r="B183" s="260"/>
      <c r="C183" s="130"/>
    </row>
    <row r="184" ht="12.0" customHeight="1">
      <c r="B184" s="260"/>
      <c r="C184" s="130"/>
    </row>
    <row r="185" ht="12.0" customHeight="1">
      <c r="B185" s="260"/>
      <c r="C185" s="130"/>
    </row>
    <row r="186" ht="12.0" customHeight="1">
      <c r="B186" s="260"/>
      <c r="C186" s="130"/>
    </row>
    <row r="187" ht="12.0" customHeight="1">
      <c r="B187" s="260"/>
      <c r="C187" s="130"/>
    </row>
    <row r="188" ht="12.0" customHeight="1">
      <c r="B188" s="260"/>
      <c r="C188" s="130"/>
    </row>
    <row r="189" ht="12.0" customHeight="1">
      <c r="B189" s="260"/>
      <c r="C189" s="130"/>
    </row>
    <row r="190" ht="12.0" customHeight="1">
      <c r="B190" s="260"/>
      <c r="C190" s="130"/>
    </row>
    <row r="191" ht="12.0" customHeight="1">
      <c r="B191" s="260"/>
      <c r="C191" s="130"/>
    </row>
    <row r="192" ht="12.0" customHeight="1">
      <c r="B192" s="260"/>
      <c r="C192" s="130"/>
    </row>
    <row r="193" ht="12.0" customHeight="1">
      <c r="B193" s="260"/>
      <c r="C193" s="130"/>
    </row>
    <row r="194" ht="12.0" customHeight="1">
      <c r="B194" s="260"/>
      <c r="C194" s="130"/>
    </row>
    <row r="195" ht="12.0" customHeight="1">
      <c r="B195" s="260"/>
      <c r="C195" s="130"/>
    </row>
    <row r="196" ht="12.0" customHeight="1">
      <c r="B196" s="260"/>
      <c r="C196" s="130"/>
    </row>
    <row r="197" ht="12.0" customHeight="1">
      <c r="B197" s="260"/>
      <c r="C197" s="130"/>
    </row>
    <row r="198" ht="12.0" customHeight="1">
      <c r="B198" s="260"/>
      <c r="C198" s="130"/>
    </row>
    <row r="199" ht="12.0" customHeight="1">
      <c r="B199" s="260"/>
      <c r="C199" s="130"/>
    </row>
    <row r="200" ht="12.0" customHeight="1">
      <c r="B200" s="260"/>
      <c r="C200" s="130"/>
    </row>
    <row r="201" ht="12.0" customHeight="1">
      <c r="B201" s="260"/>
      <c r="C201" s="130"/>
    </row>
    <row r="202" ht="12.0" customHeight="1">
      <c r="B202" s="260"/>
      <c r="C202" s="130"/>
    </row>
    <row r="203" ht="12.0" customHeight="1">
      <c r="B203" s="260"/>
      <c r="C203" s="130"/>
    </row>
    <row r="204" ht="12.0" customHeight="1">
      <c r="B204" s="260"/>
      <c r="C204" s="130"/>
    </row>
    <row r="205" ht="12.0" customHeight="1">
      <c r="B205" s="260"/>
      <c r="C205" s="130"/>
    </row>
    <row r="206" ht="12.0" customHeight="1">
      <c r="B206" s="260"/>
      <c r="C206" s="130"/>
    </row>
    <row r="207" ht="12.0" customHeight="1">
      <c r="B207" s="260"/>
      <c r="C207" s="130"/>
    </row>
    <row r="208" ht="12.0" customHeight="1">
      <c r="B208" s="260"/>
      <c r="C208" s="130"/>
    </row>
    <row r="209" ht="12.0" customHeight="1">
      <c r="B209" s="260"/>
      <c r="C209" s="130"/>
    </row>
    <row r="210" ht="12.0" customHeight="1">
      <c r="B210" s="260"/>
      <c r="C210" s="130"/>
    </row>
    <row r="211" ht="12.0" customHeight="1">
      <c r="B211" s="260"/>
      <c r="C211" s="130"/>
    </row>
    <row r="212" ht="12.0" customHeight="1">
      <c r="B212" s="260"/>
      <c r="C212" s="130"/>
    </row>
    <row r="213" ht="12.0" customHeight="1">
      <c r="B213" s="260"/>
      <c r="C213" s="130"/>
    </row>
    <row r="214" ht="12.0" customHeight="1">
      <c r="B214" s="260"/>
      <c r="C214" s="130"/>
    </row>
    <row r="215" ht="12.0" customHeight="1">
      <c r="B215" s="260"/>
      <c r="C215" s="130"/>
    </row>
    <row r="216" ht="12.0" customHeight="1">
      <c r="B216" s="260"/>
      <c r="C216" s="130"/>
    </row>
    <row r="217" ht="12.0" customHeight="1">
      <c r="B217" s="260"/>
      <c r="C217" s="130"/>
    </row>
    <row r="218" ht="12.0" customHeight="1">
      <c r="B218" s="260"/>
      <c r="C218" s="130"/>
    </row>
    <row r="219" ht="12.0" customHeight="1">
      <c r="B219" s="260"/>
      <c r="C219" s="130"/>
    </row>
    <row r="220" ht="12.0" customHeight="1">
      <c r="B220" s="260"/>
      <c r="C220" s="130"/>
    </row>
    <row r="221" ht="12.0" customHeight="1">
      <c r="B221" s="260"/>
      <c r="C221" s="130"/>
    </row>
    <row r="222" ht="12.0" customHeight="1">
      <c r="B222" s="260"/>
      <c r="C222" s="130"/>
    </row>
    <row r="223" ht="12.0" customHeight="1">
      <c r="B223" s="260"/>
      <c r="C223" s="130"/>
    </row>
    <row r="224" ht="12.0" customHeight="1">
      <c r="B224" s="260"/>
      <c r="C224" s="130"/>
    </row>
    <row r="225" ht="12.0" customHeight="1">
      <c r="B225" s="260"/>
      <c r="C225" s="130"/>
    </row>
    <row r="226" ht="12.0" customHeight="1">
      <c r="B226" s="260"/>
      <c r="C226" s="130"/>
    </row>
    <row r="227" ht="12.0" customHeight="1">
      <c r="B227" s="260"/>
      <c r="C227" s="130"/>
    </row>
    <row r="228" ht="12.0" customHeight="1">
      <c r="B228" s="260"/>
      <c r="C228" s="130"/>
    </row>
    <row r="229" ht="12.0" customHeight="1">
      <c r="B229" s="260"/>
      <c r="C229" s="130"/>
    </row>
    <row r="230" ht="12.0" customHeight="1">
      <c r="B230" s="260"/>
      <c r="C230" s="130"/>
    </row>
    <row r="231" ht="12.0" customHeight="1">
      <c r="B231" s="260"/>
      <c r="C231" s="130"/>
    </row>
    <row r="232" ht="12.0" customHeight="1">
      <c r="B232" s="260"/>
      <c r="C232" s="130"/>
    </row>
    <row r="233" ht="12.0" customHeight="1">
      <c r="B233" s="260"/>
      <c r="C233" s="130"/>
    </row>
    <row r="234" ht="12.0" customHeight="1">
      <c r="B234" s="260"/>
      <c r="C234" s="130"/>
    </row>
    <row r="235" ht="12.0" customHeight="1">
      <c r="B235" s="260"/>
      <c r="C235" s="130"/>
    </row>
    <row r="236" ht="12.0" customHeight="1">
      <c r="B236" s="260"/>
      <c r="C236" s="130"/>
    </row>
    <row r="237" ht="12.0" customHeight="1">
      <c r="B237" s="260"/>
      <c r="C237" s="130"/>
    </row>
    <row r="238" ht="12.0" customHeight="1">
      <c r="B238" s="260"/>
      <c r="C238" s="130"/>
    </row>
    <row r="239" ht="12.0" customHeight="1">
      <c r="B239" s="260"/>
      <c r="C239" s="130"/>
    </row>
    <row r="240" ht="12.0" customHeight="1">
      <c r="B240" s="260"/>
      <c r="C240" s="130"/>
    </row>
    <row r="241" ht="12.0" customHeight="1">
      <c r="B241" s="260"/>
      <c r="C241" s="130"/>
    </row>
    <row r="242" ht="12.0" customHeight="1">
      <c r="B242" s="260"/>
      <c r="C242" s="130"/>
    </row>
    <row r="243" ht="12.0" customHeight="1">
      <c r="B243" s="260"/>
      <c r="C243" s="130"/>
    </row>
    <row r="244" ht="12.0" customHeight="1">
      <c r="B244" s="260"/>
      <c r="C244" s="130"/>
    </row>
    <row r="245" ht="12.0" customHeight="1">
      <c r="B245" s="260"/>
      <c r="C245" s="130"/>
    </row>
    <row r="246" ht="12.0" customHeight="1">
      <c r="B246" s="260"/>
      <c r="C246" s="130"/>
    </row>
    <row r="247" ht="12.0" customHeight="1">
      <c r="B247" s="260"/>
      <c r="C247" s="130"/>
    </row>
    <row r="248" ht="12.0" customHeight="1">
      <c r="B248" s="260"/>
      <c r="C248" s="130"/>
    </row>
    <row r="249" ht="12.0" customHeight="1">
      <c r="B249" s="260"/>
      <c r="C249" s="130"/>
    </row>
    <row r="250" ht="12.0" customHeight="1">
      <c r="B250" s="260"/>
      <c r="C250" s="130"/>
    </row>
    <row r="251" ht="12.0" customHeight="1">
      <c r="B251" s="260"/>
      <c r="C251" s="130"/>
    </row>
    <row r="252" ht="12.0" customHeight="1">
      <c r="B252" s="260"/>
      <c r="C252" s="130"/>
    </row>
    <row r="253" ht="12.0" customHeight="1">
      <c r="B253" s="260"/>
      <c r="C253" s="130"/>
    </row>
    <row r="254" ht="12.0" customHeight="1">
      <c r="B254" s="260"/>
      <c r="C254" s="130"/>
    </row>
    <row r="255" ht="12.0" customHeight="1">
      <c r="B255" s="260"/>
      <c r="C255" s="130"/>
    </row>
    <row r="256" ht="12.0" customHeight="1">
      <c r="B256" s="260"/>
      <c r="C256" s="130"/>
    </row>
    <row r="257" ht="12.0" customHeight="1">
      <c r="B257" s="260"/>
      <c r="C257" s="130"/>
    </row>
    <row r="258" ht="12.0" customHeight="1">
      <c r="B258" s="260"/>
      <c r="C258" s="130"/>
    </row>
    <row r="259" ht="12.0" customHeight="1">
      <c r="B259" s="260"/>
      <c r="C259" s="130"/>
    </row>
    <row r="260" ht="12.0" customHeight="1">
      <c r="B260" s="260"/>
      <c r="C260" s="130"/>
    </row>
    <row r="261" ht="12.0" customHeight="1">
      <c r="B261" s="260"/>
      <c r="C261" s="130"/>
    </row>
    <row r="262" ht="12.0" customHeight="1">
      <c r="B262" s="260"/>
      <c r="C262" s="130"/>
    </row>
    <row r="263" ht="12.0" customHeight="1">
      <c r="B263" s="260"/>
      <c r="C263" s="130"/>
    </row>
    <row r="264" ht="12.0" customHeight="1">
      <c r="B264" s="260"/>
      <c r="C264" s="130"/>
    </row>
    <row r="265" ht="12.0" customHeight="1">
      <c r="B265" s="260"/>
      <c r="C265" s="130"/>
    </row>
    <row r="266" ht="12.0" customHeight="1">
      <c r="B266" s="260"/>
      <c r="C266" s="130"/>
    </row>
    <row r="267" ht="12.0" customHeight="1">
      <c r="B267" s="260"/>
      <c r="C267" s="130"/>
    </row>
    <row r="268" ht="12.0" customHeight="1">
      <c r="B268" s="260"/>
      <c r="C268" s="130"/>
    </row>
    <row r="269" ht="12.0" customHeight="1">
      <c r="B269" s="260"/>
      <c r="C269" s="130"/>
    </row>
    <row r="270" ht="12.0" customHeight="1">
      <c r="B270" s="260"/>
      <c r="C270" s="130"/>
    </row>
    <row r="271" ht="12.0" customHeight="1">
      <c r="B271" s="260"/>
      <c r="C271" s="130"/>
    </row>
    <row r="272" ht="12.0" customHeight="1">
      <c r="B272" s="260"/>
      <c r="C272" s="130"/>
    </row>
    <row r="273" ht="12.0" customHeight="1">
      <c r="B273" s="260"/>
      <c r="C273" s="130"/>
    </row>
    <row r="274" ht="12.0" customHeight="1">
      <c r="B274" s="260"/>
      <c r="C274" s="130"/>
    </row>
    <row r="275" ht="12.0" customHeight="1">
      <c r="B275" s="260"/>
      <c r="C275" s="130"/>
    </row>
    <row r="276" ht="12.0" customHeight="1">
      <c r="B276" s="260"/>
      <c r="C276" s="130"/>
    </row>
    <row r="277" ht="12.0" customHeight="1">
      <c r="B277" s="260"/>
      <c r="C277" s="130"/>
    </row>
    <row r="278" ht="12.0" customHeight="1">
      <c r="B278" s="260"/>
      <c r="C278" s="130"/>
    </row>
    <row r="279" ht="12.0" customHeight="1">
      <c r="B279" s="260"/>
      <c r="C279" s="130"/>
    </row>
    <row r="280" ht="12.0" customHeight="1">
      <c r="B280" s="260"/>
      <c r="C280" s="130"/>
    </row>
    <row r="281" ht="12.0" customHeight="1">
      <c r="B281" s="260"/>
      <c r="C281" s="130"/>
    </row>
    <row r="282" ht="12.0" customHeight="1">
      <c r="B282" s="260"/>
      <c r="C282" s="130"/>
    </row>
    <row r="283" ht="12.0" customHeight="1">
      <c r="B283" s="260"/>
      <c r="C283" s="130"/>
    </row>
    <row r="284" ht="12.0" customHeight="1">
      <c r="B284" s="260"/>
      <c r="C284" s="130"/>
    </row>
    <row r="285" ht="12.0" customHeight="1">
      <c r="B285" s="260"/>
      <c r="C285" s="130"/>
    </row>
    <row r="286" ht="12.0" customHeight="1">
      <c r="B286" s="260"/>
      <c r="C286" s="130"/>
    </row>
    <row r="287" ht="12.0" customHeight="1">
      <c r="B287" s="260"/>
      <c r="C287" s="130"/>
    </row>
    <row r="288" ht="12.0" customHeight="1">
      <c r="B288" s="260"/>
      <c r="C288" s="130"/>
    </row>
    <row r="289" ht="12.0" customHeight="1">
      <c r="B289" s="260"/>
      <c r="C289" s="130"/>
    </row>
    <row r="290" ht="12.0" customHeight="1">
      <c r="B290" s="260"/>
      <c r="C290" s="130"/>
    </row>
    <row r="291" ht="12.0" customHeight="1">
      <c r="B291" s="260"/>
      <c r="C291" s="130"/>
    </row>
    <row r="292" ht="12.0" customHeight="1">
      <c r="B292" s="260"/>
      <c r="C292" s="130"/>
    </row>
    <row r="293" ht="12.0" customHeight="1">
      <c r="B293" s="260"/>
      <c r="C293" s="130"/>
    </row>
    <row r="294" ht="12.0" customHeight="1">
      <c r="B294" s="260"/>
      <c r="C294" s="130"/>
    </row>
    <row r="295" ht="12.0" customHeight="1">
      <c r="B295" s="260"/>
      <c r="C295" s="130"/>
    </row>
    <row r="296" ht="12.0" customHeight="1">
      <c r="B296" s="260"/>
      <c r="C296" s="130"/>
    </row>
    <row r="297" ht="12.0" customHeight="1">
      <c r="B297" s="260"/>
      <c r="C297" s="130"/>
    </row>
    <row r="298" ht="12.0" customHeight="1">
      <c r="B298" s="260"/>
      <c r="C298" s="130"/>
    </row>
    <row r="299" ht="12.0" customHeight="1">
      <c r="B299" s="260"/>
      <c r="C299" s="130"/>
    </row>
    <row r="300" ht="12.0" customHeight="1">
      <c r="B300" s="260"/>
      <c r="C300" s="130"/>
    </row>
    <row r="301" ht="12.0" customHeight="1">
      <c r="B301" s="260"/>
      <c r="C301" s="130"/>
    </row>
    <row r="302" ht="12.0" customHeight="1">
      <c r="B302" s="260"/>
      <c r="C302" s="130"/>
    </row>
    <row r="303" ht="12.0" customHeight="1">
      <c r="B303" s="260"/>
      <c r="C303" s="130"/>
    </row>
    <row r="304" ht="12.0" customHeight="1">
      <c r="B304" s="260"/>
      <c r="C304" s="130"/>
    </row>
    <row r="305" ht="12.0" customHeight="1">
      <c r="B305" s="260"/>
      <c r="C305" s="130"/>
    </row>
    <row r="306" ht="12.0" customHeight="1">
      <c r="B306" s="260"/>
      <c r="C306" s="130"/>
    </row>
    <row r="307" ht="12.0" customHeight="1">
      <c r="B307" s="260"/>
      <c r="C307" s="130"/>
    </row>
    <row r="308" ht="12.0" customHeight="1">
      <c r="B308" s="260"/>
      <c r="C308" s="130"/>
    </row>
    <row r="309" ht="12.0" customHeight="1">
      <c r="B309" s="260"/>
      <c r="C309" s="130"/>
    </row>
    <row r="310" ht="12.0" customHeight="1">
      <c r="B310" s="260"/>
      <c r="C310" s="130"/>
    </row>
    <row r="311" ht="12.0" customHeight="1">
      <c r="B311" s="260"/>
      <c r="C311" s="130"/>
    </row>
    <row r="312" ht="12.0" customHeight="1">
      <c r="B312" s="260"/>
      <c r="C312" s="130"/>
    </row>
    <row r="313" ht="12.0" customHeight="1">
      <c r="B313" s="260"/>
      <c r="C313" s="130"/>
    </row>
    <row r="314" ht="12.0" customHeight="1">
      <c r="B314" s="260"/>
      <c r="C314" s="130"/>
    </row>
    <row r="315" ht="12.0" customHeight="1">
      <c r="B315" s="260"/>
      <c r="C315" s="130"/>
    </row>
    <row r="316" ht="12.0" customHeight="1">
      <c r="B316" s="260"/>
      <c r="C316" s="130"/>
    </row>
    <row r="317" ht="12.0" customHeight="1">
      <c r="B317" s="260"/>
      <c r="C317" s="130"/>
    </row>
    <row r="318" ht="12.0" customHeight="1">
      <c r="B318" s="260"/>
      <c r="C318" s="130"/>
    </row>
    <row r="319" ht="12.0" customHeight="1">
      <c r="B319" s="260"/>
      <c r="C319" s="130"/>
    </row>
    <row r="320" ht="12.0" customHeight="1">
      <c r="B320" s="260"/>
      <c r="C320" s="130"/>
    </row>
    <row r="321" ht="12.0" customHeight="1">
      <c r="B321" s="260"/>
      <c r="C321" s="130"/>
    </row>
    <row r="322" ht="12.0" customHeight="1">
      <c r="B322" s="260"/>
      <c r="C322" s="130"/>
    </row>
    <row r="323" ht="12.0" customHeight="1">
      <c r="B323" s="260"/>
      <c r="C323" s="130"/>
    </row>
    <row r="324" ht="12.0" customHeight="1">
      <c r="B324" s="260"/>
      <c r="C324" s="130"/>
    </row>
    <row r="325" ht="12.0" customHeight="1">
      <c r="B325" s="260"/>
      <c r="C325" s="130"/>
    </row>
    <row r="326" ht="12.0" customHeight="1">
      <c r="B326" s="260"/>
      <c r="C326" s="130"/>
    </row>
    <row r="327" ht="12.0" customHeight="1">
      <c r="B327" s="260"/>
      <c r="C327" s="130"/>
    </row>
    <row r="328" ht="12.0" customHeight="1">
      <c r="B328" s="260"/>
      <c r="C328" s="130"/>
    </row>
    <row r="329" ht="12.0" customHeight="1">
      <c r="B329" s="260"/>
      <c r="C329" s="130"/>
    </row>
    <row r="330" ht="12.0" customHeight="1">
      <c r="B330" s="260"/>
      <c r="C330" s="130"/>
    </row>
    <row r="331" ht="12.0" customHeight="1">
      <c r="B331" s="260"/>
      <c r="C331" s="130"/>
    </row>
    <row r="332" ht="12.0" customHeight="1">
      <c r="B332" s="260"/>
      <c r="C332" s="130"/>
    </row>
    <row r="333" ht="12.0" customHeight="1">
      <c r="B333" s="260"/>
      <c r="C333" s="130"/>
    </row>
    <row r="334" ht="12.0" customHeight="1">
      <c r="B334" s="260"/>
      <c r="C334" s="130"/>
    </row>
    <row r="335" ht="12.0" customHeight="1">
      <c r="B335" s="260"/>
      <c r="C335" s="130"/>
    </row>
    <row r="336" ht="12.0" customHeight="1">
      <c r="B336" s="260"/>
      <c r="C336" s="130"/>
    </row>
    <row r="337" ht="12.0" customHeight="1">
      <c r="B337" s="260"/>
      <c r="C337" s="130"/>
    </row>
    <row r="338" ht="12.0" customHeight="1">
      <c r="B338" s="260"/>
      <c r="C338" s="130"/>
    </row>
    <row r="339" ht="12.0" customHeight="1">
      <c r="B339" s="260"/>
      <c r="C339" s="130"/>
    </row>
    <row r="340" ht="12.0" customHeight="1">
      <c r="B340" s="260"/>
      <c r="C340" s="130"/>
    </row>
    <row r="341" ht="12.0" customHeight="1">
      <c r="B341" s="260"/>
      <c r="C341" s="130"/>
    </row>
    <row r="342" ht="12.0" customHeight="1">
      <c r="B342" s="260"/>
      <c r="C342" s="130"/>
    </row>
    <row r="343" ht="12.0" customHeight="1">
      <c r="B343" s="260"/>
      <c r="C343" s="130"/>
    </row>
    <row r="344" ht="12.0" customHeight="1">
      <c r="B344" s="260"/>
      <c r="C344" s="130"/>
    </row>
    <row r="345" ht="12.0" customHeight="1">
      <c r="B345" s="260"/>
      <c r="C345" s="130"/>
    </row>
    <row r="346" ht="12.0" customHeight="1">
      <c r="B346" s="260"/>
      <c r="C346" s="130"/>
    </row>
    <row r="347" ht="12.0" customHeight="1">
      <c r="B347" s="260"/>
      <c r="C347" s="130"/>
    </row>
    <row r="348" ht="12.0" customHeight="1">
      <c r="B348" s="260"/>
      <c r="C348" s="130"/>
    </row>
    <row r="349" ht="12.0" customHeight="1">
      <c r="B349" s="260"/>
      <c r="C349" s="130"/>
    </row>
    <row r="350" ht="12.0" customHeight="1">
      <c r="B350" s="260"/>
      <c r="C350" s="130"/>
    </row>
    <row r="351" ht="12.0" customHeight="1">
      <c r="B351" s="260"/>
      <c r="C351" s="130"/>
    </row>
    <row r="352" ht="12.0" customHeight="1">
      <c r="B352" s="260"/>
      <c r="C352" s="130"/>
    </row>
    <row r="353" ht="12.0" customHeight="1">
      <c r="B353" s="260"/>
      <c r="C353" s="130"/>
    </row>
    <row r="354" ht="12.0" customHeight="1">
      <c r="B354" s="260"/>
      <c r="C354" s="130"/>
    </row>
    <row r="355" ht="12.0" customHeight="1">
      <c r="B355" s="260"/>
      <c r="C355" s="130"/>
    </row>
    <row r="356" ht="12.0" customHeight="1">
      <c r="B356" s="260"/>
      <c r="C356" s="130"/>
    </row>
    <row r="357" ht="12.0" customHeight="1">
      <c r="B357" s="260"/>
      <c r="C357" s="130"/>
    </row>
    <row r="358" ht="12.0" customHeight="1">
      <c r="B358" s="260"/>
      <c r="C358" s="130"/>
    </row>
    <row r="359" ht="12.0" customHeight="1">
      <c r="B359" s="260"/>
      <c r="C359" s="130"/>
    </row>
    <row r="360" ht="12.0" customHeight="1">
      <c r="B360" s="260"/>
      <c r="C360" s="130"/>
    </row>
    <row r="361" ht="12.0" customHeight="1">
      <c r="B361" s="260"/>
      <c r="C361" s="130"/>
    </row>
    <row r="362" ht="12.0" customHeight="1">
      <c r="B362" s="260"/>
      <c r="C362" s="130"/>
    </row>
    <row r="363" ht="12.0" customHeight="1">
      <c r="B363" s="260"/>
      <c r="C363" s="130"/>
    </row>
    <row r="364" ht="12.0" customHeight="1">
      <c r="B364" s="260"/>
      <c r="C364" s="130"/>
    </row>
    <row r="365" ht="12.0" customHeight="1">
      <c r="B365" s="260"/>
      <c r="C365" s="130"/>
    </row>
    <row r="366" ht="12.0" customHeight="1">
      <c r="B366" s="260"/>
      <c r="C366" s="130"/>
    </row>
    <row r="367" ht="12.0" customHeight="1">
      <c r="B367" s="260"/>
      <c r="C367" s="130"/>
    </row>
    <row r="368" ht="12.0" customHeight="1">
      <c r="B368" s="260"/>
      <c r="C368" s="130"/>
    </row>
    <row r="369" ht="12.0" customHeight="1">
      <c r="B369" s="260"/>
      <c r="C369" s="130"/>
    </row>
    <row r="370" ht="12.0" customHeight="1">
      <c r="B370" s="260"/>
      <c r="C370" s="130"/>
    </row>
    <row r="371" ht="12.0" customHeight="1">
      <c r="B371" s="260"/>
      <c r="C371" s="130"/>
    </row>
    <row r="372" ht="12.0" customHeight="1">
      <c r="B372" s="260"/>
      <c r="C372" s="130"/>
    </row>
    <row r="373" ht="12.0" customHeight="1">
      <c r="B373" s="260"/>
      <c r="C373" s="130"/>
    </row>
    <row r="374" ht="12.0" customHeight="1">
      <c r="B374" s="260"/>
      <c r="C374" s="130"/>
    </row>
    <row r="375" ht="12.0" customHeight="1">
      <c r="B375" s="260"/>
      <c r="C375" s="130"/>
    </row>
    <row r="376" ht="12.0" customHeight="1">
      <c r="B376" s="260"/>
      <c r="C376" s="130"/>
    </row>
    <row r="377" ht="12.0" customHeight="1">
      <c r="B377" s="260"/>
      <c r="C377" s="130"/>
    </row>
    <row r="378" ht="12.0" customHeight="1">
      <c r="B378" s="260"/>
      <c r="C378" s="130"/>
    </row>
    <row r="379" ht="12.0" customHeight="1">
      <c r="B379" s="260"/>
      <c r="C379" s="130"/>
    </row>
    <row r="380" ht="12.0" customHeight="1">
      <c r="B380" s="260"/>
      <c r="C380" s="130"/>
    </row>
    <row r="381" ht="12.0" customHeight="1">
      <c r="B381" s="260"/>
      <c r="C381" s="130"/>
    </row>
    <row r="382" ht="12.0" customHeight="1">
      <c r="B382" s="260"/>
      <c r="C382" s="130"/>
    </row>
    <row r="383" ht="12.0" customHeight="1">
      <c r="B383" s="260"/>
      <c r="C383" s="130"/>
    </row>
    <row r="384" ht="12.0" customHeight="1">
      <c r="B384" s="260"/>
      <c r="C384" s="130"/>
    </row>
    <row r="385" ht="12.0" customHeight="1">
      <c r="B385" s="260"/>
      <c r="C385" s="130"/>
    </row>
    <row r="386" ht="12.0" customHeight="1">
      <c r="B386" s="260"/>
      <c r="C386" s="130"/>
    </row>
    <row r="387" ht="12.0" customHeight="1">
      <c r="B387" s="260"/>
      <c r="C387" s="130"/>
    </row>
    <row r="388" ht="12.0" customHeight="1">
      <c r="B388" s="260"/>
      <c r="C388" s="130"/>
    </row>
    <row r="389" ht="12.0" customHeight="1">
      <c r="B389" s="260"/>
      <c r="C389" s="130"/>
    </row>
    <row r="390" ht="12.0" customHeight="1">
      <c r="B390" s="260"/>
      <c r="C390" s="130"/>
    </row>
    <row r="391" ht="12.0" customHeight="1">
      <c r="B391" s="260"/>
      <c r="C391" s="130"/>
    </row>
    <row r="392" ht="12.0" customHeight="1">
      <c r="B392" s="260"/>
      <c r="C392" s="130"/>
    </row>
    <row r="393" ht="12.0" customHeight="1">
      <c r="B393" s="260"/>
      <c r="C393" s="130"/>
    </row>
    <row r="394" ht="12.0" customHeight="1">
      <c r="B394" s="260"/>
      <c r="C394" s="130"/>
    </row>
    <row r="395" ht="12.0" customHeight="1">
      <c r="B395" s="260"/>
      <c r="C395" s="130"/>
    </row>
    <row r="396" ht="12.0" customHeight="1">
      <c r="B396" s="260"/>
      <c r="C396" s="130"/>
    </row>
    <row r="397" ht="12.0" customHeight="1">
      <c r="B397" s="260"/>
      <c r="C397" s="130"/>
    </row>
    <row r="398" ht="12.0" customHeight="1">
      <c r="B398" s="260"/>
      <c r="C398" s="130"/>
    </row>
    <row r="399" ht="12.0" customHeight="1">
      <c r="B399" s="260"/>
      <c r="C399" s="130"/>
    </row>
    <row r="400" ht="12.0" customHeight="1">
      <c r="B400" s="260"/>
      <c r="C400" s="130"/>
    </row>
    <row r="401" ht="12.0" customHeight="1">
      <c r="B401" s="260"/>
      <c r="C401" s="130"/>
    </row>
    <row r="402" ht="12.0" customHeight="1">
      <c r="B402" s="260"/>
      <c r="C402" s="130"/>
    </row>
    <row r="403" ht="12.0" customHeight="1">
      <c r="B403" s="260"/>
      <c r="C403" s="130"/>
    </row>
    <row r="404" ht="12.0" customHeight="1">
      <c r="B404" s="260"/>
      <c r="C404" s="130"/>
    </row>
    <row r="405" ht="12.0" customHeight="1">
      <c r="B405" s="260"/>
      <c r="C405" s="130"/>
    </row>
    <row r="406" ht="12.0" customHeight="1">
      <c r="B406" s="260"/>
      <c r="C406" s="130"/>
    </row>
    <row r="407" ht="12.0" customHeight="1">
      <c r="B407" s="260"/>
      <c r="C407" s="130"/>
    </row>
    <row r="408" ht="12.0" customHeight="1">
      <c r="B408" s="260"/>
      <c r="C408" s="130"/>
    </row>
    <row r="409" ht="12.0" customHeight="1">
      <c r="B409" s="260"/>
      <c r="C409" s="130"/>
    </row>
    <row r="410" ht="12.0" customHeight="1">
      <c r="B410" s="260"/>
      <c r="C410" s="130"/>
    </row>
    <row r="411" ht="12.0" customHeight="1">
      <c r="B411" s="260"/>
      <c r="C411" s="130"/>
    </row>
    <row r="412" ht="12.0" customHeight="1">
      <c r="B412" s="260"/>
      <c r="C412" s="130"/>
    </row>
    <row r="413" ht="12.0" customHeight="1">
      <c r="B413" s="260"/>
      <c r="C413" s="130"/>
    </row>
    <row r="414" ht="12.0" customHeight="1">
      <c r="B414" s="260"/>
      <c r="C414" s="130"/>
    </row>
    <row r="415" ht="12.0" customHeight="1">
      <c r="B415" s="260"/>
      <c r="C415" s="130"/>
    </row>
    <row r="416" ht="12.0" customHeight="1">
      <c r="B416" s="260"/>
      <c r="C416" s="130"/>
    </row>
    <row r="417" ht="12.0" customHeight="1">
      <c r="B417" s="260"/>
      <c r="C417" s="130"/>
    </row>
    <row r="418" ht="12.0" customHeight="1">
      <c r="B418" s="260"/>
      <c r="C418" s="130"/>
    </row>
    <row r="419" ht="12.0" customHeight="1">
      <c r="B419" s="260"/>
      <c r="C419" s="130"/>
    </row>
    <row r="420" ht="12.0" customHeight="1">
      <c r="B420" s="260"/>
      <c r="C420" s="130"/>
    </row>
    <row r="421" ht="12.0" customHeight="1">
      <c r="B421" s="260"/>
      <c r="C421" s="130"/>
    </row>
    <row r="422" ht="12.0" customHeight="1">
      <c r="B422" s="260"/>
      <c r="C422" s="130"/>
    </row>
    <row r="423" ht="12.0" customHeight="1">
      <c r="B423" s="260"/>
      <c r="C423" s="130"/>
    </row>
    <row r="424" ht="12.0" customHeight="1">
      <c r="B424" s="260"/>
      <c r="C424" s="130"/>
    </row>
    <row r="425" ht="12.0" customHeight="1">
      <c r="B425" s="260"/>
      <c r="C425" s="130"/>
    </row>
    <row r="426" ht="12.0" customHeight="1">
      <c r="B426" s="260"/>
      <c r="C426" s="130"/>
    </row>
    <row r="427" ht="12.0" customHeight="1">
      <c r="B427" s="260"/>
      <c r="C427" s="130"/>
    </row>
    <row r="428" ht="12.0" customHeight="1">
      <c r="B428" s="260"/>
      <c r="C428" s="130"/>
    </row>
    <row r="429" ht="12.0" customHeight="1">
      <c r="B429" s="260"/>
      <c r="C429" s="130"/>
    </row>
    <row r="430" ht="12.0" customHeight="1">
      <c r="B430" s="260"/>
      <c r="C430" s="130"/>
    </row>
    <row r="431" ht="12.0" customHeight="1">
      <c r="B431" s="260"/>
      <c r="C431" s="130"/>
    </row>
    <row r="432" ht="12.0" customHeight="1">
      <c r="B432" s="260"/>
      <c r="C432" s="130"/>
    </row>
    <row r="433" ht="12.0" customHeight="1">
      <c r="B433" s="260"/>
      <c r="C433" s="130"/>
    </row>
    <row r="434" ht="12.0" customHeight="1">
      <c r="B434" s="260"/>
      <c r="C434" s="130"/>
    </row>
    <row r="435" ht="12.0" customHeight="1">
      <c r="B435" s="260"/>
      <c r="C435" s="130"/>
    </row>
    <row r="436" ht="12.0" customHeight="1">
      <c r="B436" s="260"/>
      <c r="C436" s="130"/>
    </row>
    <row r="437" ht="12.0" customHeight="1">
      <c r="B437" s="260"/>
      <c r="C437" s="130"/>
    </row>
    <row r="438" ht="12.0" customHeight="1">
      <c r="B438" s="260"/>
      <c r="C438" s="130"/>
    </row>
    <row r="439" ht="12.0" customHeight="1">
      <c r="B439" s="260"/>
      <c r="C439" s="130"/>
    </row>
    <row r="440" ht="12.0" customHeight="1">
      <c r="B440" s="260"/>
      <c r="C440" s="130"/>
    </row>
    <row r="441" ht="12.0" customHeight="1">
      <c r="B441" s="260"/>
      <c r="C441" s="130"/>
    </row>
    <row r="442" ht="12.0" customHeight="1">
      <c r="B442" s="260"/>
      <c r="C442" s="130"/>
    </row>
    <row r="443" ht="12.0" customHeight="1">
      <c r="B443" s="260"/>
      <c r="C443" s="130"/>
    </row>
    <row r="444" ht="12.0" customHeight="1">
      <c r="B444" s="260"/>
      <c r="C444" s="130"/>
    </row>
    <row r="445" ht="12.0" customHeight="1">
      <c r="B445" s="260"/>
      <c r="C445" s="130"/>
    </row>
    <row r="446" ht="12.0" customHeight="1">
      <c r="B446" s="260"/>
      <c r="C446" s="130"/>
    </row>
    <row r="447" ht="12.0" customHeight="1">
      <c r="B447" s="260"/>
      <c r="C447" s="130"/>
    </row>
    <row r="448" ht="12.0" customHeight="1">
      <c r="B448" s="260"/>
      <c r="C448" s="130"/>
    </row>
    <row r="449" ht="12.0" customHeight="1">
      <c r="B449" s="260"/>
      <c r="C449" s="130"/>
    </row>
    <row r="450" ht="12.0" customHeight="1">
      <c r="B450" s="260"/>
      <c r="C450" s="130"/>
    </row>
    <row r="451" ht="12.0" customHeight="1">
      <c r="B451" s="260"/>
      <c r="C451" s="130"/>
    </row>
    <row r="452" ht="12.0" customHeight="1">
      <c r="B452" s="260"/>
      <c r="C452" s="130"/>
    </row>
    <row r="453" ht="12.0" customHeight="1">
      <c r="B453" s="260"/>
      <c r="C453" s="130"/>
    </row>
    <row r="454" ht="12.0" customHeight="1">
      <c r="B454" s="260"/>
      <c r="C454" s="130"/>
    </row>
    <row r="455" ht="12.0" customHeight="1">
      <c r="B455" s="260"/>
      <c r="C455" s="130"/>
    </row>
    <row r="456" ht="12.0" customHeight="1">
      <c r="B456" s="260"/>
      <c r="C456" s="130"/>
    </row>
    <row r="457" ht="12.0" customHeight="1">
      <c r="B457" s="260"/>
      <c r="C457" s="130"/>
    </row>
    <row r="458" ht="12.0" customHeight="1">
      <c r="B458" s="260"/>
      <c r="C458" s="130"/>
    </row>
    <row r="459" ht="12.0" customHeight="1">
      <c r="B459" s="260"/>
      <c r="C459" s="130"/>
    </row>
    <row r="460" ht="12.0" customHeight="1">
      <c r="B460" s="260"/>
      <c r="C460" s="130"/>
    </row>
    <row r="461" ht="12.0" customHeight="1">
      <c r="B461" s="260"/>
      <c r="C461" s="130"/>
    </row>
    <row r="462" ht="12.0" customHeight="1">
      <c r="B462" s="260"/>
      <c r="C462" s="130"/>
    </row>
    <row r="463" ht="12.0" customHeight="1">
      <c r="B463" s="260"/>
      <c r="C463" s="130"/>
    </row>
    <row r="464" ht="12.0" customHeight="1">
      <c r="B464" s="260"/>
      <c r="C464" s="130"/>
    </row>
    <row r="465" ht="12.0" customHeight="1">
      <c r="B465" s="260"/>
      <c r="C465" s="130"/>
    </row>
    <row r="466" ht="12.0" customHeight="1">
      <c r="B466" s="260"/>
      <c r="C466" s="130"/>
    </row>
    <row r="467" ht="12.0" customHeight="1">
      <c r="B467" s="260"/>
      <c r="C467" s="130"/>
    </row>
    <row r="468" ht="12.0" customHeight="1">
      <c r="B468" s="260"/>
      <c r="C468" s="130"/>
    </row>
    <row r="469" ht="12.0" customHeight="1">
      <c r="B469" s="260"/>
      <c r="C469" s="130"/>
    </row>
    <row r="470" ht="12.0" customHeight="1">
      <c r="B470" s="260"/>
      <c r="C470" s="130"/>
    </row>
    <row r="471" ht="12.0" customHeight="1">
      <c r="B471" s="260"/>
      <c r="C471" s="130"/>
    </row>
    <row r="472" ht="12.0" customHeight="1">
      <c r="B472" s="260"/>
      <c r="C472" s="130"/>
    </row>
    <row r="473" ht="12.0" customHeight="1">
      <c r="B473" s="260"/>
      <c r="C473" s="130"/>
    </row>
    <row r="474" ht="12.0" customHeight="1">
      <c r="B474" s="260"/>
      <c r="C474" s="130"/>
    </row>
    <row r="475" ht="12.0" customHeight="1">
      <c r="B475" s="260"/>
      <c r="C475" s="130"/>
    </row>
    <row r="476" ht="12.0" customHeight="1">
      <c r="B476" s="260"/>
      <c r="C476" s="130"/>
    </row>
    <row r="477" ht="12.0" customHeight="1">
      <c r="B477" s="260"/>
      <c r="C477" s="130"/>
    </row>
    <row r="478" ht="12.0" customHeight="1">
      <c r="B478" s="260"/>
      <c r="C478" s="130"/>
    </row>
    <row r="479" ht="12.0" customHeight="1">
      <c r="B479" s="260"/>
      <c r="C479" s="130"/>
    </row>
    <row r="480" ht="12.0" customHeight="1">
      <c r="B480" s="260"/>
      <c r="C480" s="130"/>
    </row>
    <row r="481" ht="12.0" customHeight="1">
      <c r="B481" s="260"/>
      <c r="C481" s="130"/>
    </row>
    <row r="482" ht="12.0" customHeight="1">
      <c r="B482" s="260"/>
      <c r="C482" s="130"/>
    </row>
    <row r="483" ht="12.0" customHeight="1">
      <c r="B483" s="260"/>
      <c r="C483" s="130"/>
    </row>
    <row r="484" ht="12.0" customHeight="1">
      <c r="B484" s="260"/>
      <c r="C484" s="130"/>
    </row>
    <row r="485" ht="12.0" customHeight="1">
      <c r="B485" s="260"/>
      <c r="C485" s="130"/>
    </row>
    <row r="486" ht="12.0" customHeight="1">
      <c r="B486" s="260"/>
      <c r="C486" s="130"/>
    </row>
    <row r="487" ht="12.0" customHeight="1">
      <c r="B487" s="260"/>
      <c r="C487" s="130"/>
    </row>
    <row r="488" ht="12.0" customHeight="1">
      <c r="B488" s="260"/>
      <c r="C488" s="130"/>
    </row>
    <row r="489" ht="12.0" customHeight="1">
      <c r="B489" s="260"/>
      <c r="C489" s="130"/>
    </row>
    <row r="490" ht="12.0" customHeight="1">
      <c r="B490" s="260"/>
      <c r="C490" s="130"/>
    </row>
    <row r="491" ht="12.0" customHeight="1">
      <c r="B491" s="260"/>
      <c r="C491" s="130"/>
    </row>
    <row r="492" ht="12.0" customHeight="1">
      <c r="B492" s="260"/>
      <c r="C492" s="130"/>
    </row>
    <row r="493" ht="12.0" customHeight="1">
      <c r="B493" s="260"/>
      <c r="C493" s="130"/>
    </row>
    <row r="494" ht="12.0" customHeight="1">
      <c r="B494" s="260"/>
      <c r="C494" s="130"/>
    </row>
    <row r="495" ht="12.0" customHeight="1">
      <c r="B495" s="260"/>
      <c r="C495" s="130"/>
    </row>
    <row r="496" ht="12.0" customHeight="1">
      <c r="B496" s="260"/>
      <c r="C496" s="130"/>
    </row>
    <row r="497" ht="12.0" customHeight="1">
      <c r="B497" s="260"/>
      <c r="C497" s="130"/>
    </row>
    <row r="498" ht="12.0" customHeight="1">
      <c r="B498" s="260"/>
      <c r="C498" s="130"/>
    </row>
    <row r="499" ht="12.0" customHeight="1">
      <c r="B499" s="260"/>
      <c r="C499" s="130"/>
    </row>
    <row r="500" ht="12.0" customHeight="1">
      <c r="B500" s="260"/>
      <c r="C500" s="130"/>
    </row>
    <row r="501" ht="12.0" customHeight="1">
      <c r="B501" s="260"/>
      <c r="C501" s="130"/>
    </row>
    <row r="502" ht="12.0" customHeight="1">
      <c r="B502" s="260"/>
      <c r="C502" s="130"/>
    </row>
    <row r="503" ht="12.0" customHeight="1">
      <c r="B503" s="260"/>
      <c r="C503" s="130"/>
    </row>
    <row r="504" ht="12.0" customHeight="1">
      <c r="B504" s="260"/>
      <c r="C504" s="130"/>
    </row>
    <row r="505" ht="12.0" customHeight="1">
      <c r="B505" s="260"/>
      <c r="C505" s="130"/>
    </row>
    <row r="506" ht="12.0" customHeight="1">
      <c r="B506" s="260"/>
      <c r="C506" s="130"/>
    </row>
    <row r="507" ht="12.0" customHeight="1">
      <c r="B507" s="260"/>
      <c r="C507" s="130"/>
    </row>
    <row r="508" ht="12.0" customHeight="1">
      <c r="B508" s="260"/>
      <c r="C508" s="130"/>
    </row>
    <row r="509" ht="12.0" customHeight="1">
      <c r="B509" s="260"/>
      <c r="C509" s="130"/>
    </row>
    <row r="510" ht="12.0" customHeight="1">
      <c r="B510" s="260"/>
      <c r="C510" s="130"/>
    </row>
    <row r="511" ht="12.0" customHeight="1">
      <c r="B511" s="260"/>
      <c r="C511" s="130"/>
    </row>
    <row r="512" ht="12.0" customHeight="1">
      <c r="B512" s="260"/>
      <c r="C512" s="130"/>
    </row>
    <row r="513" ht="12.0" customHeight="1">
      <c r="B513" s="260"/>
      <c r="C513" s="130"/>
    </row>
    <row r="514" ht="12.0" customHeight="1">
      <c r="B514" s="260"/>
      <c r="C514" s="130"/>
    </row>
    <row r="515" ht="12.0" customHeight="1">
      <c r="B515" s="260"/>
      <c r="C515" s="130"/>
    </row>
    <row r="516" ht="12.0" customHeight="1">
      <c r="B516" s="260"/>
      <c r="C516" s="130"/>
    </row>
    <row r="517" ht="12.0" customHeight="1">
      <c r="B517" s="260"/>
      <c r="C517" s="130"/>
    </row>
    <row r="518" ht="12.0" customHeight="1">
      <c r="B518" s="260"/>
      <c r="C518" s="130"/>
    </row>
    <row r="519" ht="12.0" customHeight="1">
      <c r="B519" s="260"/>
      <c r="C519" s="130"/>
    </row>
    <row r="520" ht="12.0" customHeight="1">
      <c r="B520" s="260"/>
      <c r="C520" s="130"/>
    </row>
    <row r="521" ht="12.0" customHeight="1">
      <c r="B521" s="260"/>
      <c r="C521" s="130"/>
    </row>
    <row r="522" ht="12.0" customHeight="1">
      <c r="B522" s="260"/>
      <c r="C522" s="130"/>
    </row>
    <row r="523" ht="12.0" customHeight="1">
      <c r="B523" s="260"/>
      <c r="C523" s="130"/>
    </row>
    <row r="524" ht="12.0" customHeight="1">
      <c r="B524" s="260"/>
      <c r="C524" s="130"/>
    </row>
    <row r="525" ht="12.0" customHeight="1">
      <c r="B525" s="260"/>
      <c r="C525" s="130"/>
    </row>
    <row r="526" ht="12.0" customHeight="1">
      <c r="B526" s="260"/>
      <c r="C526" s="130"/>
    </row>
    <row r="527" ht="12.0" customHeight="1">
      <c r="B527" s="260"/>
      <c r="C527" s="130"/>
    </row>
    <row r="528" ht="12.0" customHeight="1">
      <c r="B528" s="260"/>
      <c r="C528" s="130"/>
    </row>
    <row r="529" ht="12.0" customHeight="1">
      <c r="B529" s="260"/>
      <c r="C529" s="130"/>
    </row>
    <row r="530" ht="12.0" customHeight="1">
      <c r="B530" s="260"/>
      <c r="C530" s="130"/>
    </row>
    <row r="531" ht="12.0" customHeight="1">
      <c r="B531" s="260"/>
      <c r="C531" s="130"/>
    </row>
    <row r="532" ht="12.0" customHeight="1">
      <c r="B532" s="260"/>
      <c r="C532" s="130"/>
    </row>
    <row r="533" ht="12.0" customHeight="1">
      <c r="B533" s="260"/>
      <c r="C533" s="130"/>
    </row>
    <row r="534" ht="12.0" customHeight="1">
      <c r="B534" s="260"/>
      <c r="C534" s="130"/>
    </row>
    <row r="535" ht="12.0" customHeight="1">
      <c r="B535" s="260"/>
      <c r="C535" s="130"/>
    </row>
    <row r="536" ht="12.0" customHeight="1">
      <c r="B536" s="260"/>
      <c r="C536" s="130"/>
    </row>
    <row r="537" ht="12.0" customHeight="1">
      <c r="B537" s="260"/>
      <c r="C537" s="130"/>
    </row>
    <row r="538" ht="12.0" customHeight="1">
      <c r="B538" s="260"/>
      <c r="C538" s="130"/>
    </row>
    <row r="539" ht="12.0" customHeight="1">
      <c r="B539" s="260"/>
      <c r="C539" s="130"/>
    </row>
    <row r="540" ht="12.0" customHeight="1">
      <c r="B540" s="260"/>
      <c r="C540" s="130"/>
    </row>
    <row r="541" ht="12.0" customHeight="1">
      <c r="B541" s="260"/>
      <c r="C541" s="130"/>
    </row>
    <row r="542" ht="12.0" customHeight="1">
      <c r="B542" s="260"/>
      <c r="C542" s="130"/>
    </row>
    <row r="543" ht="12.0" customHeight="1">
      <c r="B543" s="260"/>
      <c r="C543" s="130"/>
    </row>
    <row r="544" ht="12.0" customHeight="1">
      <c r="B544" s="260"/>
      <c r="C544" s="130"/>
    </row>
    <row r="545" ht="12.0" customHeight="1">
      <c r="B545" s="260"/>
      <c r="C545" s="130"/>
    </row>
    <row r="546" ht="12.0" customHeight="1">
      <c r="B546" s="260"/>
      <c r="C546" s="130"/>
    </row>
    <row r="547" ht="12.0" customHeight="1">
      <c r="B547" s="260"/>
      <c r="C547" s="130"/>
    </row>
    <row r="548" ht="12.0" customHeight="1">
      <c r="B548" s="260"/>
      <c r="C548" s="130"/>
    </row>
    <row r="549" ht="12.0" customHeight="1">
      <c r="B549" s="260"/>
      <c r="C549" s="130"/>
    </row>
    <row r="550" ht="12.0" customHeight="1">
      <c r="B550" s="260"/>
      <c r="C550" s="130"/>
    </row>
    <row r="551" ht="12.0" customHeight="1">
      <c r="B551" s="260"/>
      <c r="C551" s="130"/>
    </row>
    <row r="552" ht="12.0" customHeight="1">
      <c r="B552" s="260"/>
      <c r="C552" s="130"/>
    </row>
    <row r="553" ht="12.0" customHeight="1">
      <c r="B553" s="260"/>
      <c r="C553" s="130"/>
    </row>
    <row r="554" ht="12.0" customHeight="1">
      <c r="B554" s="260"/>
      <c r="C554" s="130"/>
    </row>
    <row r="555" ht="12.0" customHeight="1">
      <c r="B555" s="260"/>
      <c r="C555" s="130"/>
    </row>
    <row r="556" ht="12.0" customHeight="1">
      <c r="B556" s="260"/>
      <c r="C556" s="130"/>
    </row>
    <row r="557" ht="12.0" customHeight="1">
      <c r="B557" s="260"/>
      <c r="C557" s="130"/>
    </row>
    <row r="558" ht="12.0" customHeight="1">
      <c r="B558" s="260"/>
      <c r="C558" s="130"/>
    </row>
    <row r="559" ht="12.0" customHeight="1">
      <c r="B559" s="260"/>
      <c r="C559" s="130"/>
    </row>
    <row r="560" ht="12.0" customHeight="1">
      <c r="B560" s="260"/>
      <c r="C560" s="130"/>
    </row>
    <row r="561" ht="12.0" customHeight="1">
      <c r="B561" s="260"/>
      <c r="C561" s="130"/>
    </row>
    <row r="562" ht="12.0" customHeight="1">
      <c r="B562" s="260"/>
      <c r="C562" s="130"/>
    </row>
    <row r="563" ht="12.0" customHeight="1">
      <c r="B563" s="260"/>
      <c r="C563" s="130"/>
    </row>
    <row r="564" ht="12.0" customHeight="1">
      <c r="B564" s="260"/>
      <c r="C564" s="130"/>
    </row>
    <row r="565" ht="12.0" customHeight="1">
      <c r="B565" s="260"/>
      <c r="C565" s="130"/>
    </row>
    <row r="566" ht="12.0" customHeight="1">
      <c r="B566" s="260"/>
      <c r="C566" s="130"/>
    </row>
    <row r="567" ht="12.0" customHeight="1">
      <c r="B567" s="260"/>
      <c r="C567" s="130"/>
    </row>
    <row r="568" ht="12.0" customHeight="1">
      <c r="B568" s="260"/>
      <c r="C568" s="130"/>
    </row>
    <row r="569" ht="12.0" customHeight="1">
      <c r="B569" s="260"/>
      <c r="C569" s="130"/>
    </row>
    <row r="570" ht="12.0" customHeight="1">
      <c r="B570" s="260"/>
      <c r="C570" s="130"/>
    </row>
    <row r="571" ht="12.0" customHeight="1">
      <c r="B571" s="260"/>
      <c r="C571" s="130"/>
    </row>
    <row r="572" ht="12.0" customHeight="1">
      <c r="B572" s="260"/>
      <c r="C572" s="130"/>
    </row>
    <row r="573" ht="12.0" customHeight="1">
      <c r="B573" s="260"/>
      <c r="C573" s="130"/>
    </row>
    <row r="574" ht="12.0" customHeight="1">
      <c r="B574" s="260"/>
      <c r="C574" s="130"/>
    </row>
    <row r="575" ht="12.0" customHeight="1">
      <c r="B575" s="260"/>
      <c r="C575" s="130"/>
    </row>
    <row r="576" ht="12.0" customHeight="1">
      <c r="B576" s="260"/>
      <c r="C576" s="130"/>
    </row>
    <row r="577" ht="12.0" customHeight="1">
      <c r="B577" s="260"/>
      <c r="C577" s="130"/>
    </row>
    <row r="578" ht="12.0" customHeight="1">
      <c r="B578" s="260"/>
      <c r="C578" s="130"/>
    </row>
    <row r="579" ht="12.0" customHeight="1">
      <c r="B579" s="260"/>
      <c r="C579" s="130"/>
    </row>
    <row r="580" ht="12.0" customHeight="1">
      <c r="B580" s="260"/>
      <c r="C580" s="130"/>
    </row>
    <row r="581" ht="12.0" customHeight="1">
      <c r="B581" s="260"/>
      <c r="C581" s="130"/>
    </row>
    <row r="582" ht="12.0" customHeight="1">
      <c r="B582" s="260"/>
      <c r="C582" s="130"/>
    </row>
    <row r="583" ht="12.0" customHeight="1">
      <c r="B583" s="260"/>
      <c r="C583" s="130"/>
    </row>
    <row r="584" ht="12.0" customHeight="1">
      <c r="B584" s="260"/>
      <c r="C584" s="130"/>
    </row>
    <row r="585" ht="12.0" customHeight="1">
      <c r="B585" s="260"/>
      <c r="C585" s="130"/>
    </row>
    <row r="586" ht="12.0" customHeight="1">
      <c r="B586" s="260"/>
      <c r="C586" s="130"/>
    </row>
    <row r="587" ht="12.0" customHeight="1">
      <c r="B587" s="260"/>
      <c r="C587" s="130"/>
    </row>
    <row r="588" ht="12.0" customHeight="1">
      <c r="B588" s="260"/>
      <c r="C588" s="130"/>
    </row>
    <row r="589" ht="12.0" customHeight="1">
      <c r="B589" s="260"/>
      <c r="C589" s="130"/>
    </row>
    <row r="590" ht="12.0" customHeight="1">
      <c r="B590" s="260"/>
      <c r="C590" s="130"/>
    </row>
    <row r="591" ht="12.0" customHeight="1">
      <c r="B591" s="260"/>
      <c r="C591" s="130"/>
    </row>
    <row r="592" ht="12.0" customHeight="1">
      <c r="B592" s="260"/>
      <c r="C592" s="130"/>
    </row>
    <row r="593" ht="12.0" customHeight="1">
      <c r="B593" s="260"/>
      <c r="C593" s="130"/>
    </row>
    <row r="594" ht="12.0" customHeight="1">
      <c r="B594" s="260"/>
      <c r="C594" s="130"/>
    </row>
    <row r="595" ht="12.0" customHeight="1">
      <c r="B595" s="260"/>
      <c r="C595" s="130"/>
    </row>
    <row r="596" ht="12.0" customHeight="1">
      <c r="B596" s="260"/>
      <c r="C596" s="130"/>
    </row>
    <row r="597" ht="12.0" customHeight="1">
      <c r="B597" s="260"/>
      <c r="C597" s="130"/>
    </row>
    <row r="598" ht="12.0" customHeight="1">
      <c r="B598" s="260"/>
      <c r="C598" s="130"/>
    </row>
    <row r="599" ht="12.0" customHeight="1">
      <c r="B599" s="260"/>
      <c r="C599" s="130"/>
    </row>
    <row r="600" ht="12.0" customHeight="1">
      <c r="B600" s="260"/>
      <c r="C600" s="130"/>
    </row>
    <row r="601" ht="12.0" customHeight="1">
      <c r="B601" s="260"/>
      <c r="C601" s="130"/>
    </row>
    <row r="602" ht="12.0" customHeight="1">
      <c r="B602" s="260"/>
      <c r="C602" s="130"/>
    </row>
    <row r="603" ht="12.0" customHeight="1">
      <c r="B603" s="260"/>
      <c r="C603" s="130"/>
    </row>
    <row r="604" ht="12.0" customHeight="1">
      <c r="B604" s="260"/>
      <c r="C604" s="130"/>
    </row>
    <row r="605" ht="12.0" customHeight="1">
      <c r="B605" s="260"/>
      <c r="C605" s="130"/>
    </row>
    <row r="606" ht="12.0" customHeight="1">
      <c r="B606" s="260"/>
      <c r="C606" s="130"/>
    </row>
    <row r="607" ht="12.0" customHeight="1">
      <c r="B607" s="260"/>
      <c r="C607" s="130"/>
    </row>
    <row r="608" ht="12.0" customHeight="1">
      <c r="B608" s="260"/>
      <c r="C608" s="130"/>
    </row>
    <row r="609" ht="12.0" customHeight="1">
      <c r="B609" s="260"/>
      <c r="C609" s="130"/>
    </row>
    <row r="610" ht="12.0" customHeight="1">
      <c r="B610" s="260"/>
      <c r="C610" s="130"/>
    </row>
    <row r="611" ht="12.0" customHeight="1">
      <c r="B611" s="260"/>
      <c r="C611" s="130"/>
    </row>
    <row r="612" ht="12.0" customHeight="1">
      <c r="B612" s="260"/>
      <c r="C612" s="130"/>
    </row>
    <row r="613" ht="12.0" customHeight="1">
      <c r="B613" s="260"/>
      <c r="C613" s="130"/>
    </row>
    <row r="614" ht="12.0" customHeight="1">
      <c r="B614" s="260"/>
      <c r="C614" s="130"/>
    </row>
    <row r="615" ht="12.0" customHeight="1">
      <c r="B615" s="260"/>
      <c r="C615" s="130"/>
    </row>
    <row r="616" ht="12.0" customHeight="1">
      <c r="B616" s="260"/>
      <c r="C616" s="130"/>
    </row>
    <row r="617" ht="12.0" customHeight="1">
      <c r="B617" s="260"/>
      <c r="C617" s="130"/>
    </row>
    <row r="618" ht="12.0" customHeight="1">
      <c r="B618" s="260"/>
      <c r="C618" s="130"/>
    </row>
    <row r="619" ht="12.0" customHeight="1">
      <c r="B619" s="260"/>
      <c r="C619" s="130"/>
    </row>
    <row r="620" ht="12.0" customHeight="1">
      <c r="B620" s="260"/>
      <c r="C620" s="130"/>
    </row>
    <row r="621" ht="12.0" customHeight="1">
      <c r="B621" s="260"/>
      <c r="C621" s="130"/>
    </row>
    <row r="622" ht="12.0" customHeight="1">
      <c r="B622" s="260"/>
      <c r="C622" s="130"/>
    </row>
    <row r="623" ht="12.0" customHeight="1">
      <c r="B623" s="260"/>
      <c r="C623" s="130"/>
    </row>
    <row r="624" ht="12.0" customHeight="1">
      <c r="B624" s="260"/>
      <c r="C624" s="130"/>
    </row>
    <row r="625" ht="12.0" customHeight="1">
      <c r="B625" s="260"/>
      <c r="C625" s="130"/>
    </row>
    <row r="626" ht="12.0" customHeight="1">
      <c r="B626" s="260"/>
      <c r="C626" s="130"/>
    </row>
    <row r="627" ht="12.0" customHeight="1">
      <c r="B627" s="260"/>
      <c r="C627" s="130"/>
    </row>
    <row r="628" ht="12.0" customHeight="1">
      <c r="B628" s="260"/>
      <c r="C628" s="130"/>
    </row>
    <row r="629" ht="12.0" customHeight="1">
      <c r="B629" s="260"/>
      <c r="C629" s="130"/>
    </row>
    <row r="630" ht="12.0" customHeight="1">
      <c r="B630" s="260"/>
      <c r="C630" s="130"/>
    </row>
    <row r="631" ht="12.0" customHeight="1">
      <c r="B631" s="260"/>
      <c r="C631" s="130"/>
    </row>
    <row r="632" ht="12.0" customHeight="1">
      <c r="B632" s="260"/>
      <c r="C632" s="130"/>
    </row>
    <row r="633" ht="12.0" customHeight="1">
      <c r="B633" s="260"/>
      <c r="C633" s="130"/>
    </row>
    <row r="634" ht="12.0" customHeight="1">
      <c r="B634" s="260"/>
      <c r="C634" s="130"/>
    </row>
    <row r="635" ht="12.0" customHeight="1">
      <c r="B635" s="260"/>
      <c r="C635" s="130"/>
    </row>
    <row r="636" ht="12.0" customHeight="1">
      <c r="B636" s="260"/>
      <c r="C636" s="130"/>
    </row>
    <row r="637" ht="12.0" customHeight="1">
      <c r="B637" s="260"/>
      <c r="C637" s="130"/>
    </row>
    <row r="638" ht="12.0" customHeight="1">
      <c r="B638" s="260"/>
      <c r="C638" s="130"/>
    </row>
    <row r="639" ht="12.0" customHeight="1">
      <c r="B639" s="260"/>
      <c r="C639" s="130"/>
    </row>
    <row r="640" ht="12.0" customHeight="1">
      <c r="B640" s="260"/>
      <c r="C640" s="130"/>
    </row>
    <row r="641" ht="12.0" customHeight="1">
      <c r="B641" s="260"/>
      <c r="C641" s="130"/>
    </row>
    <row r="642" ht="12.0" customHeight="1">
      <c r="B642" s="260"/>
      <c r="C642" s="130"/>
    </row>
    <row r="643" ht="12.0" customHeight="1">
      <c r="B643" s="260"/>
      <c r="C643" s="130"/>
    </row>
    <row r="644" ht="12.0" customHeight="1">
      <c r="B644" s="260"/>
      <c r="C644" s="130"/>
    </row>
    <row r="645" ht="12.0" customHeight="1">
      <c r="B645" s="260"/>
      <c r="C645" s="130"/>
    </row>
    <row r="646" ht="12.0" customHeight="1">
      <c r="B646" s="260"/>
      <c r="C646" s="130"/>
    </row>
    <row r="647" ht="12.0" customHeight="1">
      <c r="B647" s="260"/>
      <c r="C647" s="130"/>
    </row>
    <row r="648" ht="12.0" customHeight="1">
      <c r="B648" s="260"/>
      <c r="C648" s="130"/>
    </row>
    <row r="649" ht="12.0" customHeight="1">
      <c r="B649" s="260"/>
      <c r="C649" s="130"/>
    </row>
    <row r="650" ht="12.0" customHeight="1">
      <c r="B650" s="260"/>
      <c r="C650" s="130"/>
    </row>
    <row r="651" ht="12.0" customHeight="1">
      <c r="B651" s="260"/>
      <c r="C651" s="130"/>
    </row>
    <row r="652" ht="12.0" customHeight="1">
      <c r="B652" s="260"/>
      <c r="C652" s="130"/>
    </row>
    <row r="653" ht="12.0" customHeight="1">
      <c r="B653" s="260"/>
      <c r="C653" s="130"/>
    </row>
    <row r="654" ht="12.0" customHeight="1">
      <c r="B654" s="260"/>
      <c r="C654" s="130"/>
    </row>
    <row r="655" ht="12.0" customHeight="1">
      <c r="B655" s="260"/>
      <c r="C655" s="130"/>
    </row>
    <row r="656" ht="12.0" customHeight="1">
      <c r="B656" s="260"/>
      <c r="C656" s="130"/>
    </row>
    <row r="657" ht="12.0" customHeight="1">
      <c r="B657" s="260"/>
      <c r="C657" s="130"/>
    </row>
    <row r="658" ht="12.0" customHeight="1">
      <c r="B658" s="260"/>
      <c r="C658" s="130"/>
    </row>
    <row r="659" ht="12.0" customHeight="1">
      <c r="B659" s="260"/>
      <c r="C659" s="130"/>
    </row>
    <row r="660" ht="12.0" customHeight="1">
      <c r="B660" s="260"/>
      <c r="C660" s="130"/>
    </row>
    <row r="661" ht="12.0" customHeight="1">
      <c r="B661" s="260"/>
      <c r="C661" s="130"/>
    </row>
    <row r="662" ht="12.0" customHeight="1">
      <c r="B662" s="260"/>
      <c r="C662" s="130"/>
    </row>
    <row r="663" ht="12.0" customHeight="1">
      <c r="B663" s="260"/>
      <c r="C663" s="130"/>
    </row>
    <row r="664" ht="12.0" customHeight="1">
      <c r="B664" s="260"/>
      <c r="C664" s="130"/>
    </row>
    <row r="665" ht="12.0" customHeight="1">
      <c r="B665" s="260"/>
      <c r="C665" s="130"/>
    </row>
    <row r="666" ht="12.0" customHeight="1">
      <c r="B666" s="260"/>
      <c r="C666" s="130"/>
    </row>
    <row r="667" ht="12.0" customHeight="1">
      <c r="B667" s="260"/>
      <c r="C667" s="130"/>
    </row>
    <row r="668" ht="12.0" customHeight="1">
      <c r="B668" s="260"/>
      <c r="C668" s="130"/>
    </row>
    <row r="669" ht="12.0" customHeight="1">
      <c r="B669" s="260"/>
      <c r="C669" s="130"/>
    </row>
    <row r="670" ht="12.0" customHeight="1">
      <c r="B670" s="260"/>
      <c r="C670" s="130"/>
    </row>
    <row r="671" ht="12.0" customHeight="1">
      <c r="B671" s="260"/>
      <c r="C671" s="130"/>
    </row>
    <row r="672" ht="12.0" customHeight="1">
      <c r="B672" s="260"/>
      <c r="C672" s="130"/>
    </row>
    <row r="673" ht="12.0" customHeight="1">
      <c r="B673" s="260"/>
      <c r="C673" s="130"/>
    </row>
    <row r="674" ht="12.0" customHeight="1">
      <c r="B674" s="260"/>
      <c r="C674" s="130"/>
    </row>
    <row r="675" ht="12.0" customHeight="1">
      <c r="B675" s="260"/>
      <c r="C675" s="130"/>
    </row>
    <row r="676" ht="12.0" customHeight="1">
      <c r="B676" s="260"/>
      <c r="C676" s="130"/>
    </row>
    <row r="677" ht="12.0" customHeight="1">
      <c r="B677" s="260"/>
      <c r="C677" s="130"/>
    </row>
    <row r="678" ht="12.0" customHeight="1">
      <c r="B678" s="260"/>
      <c r="C678" s="130"/>
    </row>
    <row r="679" ht="12.0" customHeight="1">
      <c r="B679" s="260"/>
      <c r="C679" s="130"/>
    </row>
    <row r="680" ht="12.0" customHeight="1">
      <c r="B680" s="260"/>
      <c r="C680" s="130"/>
    </row>
    <row r="681" ht="12.0" customHeight="1">
      <c r="B681" s="260"/>
      <c r="C681" s="130"/>
    </row>
    <row r="682" ht="12.0" customHeight="1">
      <c r="B682" s="260"/>
      <c r="C682" s="130"/>
    </row>
    <row r="683" ht="12.0" customHeight="1">
      <c r="B683" s="260"/>
      <c r="C683" s="130"/>
    </row>
    <row r="684" ht="12.0" customHeight="1">
      <c r="B684" s="260"/>
      <c r="C684" s="130"/>
    </row>
    <row r="685" ht="12.0" customHeight="1">
      <c r="B685" s="260"/>
      <c r="C685" s="130"/>
    </row>
    <row r="686" ht="12.0" customHeight="1">
      <c r="B686" s="260"/>
      <c r="C686" s="130"/>
    </row>
    <row r="687" ht="12.0" customHeight="1">
      <c r="B687" s="260"/>
      <c r="C687" s="130"/>
    </row>
    <row r="688" ht="12.0" customHeight="1">
      <c r="B688" s="260"/>
      <c r="C688" s="130"/>
    </row>
    <row r="689" ht="12.0" customHeight="1">
      <c r="B689" s="260"/>
      <c r="C689" s="130"/>
    </row>
    <row r="690" ht="12.0" customHeight="1">
      <c r="B690" s="260"/>
      <c r="C690" s="130"/>
    </row>
    <row r="691" ht="12.0" customHeight="1">
      <c r="B691" s="260"/>
      <c r="C691" s="130"/>
    </row>
    <row r="692" ht="12.0" customHeight="1">
      <c r="B692" s="260"/>
      <c r="C692" s="130"/>
    </row>
    <row r="693" ht="12.0" customHeight="1">
      <c r="B693" s="260"/>
      <c r="C693" s="130"/>
    </row>
    <row r="694" ht="12.0" customHeight="1">
      <c r="B694" s="260"/>
      <c r="C694" s="130"/>
    </row>
    <row r="695" ht="12.0" customHeight="1">
      <c r="B695" s="260"/>
      <c r="C695" s="130"/>
    </row>
    <row r="696" ht="12.0" customHeight="1">
      <c r="B696" s="260"/>
      <c r="C696" s="130"/>
    </row>
    <row r="697" ht="12.0" customHeight="1">
      <c r="B697" s="260"/>
      <c r="C697" s="130"/>
    </row>
    <row r="698" ht="12.0" customHeight="1">
      <c r="B698" s="260"/>
      <c r="C698" s="130"/>
    </row>
    <row r="699" ht="12.0" customHeight="1">
      <c r="B699" s="260"/>
      <c r="C699" s="130"/>
    </row>
    <row r="700" ht="12.0" customHeight="1">
      <c r="B700" s="260"/>
      <c r="C700" s="130"/>
    </row>
    <row r="701" ht="12.0" customHeight="1">
      <c r="B701" s="260"/>
      <c r="C701" s="130"/>
    </row>
    <row r="702" ht="12.0" customHeight="1">
      <c r="B702" s="260"/>
      <c r="C702" s="130"/>
    </row>
    <row r="703" ht="12.0" customHeight="1">
      <c r="B703" s="260"/>
      <c r="C703" s="130"/>
    </row>
    <row r="704" ht="12.0" customHeight="1">
      <c r="B704" s="260"/>
      <c r="C704" s="130"/>
    </row>
    <row r="705" ht="12.0" customHeight="1">
      <c r="B705" s="260"/>
      <c r="C705" s="130"/>
    </row>
    <row r="706" ht="12.0" customHeight="1">
      <c r="B706" s="260"/>
      <c r="C706" s="130"/>
    </row>
    <row r="707" ht="12.0" customHeight="1">
      <c r="B707" s="260"/>
      <c r="C707" s="130"/>
    </row>
    <row r="708" ht="12.0" customHeight="1">
      <c r="B708" s="260"/>
      <c r="C708" s="130"/>
    </row>
    <row r="709" ht="12.0" customHeight="1">
      <c r="B709" s="260"/>
      <c r="C709" s="130"/>
    </row>
    <row r="710" ht="12.0" customHeight="1">
      <c r="B710" s="260"/>
      <c r="C710" s="130"/>
    </row>
    <row r="711" ht="12.0" customHeight="1">
      <c r="B711" s="260"/>
      <c r="C711" s="130"/>
    </row>
    <row r="712" ht="12.0" customHeight="1">
      <c r="B712" s="260"/>
      <c r="C712" s="130"/>
    </row>
    <row r="713" ht="12.0" customHeight="1">
      <c r="B713" s="260"/>
      <c r="C713" s="130"/>
    </row>
    <row r="714" ht="12.0" customHeight="1">
      <c r="B714" s="260"/>
      <c r="C714" s="130"/>
    </row>
    <row r="715" ht="12.0" customHeight="1">
      <c r="B715" s="260"/>
      <c r="C715" s="130"/>
    </row>
    <row r="716" ht="12.0" customHeight="1">
      <c r="B716" s="260"/>
      <c r="C716" s="130"/>
    </row>
    <row r="717" ht="12.0" customHeight="1">
      <c r="B717" s="260"/>
      <c r="C717" s="130"/>
    </row>
    <row r="718" ht="12.0" customHeight="1">
      <c r="B718" s="260"/>
      <c r="C718" s="130"/>
    </row>
    <row r="719" ht="12.0" customHeight="1">
      <c r="B719" s="260"/>
      <c r="C719" s="130"/>
    </row>
    <row r="720" ht="12.0" customHeight="1">
      <c r="B720" s="260"/>
      <c r="C720" s="130"/>
    </row>
    <row r="721" ht="12.0" customHeight="1">
      <c r="B721" s="260"/>
      <c r="C721" s="130"/>
    </row>
    <row r="722" ht="12.0" customHeight="1">
      <c r="B722" s="260"/>
      <c r="C722" s="130"/>
    </row>
    <row r="723" ht="12.0" customHeight="1">
      <c r="B723" s="260"/>
      <c r="C723" s="130"/>
    </row>
    <row r="724" ht="12.0" customHeight="1">
      <c r="B724" s="260"/>
      <c r="C724" s="130"/>
    </row>
    <row r="725" ht="12.0" customHeight="1">
      <c r="B725" s="260"/>
      <c r="C725" s="130"/>
    </row>
    <row r="726" ht="12.0" customHeight="1">
      <c r="B726" s="260"/>
      <c r="C726" s="130"/>
    </row>
    <row r="727" ht="12.0" customHeight="1">
      <c r="B727" s="260"/>
      <c r="C727" s="130"/>
    </row>
    <row r="728" ht="12.0" customHeight="1">
      <c r="B728" s="260"/>
      <c r="C728" s="130"/>
    </row>
    <row r="729" ht="12.0" customHeight="1">
      <c r="B729" s="260"/>
      <c r="C729" s="130"/>
    </row>
    <row r="730" ht="12.0" customHeight="1">
      <c r="B730" s="260"/>
      <c r="C730" s="130"/>
    </row>
    <row r="731" ht="12.0" customHeight="1">
      <c r="B731" s="260"/>
      <c r="C731" s="130"/>
    </row>
    <row r="732" ht="12.0" customHeight="1">
      <c r="B732" s="260"/>
      <c r="C732" s="130"/>
    </row>
    <row r="733" ht="12.0" customHeight="1">
      <c r="B733" s="260"/>
      <c r="C733" s="130"/>
    </row>
    <row r="734" ht="12.0" customHeight="1">
      <c r="B734" s="260"/>
      <c r="C734" s="130"/>
    </row>
    <row r="735" ht="12.0" customHeight="1">
      <c r="B735" s="260"/>
      <c r="C735" s="130"/>
    </row>
    <row r="736" ht="12.0" customHeight="1">
      <c r="B736" s="260"/>
      <c r="C736" s="130"/>
    </row>
    <row r="737" ht="12.0" customHeight="1">
      <c r="B737" s="260"/>
      <c r="C737" s="130"/>
    </row>
    <row r="738" ht="12.0" customHeight="1">
      <c r="B738" s="260"/>
      <c r="C738" s="130"/>
    </row>
    <row r="739" ht="12.0" customHeight="1">
      <c r="B739" s="260"/>
      <c r="C739" s="130"/>
    </row>
    <row r="740" ht="12.0" customHeight="1">
      <c r="B740" s="260"/>
      <c r="C740" s="130"/>
    </row>
    <row r="741" ht="12.0" customHeight="1">
      <c r="B741" s="260"/>
      <c r="C741" s="130"/>
    </row>
    <row r="742" ht="12.0" customHeight="1">
      <c r="B742" s="260"/>
      <c r="C742" s="130"/>
    </row>
    <row r="743" ht="12.0" customHeight="1">
      <c r="B743" s="260"/>
      <c r="C743" s="130"/>
    </row>
    <row r="744" ht="12.0" customHeight="1">
      <c r="B744" s="260"/>
      <c r="C744" s="130"/>
    </row>
    <row r="745" ht="12.0" customHeight="1">
      <c r="B745" s="260"/>
      <c r="C745" s="130"/>
    </row>
    <row r="746" ht="12.0" customHeight="1">
      <c r="B746" s="260"/>
      <c r="C746" s="130"/>
    </row>
    <row r="747" ht="12.0" customHeight="1">
      <c r="B747" s="260"/>
      <c r="C747" s="130"/>
    </row>
    <row r="748" ht="12.0" customHeight="1">
      <c r="B748" s="260"/>
      <c r="C748" s="130"/>
    </row>
    <row r="749" ht="12.0" customHeight="1">
      <c r="B749" s="260"/>
      <c r="C749" s="130"/>
    </row>
    <row r="750" ht="12.0" customHeight="1">
      <c r="B750" s="260"/>
      <c r="C750" s="130"/>
    </row>
    <row r="751" ht="12.0" customHeight="1">
      <c r="B751" s="260"/>
      <c r="C751" s="130"/>
    </row>
    <row r="752" ht="12.0" customHeight="1">
      <c r="B752" s="260"/>
      <c r="C752" s="130"/>
    </row>
    <row r="753" ht="12.0" customHeight="1">
      <c r="B753" s="260"/>
      <c r="C753" s="130"/>
    </row>
    <row r="754" ht="12.0" customHeight="1">
      <c r="B754" s="260"/>
      <c r="C754" s="130"/>
    </row>
    <row r="755" ht="12.0" customHeight="1">
      <c r="B755" s="260"/>
      <c r="C755" s="130"/>
    </row>
    <row r="756" ht="12.0" customHeight="1">
      <c r="B756" s="260"/>
      <c r="C756" s="130"/>
    </row>
    <row r="757" ht="12.0" customHeight="1">
      <c r="B757" s="260"/>
      <c r="C757" s="130"/>
    </row>
    <row r="758" ht="12.0" customHeight="1">
      <c r="B758" s="260"/>
      <c r="C758" s="130"/>
    </row>
    <row r="759" ht="12.0" customHeight="1">
      <c r="B759" s="260"/>
      <c r="C759" s="130"/>
    </row>
    <row r="760" ht="12.0" customHeight="1">
      <c r="B760" s="260"/>
      <c r="C760" s="130"/>
    </row>
    <row r="761" ht="12.0" customHeight="1">
      <c r="B761" s="260"/>
      <c r="C761" s="130"/>
    </row>
    <row r="762" ht="12.0" customHeight="1">
      <c r="B762" s="260"/>
      <c r="C762" s="130"/>
    </row>
    <row r="763" ht="12.0" customHeight="1">
      <c r="B763" s="260"/>
      <c r="C763" s="130"/>
    </row>
    <row r="764" ht="12.0" customHeight="1">
      <c r="B764" s="260"/>
      <c r="C764" s="130"/>
    </row>
    <row r="765" ht="12.0" customHeight="1">
      <c r="B765" s="260"/>
      <c r="C765" s="130"/>
    </row>
    <row r="766" ht="12.0" customHeight="1">
      <c r="B766" s="260"/>
      <c r="C766" s="130"/>
    </row>
    <row r="767" ht="12.0" customHeight="1">
      <c r="B767" s="260"/>
      <c r="C767" s="130"/>
    </row>
    <row r="768" ht="12.0" customHeight="1">
      <c r="B768" s="260"/>
      <c r="C768" s="130"/>
    </row>
    <row r="769" ht="12.0" customHeight="1">
      <c r="B769" s="260"/>
      <c r="C769" s="130"/>
    </row>
    <row r="770" ht="12.0" customHeight="1">
      <c r="B770" s="260"/>
      <c r="C770" s="130"/>
    </row>
    <row r="771" ht="12.0" customHeight="1">
      <c r="B771" s="260"/>
      <c r="C771" s="130"/>
    </row>
    <row r="772" ht="12.0" customHeight="1">
      <c r="B772" s="260"/>
      <c r="C772" s="130"/>
    </row>
    <row r="773" ht="12.0" customHeight="1">
      <c r="B773" s="260"/>
      <c r="C773" s="130"/>
    </row>
    <row r="774" ht="12.0" customHeight="1">
      <c r="B774" s="260"/>
      <c r="C774" s="130"/>
    </row>
    <row r="775" ht="12.0" customHeight="1">
      <c r="B775" s="260"/>
      <c r="C775" s="130"/>
    </row>
    <row r="776" ht="12.0" customHeight="1">
      <c r="B776" s="260"/>
      <c r="C776" s="130"/>
    </row>
    <row r="777" ht="12.0" customHeight="1">
      <c r="B777" s="260"/>
      <c r="C777" s="130"/>
    </row>
    <row r="778" ht="12.0" customHeight="1">
      <c r="B778" s="260"/>
      <c r="C778" s="130"/>
    </row>
    <row r="779" ht="12.0" customHeight="1">
      <c r="B779" s="260"/>
      <c r="C779" s="130"/>
    </row>
    <row r="780" ht="12.0" customHeight="1">
      <c r="B780" s="260"/>
      <c r="C780" s="130"/>
    </row>
    <row r="781" ht="12.0" customHeight="1">
      <c r="B781" s="260"/>
      <c r="C781" s="130"/>
    </row>
    <row r="782" ht="12.0" customHeight="1">
      <c r="B782" s="260"/>
      <c r="C782" s="130"/>
    </row>
    <row r="783" ht="12.0" customHeight="1">
      <c r="B783" s="260"/>
      <c r="C783" s="130"/>
    </row>
    <row r="784" ht="12.0" customHeight="1">
      <c r="B784" s="260"/>
      <c r="C784" s="130"/>
    </row>
    <row r="785" ht="12.0" customHeight="1">
      <c r="B785" s="260"/>
      <c r="C785" s="130"/>
    </row>
    <row r="786" ht="12.0" customHeight="1">
      <c r="B786" s="260"/>
      <c r="C786" s="130"/>
    </row>
    <row r="787" ht="12.0" customHeight="1">
      <c r="B787" s="260"/>
      <c r="C787" s="130"/>
    </row>
    <row r="788" ht="12.0" customHeight="1">
      <c r="B788" s="260"/>
      <c r="C788" s="130"/>
    </row>
    <row r="789" ht="12.0" customHeight="1">
      <c r="B789" s="260"/>
      <c r="C789" s="130"/>
    </row>
    <row r="790" ht="12.0" customHeight="1">
      <c r="B790" s="260"/>
      <c r="C790" s="130"/>
    </row>
    <row r="791" ht="12.0" customHeight="1">
      <c r="B791" s="260"/>
      <c r="C791" s="130"/>
    </row>
    <row r="792" ht="12.0" customHeight="1">
      <c r="B792" s="260"/>
      <c r="C792" s="130"/>
    </row>
    <row r="793" ht="12.0" customHeight="1">
      <c r="B793" s="260"/>
      <c r="C793" s="130"/>
    </row>
    <row r="794" ht="12.0" customHeight="1">
      <c r="B794" s="260"/>
      <c r="C794" s="130"/>
    </row>
    <row r="795" ht="12.0" customHeight="1">
      <c r="B795" s="260"/>
      <c r="C795" s="130"/>
    </row>
    <row r="796" ht="12.0" customHeight="1">
      <c r="B796" s="260"/>
      <c r="C796" s="130"/>
    </row>
    <row r="797" ht="12.0" customHeight="1">
      <c r="B797" s="260"/>
      <c r="C797" s="130"/>
    </row>
    <row r="798" ht="12.0" customHeight="1">
      <c r="B798" s="260"/>
      <c r="C798" s="130"/>
    </row>
    <row r="799" ht="12.0" customHeight="1">
      <c r="B799" s="260"/>
      <c r="C799" s="130"/>
    </row>
    <row r="800" ht="12.0" customHeight="1">
      <c r="B800" s="260"/>
      <c r="C800" s="130"/>
    </row>
    <row r="801" ht="12.0" customHeight="1">
      <c r="B801" s="260"/>
      <c r="C801" s="130"/>
    </row>
    <row r="802" ht="12.0" customHeight="1">
      <c r="B802" s="260"/>
      <c r="C802" s="130"/>
    </row>
    <row r="803" ht="12.0" customHeight="1">
      <c r="B803" s="260"/>
      <c r="C803" s="130"/>
    </row>
    <row r="804" ht="12.0" customHeight="1">
      <c r="B804" s="260"/>
      <c r="C804" s="130"/>
    </row>
    <row r="805" ht="12.0" customHeight="1">
      <c r="B805" s="260"/>
      <c r="C805" s="130"/>
    </row>
    <row r="806" ht="12.0" customHeight="1">
      <c r="B806" s="260"/>
      <c r="C806" s="130"/>
    </row>
    <row r="807" ht="12.0" customHeight="1">
      <c r="B807" s="260"/>
      <c r="C807" s="130"/>
    </row>
    <row r="808" ht="12.0" customHeight="1">
      <c r="B808" s="260"/>
      <c r="C808" s="130"/>
    </row>
    <row r="809" ht="12.0" customHeight="1">
      <c r="B809" s="260"/>
      <c r="C809" s="130"/>
    </row>
    <row r="810" ht="12.0" customHeight="1">
      <c r="B810" s="260"/>
      <c r="C810" s="130"/>
    </row>
    <row r="811" ht="12.0" customHeight="1">
      <c r="B811" s="260"/>
      <c r="C811" s="130"/>
    </row>
    <row r="812" ht="12.0" customHeight="1">
      <c r="B812" s="260"/>
      <c r="C812" s="130"/>
    </row>
    <row r="813" ht="12.0" customHeight="1">
      <c r="B813" s="260"/>
      <c r="C813" s="130"/>
    </row>
    <row r="814" ht="12.0" customHeight="1">
      <c r="B814" s="260"/>
      <c r="C814" s="130"/>
    </row>
    <row r="815" ht="12.0" customHeight="1">
      <c r="B815" s="260"/>
      <c r="C815" s="130"/>
    </row>
    <row r="816" ht="12.0" customHeight="1">
      <c r="B816" s="260"/>
      <c r="C816" s="130"/>
    </row>
    <row r="817" ht="12.0" customHeight="1">
      <c r="B817" s="260"/>
      <c r="C817" s="130"/>
    </row>
    <row r="818" ht="12.0" customHeight="1">
      <c r="B818" s="260"/>
      <c r="C818" s="130"/>
    </row>
    <row r="819" ht="12.0" customHeight="1">
      <c r="B819" s="260"/>
      <c r="C819" s="130"/>
    </row>
    <row r="820" ht="12.0" customHeight="1">
      <c r="B820" s="260"/>
      <c r="C820" s="130"/>
    </row>
    <row r="821" ht="12.0" customHeight="1">
      <c r="B821" s="260"/>
      <c r="C821" s="130"/>
    </row>
    <row r="822" ht="12.0" customHeight="1">
      <c r="B822" s="260"/>
      <c r="C822" s="130"/>
    </row>
    <row r="823" ht="12.0" customHeight="1">
      <c r="B823" s="260"/>
      <c r="C823" s="130"/>
    </row>
    <row r="824" ht="12.0" customHeight="1">
      <c r="B824" s="260"/>
      <c r="C824" s="130"/>
    </row>
    <row r="825" ht="12.0" customHeight="1">
      <c r="B825" s="260"/>
      <c r="C825" s="130"/>
    </row>
    <row r="826" ht="12.0" customHeight="1">
      <c r="B826" s="260"/>
      <c r="C826" s="130"/>
    </row>
    <row r="827" ht="12.0" customHeight="1">
      <c r="B827" s="260"/>
      <c r="C827" s="130"/>
    </row>
    <row r="828" ht="12.0" customHeight="1">
      <c r="B828" s="260"/>
      <c r="C828" s="130"/>
    </row>
    <row r="829" ht="12.0" customHeight="1">
      <c r="B829" s="260"/>
      <c r="C829" s="130"/>
    </row>
    <row r="830" ht="12.0" customHeight="1">
      <c r="B830" s="260"/>
      <c r="C830" s="130"/>
    </row>
    <row r="831" ht="12.0" customHeight="1">
      <c r="B831" s="260"/>
      <c r="C831" s="130"/>
    </row>
    <row r="832" ht="12.0" customHeight="1">
      <c r="B832" s="260"/>
      <c r="C832" s="130"/>
    </row>
    <row r="833" ht="12.0" customHeight="1">
      <c r="B833" s="260"/>
      <c r="C833" s="130"/>
    </row>
    <row r="834" ht="12.0" customHeight="1">
      <c r="B834" s="260"/>
      <c r="C834" s="130"/>
    </row>
    <row r="835" ht="12.0" customHeight="1">
      <c r="B835" s="260"/>
      <c r="C835" s="130"/>
    </row>
    <row r="836" ht="12.0" customHeight="1">
      <c r="B836" s="260"/>
      <c r="C836" s="130"/>
    </row>
    <row r="837" ht="12.0" customHeight="1">
      <c r="B837" s="260"/>
      <c r="C837" s="130"/>
    </row>
    <row r="838" ht="12.0" customHeight="1">
      <c r="B838" s="260"/>
      <c r="C838" s="130"/>
    </row>
    <row r="839" ht="12.0" customHeight="1">
      <c r="B839" s="260"/>
      <c r="C839" s="130"/>
    </row>
    <row r="840" ht="12.0" customHeight="1">
      <c r="B840" s="260"/>
      <c r="C840" s="130"/>
    </row>
    <row r="841" ht="12.0" customHeight="1">
      <c r="B841" s="260"/>
      <c r="C841" s="130"/>
    </row>
    <row r="842" ht="12.0" customHeight="1">
      <c r="B842" s="260"/>
      <c r="C842" s="130"/>
    </row>
    <row r="843" ht="12.0" customHeight="1">
      <c r="B843" s="260"/>
      <c r="C843" s="130"/>
    </row>
    <row r="844" ht="12.0" customHeight="1">
      <c r="B844" s="260"/>
      <c r="C844" s="130"/>
    </row>
    <row r="845" ht="12.0" customHeight="1">
      <c r="B845" s="260"/>
      <c r="C845" s="130"/>
    </row>
    <row r="846" ht="12.0" customHeight="1">
      <c r="B846" s="260"/>
      <c r="C846" s="130"/>
    </row>
    <row r="847" ht="12.0" customHeight="1">
      <c r="B847" s="260"/>
      <c r="C847" s="130"/>
    </row>
    <row r="848" ht="12.0" customHeight="1">
      <c r="B848" s="260"/>
      <c r="C848" s="130"/>
    </row>
    <row r="849" ht="12.0" customHeight="1">
      <c r="B849" s="260"/>
      <c r="C849" s="130"/>
    </row>
    <row r="850" ht="12.0" customHeight="1">
      <c r="B850" s="260"/>
      <c r="C850" s="130"/>
    </row>
    <row r="851" ht="12.0" customHeight="1">
      <c r="B851" s="260"/>
      <c r="C851" s="130"/>
    </row>
    <row r="852" ht="12.0" customHeight="1">
      <c r="B852" s="260"/>
      <c r="C852" s="130"/>
    </row>
    <row r="853" ht="12.0" customHeight="1">
      <c r="B853" s="260"/>
      <c r="C853" s="130"/>
    </row>
    <row r="854" ht="12.0" customHeight="1">
      <c r="B854" s="260"/>
      <c r="C854" s="130"/>
    </row>
    <row r="855" ht="12.0" customHeight="1">
      <c r="B855" s="260"/>
      <c r="C855" s="130"/>
    </row>
    <row r="856" ht="12.0" customHeight="1">
      <c r="B856" s="260"/>
      <c r="C856" s="130"/>
    </row>
    <row r="857" ht="12.0" customHeight="1">
      <c r="B857" s="260"/>
      <c r="C857" s="130"/>
    </row>
    <row r="858" ht="12.0" customHeight="1">
      <c r="B858" s="260"/>
      <c r="C858" s="130"/>
    </row>
    <row r="859" ht="12.0" customHeight="1">
      <c r="B859" s="260"/>
      <c r="C859" s="130"/>
    </row>
    <row r="860" ht="12.0" customHeight="1">
      <c r="B860" s="260"/>
      <c r="C860" s="130"/>
    </row>
    <row r="861" ht="12.0" customHeight="1">
      <c r="B861" s="260"/>
      <c r="C861" s="130"/>
    </row>
    <row r="862" ht="12.0" customHeight="1">
      <c r="B862" s="260"/>
      <c r="C862" s="130"/>
    </row>
    <row r="863" ht="12.0" customHeight="1">
      <c r="B863" s="260"/>
      <c r="C863" s="130"/>
    </row>
    <row r="864" ht="12.0" customHeight="1">
      <c r="B864" s="260"/>
      <c r="C864" s="130"/>
    </row>
    <row r="865" ht="12.0" customHeight="1">
      <c r="B865" s="260"/>
      <c r="C865" s="130"/>
    </row>
    <row r="866" ht="12.0" customHeight="1">
      <c r="B866" s="260"/>
      <c r="C866" s="130"/>
    </row>
    <row r="867" ht="12.0" customHeight="1">
      <c r="B867" s="260"/>
      <c r="C867" s="130"/>
    </row>
    <row r="868" ht="12.0" customHeight="1">
      <c r="B868" s="260"/>
      <c r="C868" s="130"/>
    </row>
    <row r="869" ht="12.0" customHeight="1">
      <c r="B869" s="260"/>
      <c r="C869" s="130"/>
    </row>
    <row r="870" ht="12.0" customHeight="1">
      <c r="B870" s="260"/>
      <c r="C870" s="130"/>
    </row>
    <row r="871" ht="12.0" customHeight="1">
      <c r="B871" s="260"/>
      <c r="C871" s="130"/>
    </row>
    <row r="872" ht="12.0" customHeight="1">
      <c r="B872" s="260"/>
      <c r="C872" s="130"/>
    </row>
    <row r="873" ht="12.0" customHeight="1">
      <c r="B873" s="260"/>
      <c r="C873" s="130"/>
    </row>
    <row r="874" ht="12.0" customHeight="1">
      <c r="B874" s="260"/>
      <c r="C874" s="130"/>
    </row>
    <row r="875" ht="12.0" customHeight="1">
      <c r="B875" s="260"/>
      <c r="C875" s="130"/>
    </row>
    <row r="876" ht="12.0" customHeight="1">
      <c r="B876" s="260"/>
      <c r="C876" s="130"/>
    </row>
    <row r="877" ht="12.0" customHeight="1">
      <c r="B877" s="260"/>
      <c r="C877" s="130"/>
    </row>
    <row r="878" ht="12.0" customHeight="1">
      <c r="B878" s="260"/>
      <c r="C878" s="130"/>
    </row>
    <row r="879" ht="12.0" customHeight="1">
      <c r="B879" s="260"/>
      <c r="C879" s="130"/>
    </row>
    <row r="880" ht="12.0" customHeight="1">
      <c r="B880" s="260"/>
      <c r="C880" s="130"/>
    </row>
    <row r="881" ht="12.0" customHeight="1">
      <c r="B881" s="260"/>
      <c r="C881" s="130"/>
    </row>
    <row r="882" ht="12.0" customHeight="1">
      <c r="B882" s="260"/>
      <c r="C882" s="130"/>
    </row>
    <row r="883" ht="12.0" customHeight="1">
      <c r="B883" s="260"/>
      <c r="C883" s="130"/>
    </row>
    <row r="884" ht="12.0" customHeight="1">
      <c r="B884" s="260"/>
      <c r="C884" s="130"/>
    </row>
    <row r="885" ht="12.0" customHeight="1">
      <c r="B885" s="260"/>
      <c r="C885" s="130"/>
    </row>
    <row r="886" ht="12.0" customHeight="1">
      <c r="B886" s="260"/>
      <c r="C886" s="130"/>
    </row>
    <row r="887" ht="12.0" customHeight="1">
      <c r="B887" s="260"/>
      <c r="C887" s="130"/>
    </row>
    <row r="888" ht="12.0" customHeight="1">
      <c r="B888" s="260"/>
      <c r="C888" s="130"/>
    </row>
    <row r="889" ht="12.0" customHeight="1">
      <c r="B889" s="260"/>
      <c r="C889" s="130"/>
    </row>
    <row r="890" ht="12.0" customHeight="1">
      <c r="B890" s="260"/>
      <c r="C890" s="130"/>
    </row>
    <row r="891" ht="12.0" customHeight="1">
      <c r="B891" s="260"/>
      <c r="C891" s="130"/>
    </row>
    <row r="892" ht="12.0" customHeight="1">
      <c r="B892" s="260"/>
      <c r="C892" s="130"/>
    </row>
    <row r="893" ht="12.0" customHeight="1">
      <c r="B893" s="260"/>
      <c r="C893" s="130"/>
    </row>
    <row r="894" ht="12.0" customHeight="1">
      <c r="B894" s="260"/>
      <c r="C894" s="130"/>
    </row>
    <row r="895" ht="12.0" customHeight="1">
      <c r="B895" s="260"/>
      <c r="C895" s="130"/>
    </row>
    <row r="896" ht="12.0" customHeight="1">
      <c r="B896" s="260"/>
      <c r="C896" s="130"/>
    </row>
    <row r="897" ht="12.0" customHeight="1">
      <c r="B897" s="260"/>
      <c r="C897" s="130"/>
    </row>
    <row r="898" ht="12.0" customHeight="1">
      <c r="B898" s="260"/>
      <c r="C898" s="130"/>
    </row>
    <row r="899" ht="12.0" customHeight="1">
      <c r="B899" s="260"/>
      <c r="C899" s="130"/>
    </row>
    <row r="900" ht="12.0" customHeight="1">
      <c r="B900" s="260"/>
      <c r="C900" s="130"/>
    </row>
    <row r="901" ht="12.0" customHeight="1">
      <c r="B901" s="260"/>
      <c r="C901" s="130"/>
    </row>
    <row r="902" ht="12.0" customHeight="1">
      <c r="B902" s="260"/>
      <c r="C902" s="130"/>
    </row>
    <row r="903" ht="12.0" customHeight="1">
      <c r="B903" s="260"/>
      <c r="C903" s="130"/>
    </row>
    <row r="904" ht="12.0" customHeight="1">
      <c r="B904" s="260"/>
      <c r="C904" s="130"/>
    </row>
    <row r="905" ht="12.0" customHeight="1">
      <c r="B905" s="260"/>
      <c r="C905" s="130"/>
    </row>
    <row r="906" ht="12.0" customHeight="1">
      <c r="B906" s="260"/>
      <c r="C906" s="130"/>
    </row>
    <row r="907" ht="12.0" customHeight="1">
      <c r="B907" s="260"/>
      <c r="C907" s="130"/>
    </row>
    <row r="908" ht="12.0" customHeight="1">
      <c r="B908" s="260"/>
      <c r="C908" s="130"/>
    </row>
    <row r="909" ht="12.0" customHeight="1">
      <c r="B909" s="260"/>
      <c r="C909" s="130"/>
    </row>
    <row r="910" ht="12.0" customHeight="1">
      <c r="B910" s="260"/>
      <c r="C910" s="130"/>
    </row>
    <row r="911" ht="12.0" customHeight="1">
      <c r="B911" s="260"/>
      <c r="C911" s="130"/>
    </row>
    <row r="912" ht="12.0" customHeight="1">
      <c r="B912" s="260"/>
      <c r="C912" s="130"/>
    </row>
    <row r="913" ht="12.0" customHeight="1">
      <c r="B913" s="260"/>
      <c r="C913" s="130"/>
    </row>
    <row r="914" ht="12.0" customHeight="1">
      <c r="B914" s="260"/>
      <c r="C914" s="130"/>
    </row>
    <row r="915" ht="12.0" customHeight="1">
      <c r="B915" s="260"/>
      <c r="C915" s="130"/>
    </row>
    <row r="916" ht="12.0" customHeight="1">
      <c r="B916" s="260"/>
      <c r="C916" s="130"/>
    </row>
    <row r="917" ht="12.0" customHeight="1">
      <c r="B917" s="260"/>
      <c r="C917" s="130"/>
    </row>
    <row r="918" ht="12.0" customHeight="1">
      <c r="B918" s="260"/>
      <c r="C918" s="130"/>
    </row>
    <row r="919" ht="12.0" customHeight="1">
      <c r="B919" s="260"/>
      <c r="C919" s="130"/>
    </row>
    <row r="920" ht="12.0" customHeight="1">
      <c r="B920" s="260"/>
      <c r="C920" s="130"/>
    </row>
    <row r="921" ht="12.0" customHeight="1">
      <c r="B921" s="260"/>
      <c r="C921" s="130"/>
    </row>
    <row r="922" ht="12.0" customHeight="1">
      <c r="B922" s="260"/>
      <c r="C922" s="130"/>
    </row>
    <row r="923" ht="12.0" customHeight="1">
      <c r="B923" s="260"/>
      <c r="C923" s="130"/>
    </row>
    <row r="924" ht="12.0" customHeight="1">
      <c r="B924" s="260"/>
      <c r="C924" s="130"/>
    </row>
    <row r="925" ht="12.0" customHeight="1">
      <c r="B925" s="260"/>
      <c r="C925" s="130"/>
    </row>
    <row r="926" ht="12.0" customHeight="1">
      <c r="B926" s="260"/>
      <c r="C926" s="130"/>
    </row>
    <row r="927" ht="12.0" customHeight="1">
      <c r="B927" s="260"/>
      <c r="C927" s="130"/>
    </row>
    <row r="928" ht="12.0" customHeight="1">
      <c r="B928" s="260"/>
      <c r="C928" s="130"/>
    </row>
    <row r="929" ht="12.0" customHeight="1">
      <c r="B929" s="260"/>
      <c r="C929" s="130"/>
    </row>
    <row r="930" ht="12.0" customHeight="1">
      <c r="B930" s="260"/>
      <c r="C930" s="130"/>
    </row>
    <row r="931" ht="12.0" customHeight="1">
      <c r="B931" s="260"/>
      <c r="C931" s="130"/>
    </row>
    <row r="932" ht="12.0" customHeight="1">
      <c r="B932" s="260"/>
      <c r="C932" s="130"/>
    </row>
    <row r="933" ht="12.0" customHeight="1">
      <c r="B933" s="260"/>
      <c r="C933" s="130"/>
    </row>
    <row r="934" ht="12.0" customHeight="1">
      <c r="B934" s="260"/>
      <c r="C934" s="130"/>
    </row>
    <row r="935" ht="12.0" customHeight="1">
      <c r="B935" s="260"/>
      <c r="C935" s="130"/>
    </row>
    <row r="936" ht="12.0" customHeight="1">
      <c r="B936" s="260"/>
      <c r="C936" s="130"/>
    </row>
    <row r="937" ht="12.0" customHeight="1">
      <c r="B937" s="260"/>
      <c r="C937" s="130"/>
    </row>
    <row r="938" ht="12.0" customHeight="1">
      <c r="B938" s="260"/>
      <c r="C938" s="130"/>
    </row>
    <row r="939" ht="12.0" customHeight="1">
      <c r="B939" s="260"/>
      <c r="C939" s="130"/>
    </row>
    <row r="940" ht="12.0" customHeight="1">
      <c r="B940" s="260"/>
      <c r="C940" s="130"/>
    </row>
    <row r="941" ht="12.0" customHeight="1">
      <c r="B941" s="260"/>
      <c r="C941" s="130"/>
    </row>
    <row r="942" ht="12.0" customHeight="1">
      <c r="B942" s="260"/>
      <c r="C942" s="130"/>
    </row>
    <row r="943" ht="12.0" customHeight="1">
      <c r="B943" s="260"/>
      <c r="C943" s="130"/>
    </row>
    <row r="944" ht="12.0" customHeight="1">
      <c r="B944" s="260"/>
      <c r="C944" s="130"/>
    </row>
    <row r="945" ht="12.0" customHeight="1">
      <c r="B945" s="260"/>
      <c r="C945" s="130"/>
    </row>
    <row r="946" ht="12.0" customHeight="1">
      <c r="B946" s="260"/>
      <c r="C946" s="130"/>
    </row>
    <row r="947" ht="12.0" customHeight="1">
      <c r="B947" s="260"/>
      <c r="C947" s="130"/>
    </row>
    <row r="948" ht="12.0" customHeight="1">
      <c r="B948" s="260"/>
      <c r="C948" s="130"/>
    </row>
    <row r="949" ht="12.0" customHeight="1">
      <c r="B949" s="260"/>
      <c r="C949" s="130"/>
    </row>
    <row r="950" ht="12.0" customHeight="1">
      <c r="B950" s="260"/>
      <c r="C950" s="130"/>
    </row>
    <row r="951" ht="12.0" customHeight="1">
      <c r="B951" s="260"/>
      <c r="C951" s="130"/>
    </row>
    <row r="952" ht="12.0" customHeight="1">
      <c r="B952" s="260"/>
      <c r="C952" s="130"/>
    </row>
    <row r="953" ht="12.0" customHeight="1">
      <c r="B953" s="260"/>
      <c r="C953" s="130"/>
    </row>
    <row r="954" ht="12.0" customHeight="1">
      <c r="B954" s="260"/>
      <c r="C954" s="130"/>
    </row>
    <row r="955" ht="12.0" customHeight="1">
      <c r="B955" s="260"/>
      <c r="C955" s="130"/>
    </row>
    <row r="956" ht="12.0" customHeight="1">
      <c r="B956" s="260"/>
      <c r="C956" s="130"/>
    </row>
    <row r="957" ht="12.0" customHeight="1">
      <c r="B957" s="260"/>
      <c r="C957" s="130"/>
    </row>
    <row r="958" ht="12.0" customHeight="1">
      <c r="B958" s="260"/>
      <c r="C958" s="130"/>
    </row>
    <row r="959" ht="12.0" customHeight="1">
      <c r="B959" s="260"/>
      <c r="C959" s="130"/>
    </row>
    <row r="960" ht="12.0" customHeight="1">
      <c r="B960" s="260"/>
      <c r="C960" s="130"/>
    </row>
    <row r="961" ht="12.0" customHeight="1">
      <c r="B961" s="260"/>
      <c r="C961" s="130"/>
    </row>
    <row r="962" ht="12.0" customHeight="1">
      <c r="B962" s="260"/>
      <c r="C962" s="130"/>
    </row>
    <row r="963" ht="12.0" customHeight="1">
      <c r="B963" s="260"/>
      <c r="C963" s="130"/>
    </row>
    <row r="964" ht="12.0" customHeight="1">
      <c r="B964" s="260"/>
      <c r="C964" s="130"/>
    </row>
    <row r="965" ht="12.0" customHeight="1">
      <c r="B965" s="260"/>
      <c r="C965" s="130"/>
    </row>
    <row r="966" ht="12.0" customHeight="1">
      <c r="B966" s="260"/>
      <c r="C966" s="130"/>
    </row>
    <row r="967" ht="12.0" customHeight="1">
      <c r="B967" s="260"/>
      <c r="C967" s="130"/>
    </row>
    <row r="968" ht="12.0" customHeight="1">
      <c r="B968" s="260"/>
      <c r="C968" s="130"/>
    </row>
    <row r="969" ht="12.0" customHeight="1">
      <c r="B969" s="260"/>
      <c r="C969" s="130"/>
    </row>
    <row r="970" ht="12.0" customHeight="1">
      <c r="B970" s="260"/>
      <c r="C970" s="130"/>
    </row>
    <row r="971" ht="12.0" customHeight="1">
      <c r="B971" s="260"/>
      <c r="C971" s="130"/>
    </row>
    <row r="972" ht="12.0" customHeight="1">
      <c r="B972" s="260"/>
      <c r="C972" s="130"/>
    </row>
    <row r="973" ht="12.0" customHeight="1">
      <c r="B973" s="260"/>
      <c r="C973" s="130"/>
    </row>
    <row r="974" ht="12.0" customHeight="1">
      <c r="B974" s="260"/>
      <c r="C974" s="130"/>
    </row>
    <row r="975" ht="12.0" customHeight="1">
      <c r="B975" s="260"/>
      <c r="C975" s="130"/>
    </row>
    <row r="976" ht="12.0" customHeight="1">
      <c r="B976" s="260"/>
      <c r="C976" s="130"/>
    </row>
    <row r="977" ht="12.0" customHeight="1">
      <c r="B977" s="260"/>
      <c r="C977" s="130"/>
    </row>
    <row r="978" ht="12.0" customHeight="1">
      <c r="B978" s="260"/>
      <c r="C978" s="130"/>
    </row>
    <row r="979" ht="12.0" customHeight="1">
      <c r="B979" s="260"/>
      <c r="C979" s="130"/>
    </row>
    <row r="980" ht="12.0" customHeight="1">
      <c r="B980" s="260"/>
      <c r="C980" s="130"/>
    </row>
    <row r="981" ht="12.0" customHeight="1">
      <c r="B981" s="260"/>
      <c r="C981" s="130"/>
    </row>
    <row r="982" ht="12.0" customHeight="1">
      <c r="B982" s="260"/>
      <c r="C982" s="130"/>
    </row>
    <row r="983" ht="12.0" customHeight="1">
      <c r="B983" s="260"/>
      <c r="C983" s="130"/>
    </row>
    <row r="984" ht="12.0" customHeight="1">
      <c r="B984" s="260"/>
      <c r="C984" s="130"/>
    </row>
    <row r="985" ht="12.0" customHeight="1">
      <c r="B985" s="260"/>
      <c r="C985" s="130"/>
    </row>
    <row r="986" ht="12.0" customHeight="1">
      <c r="B986" s="260"/>
      <c r="C986" s="130"/>
    </row>
    <row r="987" ht="12.0" customHeight="1">
      <c r="B987" s="260"/>
      <c r="C987" s="130"/>
    </row>
    <row r="988" ht="12.0" customHeight="1">
      <c r="B988" s="260"/>
      <c r="C988" s="130"/>
    </row>
    <row r="989" ht="12.0" customHeight="1">
      <c r="B989" s="260"/>
      <c r="C989" s="130"/>
    </row>
    <row r="990" ht="12.0" customHeight="1">
      <c r="B990" s="260"/>
      <c r="C990" s="130"/>
    </row>
    <row r="991" ht="12.0" customHeight="1">
      <c r="B991" s="260"/>
      <c r="C991" s="130"/>
    </row>
    <row r="992" ht="12.0" customHeight="1">
      <c r="B992" s="260"/>
      <c r="C992" s="130"/>
    </row>
    <row r="993" ht="12.0" customHeight="1">
      <c r="B993" s="260"/>
      <c r="C993" s="130"/>
    </row>
    <row r="994" ht="12.0" customHeight="1">
      <c r="B994" s="260"/>
      <c r="C994" s="130"/>
    </row>
    <row r="995" ht="12.0" customHeight="1">
      <c r="B995" s="260"/>
      <c r="C995" s="130"/>
    </row>
    <row r="996" ht="12.0" customHeight="1">
      <c r="B996" s="260"/>
      <c r="C996" s="130"/>
    </row>
    <row r="997" ht="12.0" customHeight="1">
      <c r="B997" s="260"/>
      <c r="C997" s="130"/>
    </row>
    <row r="998" ht="12.0" customHeight="1">
      <c r="B998" s="260"/>
      <c r="C998" s="130"/>
    </row>
    <row r="999" ht="12.0" customHeight="1">
      <c r="B999" s="260"/>
      <c r="C999" s="130"/>
    </row>
    <row r="1000" ht="12.0" customHeight="1">
      <c r="B1000" s="260"/>
      <c r="C1000" s="130"/>
    </row>
  </sheetData>
  <mergeCells count="18">
    <mergeCell ref="B39:C39"/>
    <mergeCell ref="F39:G39"/>
    <mergeCell ref="B48:C48"/>
    <mergeCell ref="B50:H53"/>
    <mergeCell ref="B55:D55"/>
    <mergeCell ref="F55:H55"/>
    <mergeCell ref="G56:H56"/>
    <mergeCell ref="B68:D70"/>
    <mergeCell ref="B71:D71"/>
    <mergeCell ref="E71:F71"/>
    <mergeCell ref="G71:H71"/>
    <mergeCell ref="G57:H57"/>
    <mergeCell ref="G58:H58"/>
    <mergeCell ref="G59:H59"/>
    <mergeCell ref="G60:H60"/>
    <mergeCell ref="G61:H61"/>
    <mergeCell ref="E68:F70"/>
    <mergeCell ref="G68:H70"/>
  </mergeCells>
  <dataValidations>
    <dataValidation type="list" allowBlank="1" showErrorMessage="1" sqref="C22">
      <formula1>LS2A!$A$5:$A$36</formula1>
    </dataValidation>
  </dataValidations>
  <printOptions/>
  <pageMargins bottom="0.75" footer="0.0" header="0.0" left="0.7" right="0.7" top="0.75"/>
  <pageSetup paperSize="8"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2.0"/>
    <col customWidth="1" min="2" max="2" width="24.5"/>
    <col customWidth="1" min="3" max="3" width="25.0"/>
    <col customWidth="1" min="4" max="4" width="15.63"/>
    <col customWidth="1" min="5" max="5" width="20.5"/>
    <col customWidth="1" min="6" max="6" width="15.5"/>
    <col customWidth="1" min="7" max="9" width="16.5"/>
    <col customWidth="1" min="10" max="27" width="8.63"/>
  </cols>
  <sheetData>
    <row r="1" ht="12.0" customHeight="1">
      <c r="A1" s="113"/>
      <c r="B1" s="260"/>
      <c r="C1" s="130"/>
      <c r="E1" s="130"/>
    </row>
    <row r="2" ht="12.0" customHeight="1">
      <c r="B2" s="260"/>
      <c r="C2" s="130"/>
      <c r="E2" s="130"/>
    </row>
    <row r="3" ht="12.0" customHeight="1">
      <c r="A3" s="2"/>
      <c r="B3" s="261"/>
      <c r="C3" s="262"/>
      <c r="D3" s="2"/>
      <c r="E3" s="262"/>
      <c r="F3" s="2"/>
      <c r="G3" s="2"/>
      <c r="H3" s="2"/>
      <c r="I3" s="2"/>
    </row>
    <row r="4" ht="12.0" customHeight="1">
      <c r="A4" s="2"/>
      <c r="B4" s="261"/>
      <c r="C4" s="262"/>
      <c r="D4" s="2"/>
      <c r="E4" s="262"/>
      <c r="F4" s="2"/>
      <c r="G4" s="2"/>
      <c r="H4" s="2"/>
      <c r="I4" s="2"/>
    </row>
    <row r="5" ht="12.0" customHeight="1">
      <c r="A5" s="2"/>
      <c r="B5" s="261"/>
      <c r="C5" s="262"/>
      <c r="D5" s="2"/>
      <c r="E5" s="262"/>
      <c r="F5" s="2"/>
      <c r="G5" s="2"/>
      <c r="H5" s="2"/>
      <c r="I5" s="2"/>
    </row>
    <row r="6" ht="12.0" customHeight="1">
      <c r="A6" s="2"/>
      <c r="B6" s="261"/>
      <c r="C6" s="262"/>
      <c r="D6" s="2"/>
      <c r="E6" s="262"/>
      <c r="F6" s="2"/>
      <c r="G6" s="2"/>
      <c r="H6" s="2"/>
      <c r="I6" s="2"/>
    </row>
    <row r="7" ht="12.0" customHeight="1">
      <c r="A7" s="2"/>
      <c r="B7" s="261"/>
      <c r="C7" s="262"/>
      <c r="D7" s="2"/>
      <c r="E7" s="262"/>
      <c r="F7" s="2"/>
      <c r="G7" s="2"/>
      <c r="H7" s="2"/>
      <c r="I7" s="2"/>
    </row>
    <row r="8" ht="12.0" customHeight="1">
      <c r="A8" s="2"/>
      <c r="B8" s="261"/>
      <c r="C8" s="262"/>
      <c r="D8" s="2"/>
      <c r="E8" s="262"/>
      <c r="F8" s="2"/>
      <c r="G8" s="2"/>
      <c r="H8" s="2"/>
      <c r="I8" s="2"/>
    </row>
    <row r="9" ht="12.0" customHeight="1">
      <c r="A9" s="2"/>
      <c r="B9" s="261"/>
      <c r="C9" s="262"/>
      <c r="D9" s="2"/>
      <c r="E9" s="262"/>
      <c r="F9" s="2"/>
      <c r="G9" s="2"/>
      <c r="H9" s="2"/>
      <c r="I9" s="2"/>
    </row>
    <row r="10" ht="12.0" customHeight="1">
      <c r="A10" s="2"/>
      <c r="B10" s="261"/>
      <c r="C10" s="262"/>
      <c r="D10" s="2"/>
      <c r="E10" s="262"/>
      <c r="F10" s="2"/>
      <c r="G10" s="2"/>
      <c r="H10" s="2"/>
      <c r="I10" s="2"/>
    </row>
    <row r="11" ht="12.0" customHeight="1">
      <c r="A11" s="2"/>
      <c r="B11" s="261"/>
      <c r="C11" s="262"/>
      <c r="D11" s="2"/>
      <c r="E11" s="262"/>
      <c r="F11" s="2"/>
      <c r="G11" s="2"/>
      <c r="H11" s="2"/>
      <c r="I11" s="2"/>
    </row>
    <row r="12" ht="12.0" customHeight="1">
      <c r="A12" s="2"/>
      <c r="B12" s="261"/>
      <c r="C12" s="262"/>
      <c r="D12" s="2"/>
      <c r="E12" s="262"/>
      <c r="F12" s="2"/>
      <c r="G12" s="2"/>
      <c r="H12" s="2"/>
      <c r="I12" s="2"/>
    </row>
    <row r="13" ht="12.0" customHeight="1">
      <c r="A13" s="2"/>
      <c r="B13" s="261"/>
      <c r="C13" s="262"/>
      <c r="D13" s="2"/>
      <c r="E13" s="262"/>
      <c r="F13" s="2"/>
      <c r="G13" s="2"/>
      <c r="H13" s="2"/>
      <c r="I13" s="2"/>
    </row>
    <row r="14" ht="12.0" customHeight="1">
      <c r="A14" s="2"/>
      <c r="B14" s="261"/>
      <c r="C14" s="262"/>
      <c r="D14" s="2"/>
      <c r="E14" s="262"/>
      <c r="F14" s="2"/>
      <c r="G14" s="2"/>
      <c r="H14" s="2"/>
      <c r="I14" s="2"/>
    </row>
    <row r="15" ht="12.0" customHeight="1">
      <c r="A15" s="2"/>
      <c r="B15" s="261"/>
      <c r="C15" s="262"/>
      <c r="D15" s="2"/>
      <c r="E15" s="262"/>
      <c r="F15" s="2"/>
      <c r="G15" s="2"/>
      <c r="H15" s="2"/>
      <c r="I15" s="2"/>
    </row>
    <row r="16" ht="12.0" customHeight="1">
      <c r="A16" s="2"/>
      <c r="B16" s="261"/>
      <c r="C16" s="262"/>
      <c r="D16" s="2"/>
      <c r="E16" s="262"/>
      <c r="F16" s="2"/>
      <c r="G16" s="2"/>
      <c r="H16" s="2"/>
      <c r="I16" s="2"/>
    </row>
    <row r="17" ht="12.0" customHeight="1">
      <c r="A17" s="2"/>
      <c r="B17" s="261"/>
      <c r="C17" s="262"/>
      <c r="D17" s="2"/>
      <c r="E17" s="262"/>
      <c r="F17" s="2"/>
      <c r="G17" s="2"/>
      <c r="H17" s="2"/>
      <c r="I17" s="2"/>
    </row>
    <row r="18" ht="12.0" customHeight="1">
      <c r="A18" s="2"/>
      <c r="B18" s="261"/>
      <c r="C18" s="262"/>
      <c r="D18" s="2"/>
      <c r="E18" s="262"/>
      <c r="F18" s="2"/>
      <c r="G18" s="2"/>
      <c r="H18" s="2"/>
      <c r="I18" s="2"/>
    </row>
    <row r="19" ht="12.0" customHeight="1">
      <c r="A19" s="2"/>
      <c r="B19" s="261"/>
      <c r="C19" s="262"/>
      <c r="D19" s="2"/>
      <c r="E19" s="262"/>
      <c r="F19" s="2"/>
      <c r="G19" s="2"/>
      <c r="H19" s="2"/>
      <c r="I19" s="2"/>
    </row>
    <row r="20" ht="9.0" customHeight="1">
      <c r="A20" s="2"/>
      <c r="B20" s="261"/>
      <c r="C20" s="262"/>
      <c r="D20" s="2"/>
      <c r="E20" s="262"/>
      <c r="F20" s="2"/>
      <c r="G20" s="2"/>
      <c r="H20" s="2"/>
      <c r="I20" s="2"/>
    </row>
    <row r="21" ht="12.0" customHeight="1">
      <c r="A21" s="2"/>
      <c r="B21" s="2"/>
      <c r="C21" s="262"/>
      <c r="D21" s="2"/>
      <c r="E21" s="262"/>
      <c r="F21" s="2"/>
      <c r="G21" s="2"/>
      <c r="H21" s="2"/>
      <c r="I21" s="2"/>
    </row>
    <row r="22" ht="21.0" customHeight="1">
      <c r="A22" s="2"/>
      <c r="B22" s="2" t="s">
        <v>618</v>
      </c>
      <c r="C22" s="263">
        <v>1.0</v>
      </c>
      <c r="D22" s="2"/>
      <c r="E22" s="262"/>
      <c r="F22" s="2"/>
      <c r="G22" s="2"/>
      <c r="H22" s="2"/>
      <c r="I22" s="2"/>
    </row>
    <row r="23" ht="21.0" customHeight="1">
      <c r="A23" s="2"/>
      <c r="B23" s="260"/>
      <c r="C23" s="130"/>
      <c r="D23" s="2"/>
      <c r="E23" s="262"/>
      <c r="F23" s="2"/>
      <c r="G23" s="2"/>
      <c r="H23" s="2"/>
      <c r="I23" s="2"/>
    </row>
    <row r="24" ht="12.0" customHeight="1">
      <c r="A24" s="2"/>
      <c r="B24" s="260"/>
      <c r="C24" s="130"/>
      <c r="D24" s="2"/>
      <c r="E24" s="262"/>
      <c r="F24" s="2"/>
      <c r="G24" s="2"/>
      <c r="H24" s="2"/>
      <c r="I24" s="2"/>
    </row>
    <row r="25" ht="21.75" customHeight="1">
      <c r="A25" s="2"/>
      <c r="B25" s="375" t="s">
        <v>619</v>
      </c>
      <c r="C25" s="376" t="str">
        <f>VLOOKUP($C$22,LS2B!$A$3:$AY$27,2,0)</f>
        <v>Mathur Sumay</v>
      </c>
      <c r="D25" s="352" t="s">
        <v>620</v>
      </c>
      <c r="E25" s="376" t="s">
        <v>40</v>
      </c>
      <c r="F25" s="377" t="s">
        <v>73</v>
      </c>
      <c r="G25" s="387"/>
      <c r="H25" s="270">
        <f>RANK(G41,LS2B!$AR$5:$AR$27)</f>
        <v>7</v>
      </c>
      <c r="I25" s="2"/>
    </row>
    <row r="26" ht="12.0" customHeight="1">
      <c r="A26" s="2"/>
      <c r="B26" s="271"/>
      <c r="C26" s="272"/>
      <c r="D26" s="273"/>
      <c r="E26" s="272"/>
      <c r="F26" s="273"/>
      <c r="G26" s="273"/>
      <c r="H26" s="273"/>
      <c r="I26" s="2"/>
    </row>
    <row r="27" ht="26.25" customHeight="1">
      <c r="A27" s="274"/>
      <c r="B27" s="275" t="s">
        <v>621</v>
      </c>
      <c r="C27" s="276" t="s">
        <v>80</v>
      </c>
      <c r="D27" s="275" t="s">
        <v>81</v>
      </c>
      <c r="E27" s="276" t="s">
        <v>622</v>
      </c>
      <c r="F27" s="275" t="s">
        <v>83</v>
      </c>
      <c r="G27" s="275" t="s">
        <v>653</v>
      </c>
      <c r="H27" s="277" t="s">
        <v>624</v>
      </c>
      <c r="I27" s="278"/>
      <c r="J27" s="279"/>
      <c r="K27" s="279"/>
      <c r="L27" s="279"/>
      <c r="M27" s="279"/>
      <c r="N27" s="279"/>
      <c r="O27" s="279"/>
      <c r="P27" s="279"/>
      <c r="Q27" s="279"/>
      <c r="R27" s="279"/>
      <c r="S27" s="279"/>
      <c r="T27" s="279"/>
      <c r="U27" s="279"/>
      <c r="V27" s="279"/>
      <c r="W27" s="279"/>
      <c r="X27" s="279"/>
      <c r="Y27" s="279"/>
      <c r="Z27" s="279"/>
      <c r="AA27" s="279"/>
    </row>
    <row r="28" ht="30.0" customHeight="1">
      <c r="A28" s="280"/>
      <c r="B28" s="270" t="s">
        <v>23</v>
      </c>
      <c r="C28" s="358">
        <f>VLOOKUP($C$22,LS2B!$A$3:$AY$29,3,0)</f>
        <v>24</v>
      </c>
      <c r="D28" s="357">
        <f>VLOOKUP($C$22,LS2B!$A$3:$AY$29,4,0)</f>
        <v>31</v>
      </c>
      <c r="E28" s="358">
        <f t="shared" ref="E28:E37" si="1">C28+D28</f>
        <v>55</v>
      </c>
      <c r="F28" s="357" t="str">
        <f>VLOOKUP($C$22,LS2B!$A$3:$AY$29,6,0)</f>
        <v>D</v>
      </c>
      <c r="G28" s="357">
        <f>RANK(E28,LS2B!$E$5:$E$27)</f>
        <v>13</v>
      </c>
      <c r="H28" s="281">
        <f>LS2B!E30</f>
        <v>57.5</v>
      </c>
      <c r="I28" s="283"/>
    </row>
    <row r="29" ht="30.0" customHeight="1">
      <c r="A29" s="280"/>
      <c r="B29" s="270" t="s">
        <v>24</v>
      </c>
      <c r="C29" s="358">
        <f>VLOOKUP($C$22,LS2B!$A$3:$AY$29,7,0)</f>
        <v>22</v>
      </c>
      <c r="D29" s="357">
        <f>VLOOKUP($C$22,LS2B!$A$3:$AY$29,8,0)</f>
        <v>40</v>
      </c>
      <c r="E29" s="358">
        <f t="shared" si="1"/>
        <v>62</v>
      </c>
      <c r="F29" s="357" t="str">
        <f>VLOOKUP($C$22,LS2B!$A$3:$AY$29,10,0)</f>
        <v>C</v>
      </c>
      <c r="G29" s="357">
        <f>RANK(E29,LS2B!$I$5:$I$27)</f>
        <v>11</v>
      </c>
      <c r="H29" s="281">
        <f>LS2B!I30</f>
        <v>64.83333333</v>
      </c>
      <c r="I29" s="283"/>
    </row>
    <row r="30" ht="30.0" customHeight="1">
      <c r="A30" s="280"/>
      <c r="B30" s="270" t="s">
        <v>25</v>
      </c>
      <c r="C30" s="358">
        <f>VLOOKUP($C$22,LS2B!$A$3:$AY$29,11,0)</f>
        <v>33</v>
      </c>
      <c r="D30" s="357">
        <f>VLOOKUP($C$22,LS2B!$A$3:$AY$29,12,0)</f>
        <v>41</v>
      </c>
      <c r="E30" s="358">
        <f t="shared" si="1"/>
        <v>74</v>
      </c>
      <c r="F30" s="357" t="str">
        <f>VLOOKUP($C$22,LS2B!$A$3:$AY$29,14,0)</f>
        <v>B</v>
      </c>
      <c r="G30" s="357">
        <f>RANK(E30,LS2B!$M$5:$M$27)</f>
        <v>8</v>
      </c>
      <c r="H30" s="281">
        <f>LS2B!M30</f>
        <v>69.55555556</v>
      </c>
      <c r="I30" s="283"/>
    </row>
    <row r="31" ht="27.75" customHeight="1">
      <c r="A31" s="280"/>
      <c r="B31" s="270" t="s">
        <v>26</v>
      </c>
      <c r="C31" s="358">
        <f>VLOOKUP($C$22,LS2B!$A$3:$AY$29,15,0)</f>
        <v>29</v>
      </c>
      <c r="D31" s="357">
        <f>VLOOKUP($C$22,LS2B!$A$3:$AY$29,16,0)</f>
        <v>52</v>
      </c>
      <c r="E31" s="358">
        <f t="shared" si="1"/>
        <v>81</v>
      </c>
      <c r="F31" s="357" t="str">
        <f>VLOOKUP($C$22,LS2B!$A$3:$AY$29,18,0)</f>
        <v>A</v>
      </c>
      <c r="G31" s="357">
        <f>RANK(E31,LS2B!$Q$5:$Q$27)</f>
        <v>4</v>
      </c>
      <c r="H31" s="281">
        <f>LS2B!Q30</f>
        <v>71.94444444</v>
      </c>
      <c r="I31" s="283"/>
    </row>
    <row r="32" ht="25.5" customHeight="1">
      <c r="A32" s="280"/>
      <c r="B32" s="270" t="s">
        <v>27</v>
      </c>
      <c r="C32" s="358">
        <f>VLOOKUP($C$22,LS2B!$A$3:$AY$33,19,0)</f>
        <v>36</v>
      </c>
      <c r="D32" s="357">
        <f>VLOOKUP($C$22,LS2B!$A$3:$AY$29,20,0)</f>
        <v>56</v>
      </c>
      <c r="E32" s="358">
        <f t="shared" si="1"/>
        <v>92</v>
      </c>
      <c r="F32" s="357" t="str">
        <f>VLOOKUP($C$22,LS2B!$A$3:$AY$29,22,0)</f>
        <v>A*</v>
      </c>
      <c r="G32" s="357">
        <f>RANK(E32,LS2B!$U$5:$U$27)</f>
        <v>6</v>
      </c>
      <c r="H32" s="281">
        <f>LS2B!U30</f>
        <v>86</v>
      </c>
      <c r="I32" s="283"/>
    </row>
    <row r="33" ht="25.5" customHeight="1">
      <c r="A33" s="280"/>
      <c r="B33" s="270" t="s">
        <v>28</v>
      </c>
      <c r="C33" s="358">
        <f>VLOOKUP($C$22,LS2B!$A$3:$AY$34,23,0)</f>
        <v>39</v>
      </c>
      <c r="D33" s="357">
        <f>VLOOKUP($C$22,LS2B!$A$3:$AY$29,24,0)</f>
        <v>47</v>
      </c>
      <c r="E33" s="358">
        <f t="shared" si="1"/>
        <v>86</v>
      </c>
      <c r="F33" s="357" t="str">
        <f>VLOOKUP($C$22,LS2B!$A$3:$AY$29,26,0)</f>
        <v>A</v>
      </c>
      <c r="G33" s="357">
        <f>RANK(E33,LS2B!$Y$5:$Y$27)</f>
        <v>7</v>
      </c>
      <c r="H33" s="281">
        <f>LS2B!Y30</f>
        <v>78.72222222</v>
      </c>
      <c r="I33" s="283"/>
    </row>
    <row r="34" ht="27.0" customHeight="1">
      <c r="A34" s="280"/>
      <c r="B34" s="270" t="s">
        <v>29</v>
      </c>
      <c r="C34" s="358">
        <f>VLOOKUP($C$22,LS2B!$A$3:$AY$29,27,0)</f>
        <v>34</v>
      </c>
      <c r="D34" s="357">
        <f>VLOOKUP($C$22,LS2B!$A$3:$AY$29,28,0)</f>
        <v>33</v>
      </c>
      <c r="E34" s="358">
        <f t="shared" si="1"/>
        <v>67</v>
      </c>
      <c r="F34" s="357" t="str">
        <f>VLOOKUP($C$22,LS2B!$A$3:$AY$29,30,0)</f>
        <v>C</v>
      </c>
      <c r="G34" s="357">
        <f>RANK(E34,LS2B!$AC$5:$AC$28)</f>
        <v>10</v>
      </c>
      <c r="H34" s="281">
        <f>LS2B!AC30</f>
        <v>73.05555556</v>
      </c>
      <c r="I34" s="283"/>
    </row>
    <row r="35" ht="28.5" customHeight="1">
      <c r="A35" s="280"/>
      <c r="B35" s="270" t="s">
        <v>625</v>
      </c>
      <c r="C35" s="358">
        <f>VLOOKUP($C$22,LS2B!$A$3:$AY$29,31,0)</f>
        <v>27</v>
      </c>
      <c r="D35" s="357">
        <f>VLOOKUP($C$22,LS2B!$A$3:$AY$29,32,0)</f>
        <v>46</v>
      </c>
      <c r="E35" s="358">
        <f t="shared" si="1"/>
        <v>73</v>
      </c>
      <c r="F35" s="357" t="str">
        <f>VLOOKUP($C$22,LS2B!$A$3:$AY$29,34,0)</f>
        <v>B</v>
      </c>
      <c r="G35" s="357">
        <f>RANK(E35,LS2B!$AG$5:$AG$27)</f>
        <v>12</v>
      </c>
      <c r="H35" s="281">
        <f>LS2B!AG30</f>
        <v>74.66666667</v>
      </c>
      <c r="I35" s="283"/>
    </row>
    <row r="36" ht="23.25" customHeight="1">
      <c r="A36" s="280"/>
      <c r="B36" s="270" t="s">
        <v>31</v>
      </c>
      <c r="C36" s="358">
        <f>VLOOKUP($C$22,LS2B!$A$3:$AY$29,35,0)</f>
        <v>34</v>
      </c>
      <c r="D36" s="357">
        <f>VLOOKUP($C$22,LS2B!$A$3:$AY$29,36,0)</f>
        <v>46</v>
      </c>
      <c r="E36" s="358">
        <f t="shared" si="1"/>
        <v>80</v>
      </c>
      <c r="F36" s="357" t="str">
        <f>VLOOKUP($C$22,LS2B!$A$3:$AY$29,38,0)</f>
        <v>A</v>
      </c>
      <c r="G36" s="357">
        <f>RANK(E36,LS2B!$AK$5:$AK$27)</f>
        <v>4</v>
      </c>
      <c r="H36" s="281">
        <f>LS2B!AK30</f>
        <v>71.66666667</v>
      </c>
      <c r="I36" s="283"/>
    </row>
    <row r="37" ht="35.25" customHeight="1">
      <c r="A37" s="280"/>
      <c r="B37" s="270" t="s">
        <v>32</v>
      </c>
      <c r="C37" s="358">
        <f>VLOOKUP($C$22,LS2B!$A$3:$AY$29,39,0)</f>
        <v>26.7</v>
      </c>
      <c r="D37" s="357">
        <f>VLOOKUP($C$22,LS2B!$A$3:$AY$29,40,0)</f>
        <v>48</v>
      </c>
      <c r="E37" s="358">
        <f t="shared" si="1"/>
        <v>74.7</v>
      </c>
      <c r="F37" s="357" t="str">
        <f>VLOOKUP($C$22,LS2B!$A$3:$AY$29,42,0)</f>
        <v>B</v>
      </c>
      <c r="G37" s="357">
        <f>RANK(E37,LS2B!$AO$5:$AO$27)</f>
        <v>9</v>
      </c>
      <c r="H37" s="281">
        <f>LS2B!AO30</f>
        <v>71.52777778</v>
      </c>
      <c r="I37" s="283"/>
    </row>
    <row r="38" ht="21.75" customHeight="1">
      <c r="A38" s="280"/>
      <c r="B38" s="260"/>
      <c r="C38" s="130"/>
      <c r="D38" s="313"/>
      <c r="E38" s="312"/>
      <c r="F38" s="313"/>
      <c r="G38" s="313"/>
      <c r="H38" s="313"/>
      <c r="I38" s="283"/>
    </row>
    <row r="39" ht="21.75" customHeight="1">
      <c r="A39" s="2"/>
      <c r="B39" s="260"/>
      <c r="C39" s="130"/>
      <c r="D39" s="284"/>
      <c r="E39" s="285"/>
      <c r="F39" s="284"/>
      <c r="G39" s="284"/>
      <c r="H39" s="284"/>
      <c r="I39" s="2"/>
    </row>
    <row r="40" ht="21.0" customHeight="1">
      <c r="A40" s="280"/>
      <c r="B40" s="388" t="s">
        <v>655</v>
      </c>
      <c r="C40" s="46"/>
      <c r="D40" s="283"/>
      <c r="E40" s="262"/>
      <c r="F40" s="289" t="s">
        <v>627</v>
      </c>
      <c r="G40" s="46"/>
      <c r="H40" s="273"/>
      <c r="I40" s="2"/>
    </row>
    <row r="41" ht="28.5" customHeight="1">
      <c r="A41" s="280"/>
      <c r="B41" s="360" t="s">
        <v>74</v>
      </c>
      <c r="C41" s="381" t="str">
        <f>VLOOKUP($C$22,LS2B!$A$3:$AY$33,46,0)</f>
        <v>B</v>
      </c>
      <c r="E41" s="288"/>
      <c r="F41" s="382" t="s">
        <v>628</v>
      </c>
      <c r="G41" s="294">
        <f>AVERAGE(E28:E37)</f>
        <v>74.47</v>
      </c>
      <c r="I41" s="283"/>
    </row>
    <row r="42" ht="26.25" customHeight="1">
      <c r="A42" s="280"/>
      <c r="B42" s="360" t="s">
        <v>75</v>
      </c>
      <c r="C42" s="381" t="str">
        <f>VLOOKUP($C$22,LS2B!$A$3:$AY$33,47,0)</f>
        <v>A</v>
      </c>
      <c r="E42" s="288"/>
      <c r="F42" s="382" t="s">
        <v>629</v>
      </c>
      <c r="G42" s="295">
        <f>COUNTIF(E28:E37,"&gt;=50")</f>
        <v>10</v>
      </c>
      <c r="I42" s="283"/>
    </row>
    <row r="43" ht="24.0" customHeight="1">
      <c r="A43" s="280"/>
      <c r="B43" s="360" t="s">
        <v>76</v>
      </c>
      <c r="C43" s="381" t="str">
        <f>VLOOKUP($C$22,LS2B!$A$3:$AY$33,48,0)</f>
        <v>C</v>
      </c>
      <c r="E43" s="288"/>
      <c r="F43" s="382" t="s">
        <v>630</v>
      </c>
      <c r="G43" s="295">
        <f>COUNTIF(E28:E37,"&lt;50")</f>
        <v>0</v>
      </c>
      <c r="I43" s="296"/>
    </row>
    <row r="44" ht="28.5" customHeight="1">
      <c r="A44" s="280"/>
      <c r="B44" s="360" t="s">
        <v>77</v>
      </c>
      <c r="C44" s="381" t="str">
        <f>VLOOKUP($C$22,LS2B!$A$3:$AY$33,49,0)</f>
        <v>B</v>
      </c>
      <c r="E44" s="288"/>
      <c r="F44" s="382" t="s">
        <v>631</v>
      </c>
      <c r="G44" s="297">
        <f>RANK(G41,LS2B!$AR$5:$AR$22)</f>
        <v>7</v>
      </c>
      <c r="I44" s="296"/>
    </row>
    <row r="45" ht="19.5" customHeight="1">
      <c r="A45" s="280"/>
      <c r="B45" s="363" t="s">
        <v>78</v>
      </c>
      <c r="C45" s="381" t="str">
        <f>VLOOKUP($C$22,LS2B!$A$3:$AY$33,50,0)</f>
        <v>B</v>
      </c>
      <c r="E45" s="288"/>
      <c r="F45" s="382" t="s">
        <v>632</v>
      </c>
      <c r="G45" s="299">
        <f>COUNT(LS2B!A5:A22)</f>
        <v>18</v>
      </c>
      <c r="I45" s="296"/>
    </row>
    <row r="46" ht="8.25" customHeight="1">
      <c r="A46" s="2"/>
      <c r="B46" s="300"/>
      <c r="C46" s="285"/>
      <c r="D46" s="2"/>
      <c r="E46" s="262"/>
      <c r="F46" s="301" t="s">
        <v>633</v>
      </c>
      <c r="G46" s="284"/>
      <c r="H46" s="284"/>
      <c r="I46" s="261"/>
    </row>
    <row r="47" ht="12.0" customHeight="1">
      <c r="A47" s="2"/>
      <c r="B47" s="261"/>
      <c r="C47" s="262"/>
      <c r="D47" s="2"/>
      <c r="E47" s="262"/>
      <c r="F47" s="2"/>
      <c r="G47" s="2"/>
      <c r="H47" s="2"/>
      <c r="I47" s="261"/>
    </row>
    <row r="48" ht="12.0" customHeight="1">
      <c r="A48" s="2"/>
      <c r="B48" s="261"/>
      <c r="C48" s="262"/>
      <c r="D48" s="2"/>
      <c r="E48" s="262"/>
      <c r="F48" s="2"/>
      <c r="G48" s="2"/>
      <c r="H48" s="2"/>
      <c r="I48" s="261"/>
    </row>
    <row r="49" ht="27.0" customHeight="1">
      <c r="A49" s="2"/>
      <c r="B49" s="383" t="s">
        <v>634</v>
      </c>
      <c r="C49" s="10"/>
      <c r="D49" s="2"/>
      <c r="E49" s="262"/>
      <c r="F49" s="2"/>
      <c r="G49" s="2"/>
      <c r="H49" s="2"/>
      <c r="I49" s="261"/>
    </row>
    <row r="50" ht="12.0" customHeight="1">
      <c r="A50" s="2"/>
      <c r="B50" s="271"/>
      <c r="C50" s="272"/>
      <c r="D50" s="273"/>
      <c r="E50" s="272"/>
      <c r="F50" s="273"/>
      <c r="G50" s="273"/>
      <c r="H50" s="273"/>
      <c r="I50" s="261"/>
    </row>
    <row r="51" ht="33.75" customHeight="1">
      <c r="A51" s="280"/>
      <c r="B51" s="384" t="str">
        <f>VLOOKUP($C$22,LS2B!$A$3:$AY$32,51,0)</f>
        <v>Sumay is a well-behaved and responsible learner who consistently demonstrates a positive attitude. He participates actively in lessons and works well with his peers. His performance this term has been steady; however, English  and French require additional attention. I recommend regular practice and consistency in written work. With continued support, Sumay has the potential to excel across all subjects. Beyond the classroom, Sumay has also demonstrated impressive leadership and communication skills by actively participating in MUN  activities. His ability to express his ideas clearly and persuasively is truly outstanding.</v>
      </c>
      <c r="C51" s="304"/>
      <c r="D51" s="304"/>
      <c r="E51" s="304"/>
      <c r="F51" s="304"/>
      <c r="G51" s="304"/>
      <c r="H51" s="305"/>
      <c r="I51" s="296"/>
    </row>
    <row r="52" ht="36.75" customHeight="1">
      <c r="A52" s="280"/>
      <c r="B52" s="306"/>
      <c r="H52" s="307"/>
      <c r="I52" s="296"/>
    </row>
    <row r="53" ht="12.0" customHeight="1">
      <c r="A53" s="280"/>
      <c r="B53" s="306"/>
      <c r="H53" s="307"/>
      <c r="I53" s="296"/>
    </row>
    <row r="54" ht="12.0" customHeight="1">
      <c r="A54" s="280"/>
      <c r="B54" s="308"/>
      <c r="C54" s="309"/>
      <c r="D54" s="309"/>
      <c r="E54" s="309"/>
      <c r="F54" s="309"/>
      <c r="G54" s="309"/>
      <c r="H54" s="310"/>
      <c r="I54" s="283"/>
    </row>
    <row r="55" ht="12.0" customHeight="1">
      <c r="A55" s="280"/>
      <c r="B55" s="311"/>
      <c r="C55" s="312"/>
      <c r="D55" s="313"/>
      <c r="E55" s="312"/>
      <c r="F55" s="313"/>
      <c r="G55" s="313"/>
      <c r="H55" s="313"/>
      <c r="I55" s="283"/>
    </row>
    <row r="56" ht="12.0" customHeight="1">
      <c r="A56" s="2"/>
      <c r="B56" s="314"/>
      <c r="C56" s="315"/>
      <c r="D56" s="286"/>
      <c r="E56" s="285"/>
      <c r="F56" s="286"/>
      <c r="G56" s="286"/>
      <c r="H56" s="286"/>
      <c r="I56" s="2"/>
    </row>
    <row r="57" ht="23.25" customHeight="1">
      <c r="A57" s="280"/>
      <c r="B57" s="367" t="s">
        <v>635</v>
      </c>
      <c r="C57" s="45"/>
      <c r="D57" s="46"/>
      <c r="E57" s="318"/>
      <c r="F57" s="319" t="s">
        <v>636</v>
      </c>
      <c r="G57" s="45"/>
      <c r="H57" s="46"/>
      <c r="I57" s="283"/>
    </row>
    <row r="58" ht="22.5" customHeight="1">
      <c r="A58" s="280"/>
      <c r="B58" s="320" t="s">
        <v>637</v>
      </c>
      <c r="C58" s="321" t="s">
        <v>638</v>
      </c>
      <c r="D58" s="320" t="s">
        <v>639</v>
      </c>
      <c r="E58" s="318"/>
      <c r="F58" s="323" t="s">
        <v>637</v>
      </c>
      <c r="G58" s="324" t="s">
        <v>638</v>
      </c>
      <c r="H58" s="325"/>
      <c r="I58" s="283"/>
    </row>
    <row r="59" ht="22.5" customHeight="1">
      <c r="A59" s="280"/>
      <c r="B59" s="371" t="s">
        <v>151</v>
      </c>
      <c r="C59" s="385" t="s">
        <v>86</v>
      </c>
      <c r="D59" s="371" t="s">
        <v>640</v>
      </c>
      <c r="E59" s="318"/>
      <c r="F59" s="327" t="s">
        <v>641</v>
      </c>
      <c r="G59" s="328" t="s">
        <v>86</v>
      </c>
      <c r="H59" s="325"/>
      <c r="I59" s="283"/>
    </row>
    <row r="60" ht="27.75" customHeight="1">
      <c r="A60" s="280"/>
      <c r="B60" s="371" t="s">
        <v>150</v>
      </c>
      <c r="C60" s="385" t="s">
        <v>85</v>
      </c>
      <c r="D60" s="371" t="s">
        <v>640</v>
      </c>
      <c r="E60" s="318"/>
      <c r="F60" s="327" t="s">
        <v>149</v>
      </c>
      <c r="G60" s="328" t="s">
        <v>85</v>
      </c>
      <c r="H60" s="325"/>
      <c r="I60" s="283"/>
    </row>
    <row r="61" ht="26.25" customHeight="1">
      <c r="A61" s="280"/>
      <c r="B61" s="371" t="s">
        <v>149</v>
      </c>
      <c r="C61" s="385" t="s">
        <v>87</v>
      </c>
      <c r="D61" s="371" t="s">
        <v>642</v>
      </c>
      <c r="E61" s="318"/>
      <c r="F61" s="327" t="s">
        <v>148</v>
      </c>
      <c r="G61" s="328" t="s">
        <v>87</v>
      </c>
      <c r="H61" s="325"/>
      <c r="I61" s="283"/>
    </row>
    <row r="62" ht="24.75" customHeight="1">
      <c r="A62" s="280"/>
      <c r="B62" s="371" t="s">
        <v>148</v>
      </c>
      <c r="C62" s="385" t="s">
        <v>90</v>
      </c>
      <c r="D62" s="371" t="s">
        <v>643</v>
      </c>
      <c r="E62" s="318"/>
      <c r="F62" s="327" t="s">
        <v>147</v>
      </c>
      <c r="G62" s="328" t="s">
        <v>90</v>
      </c>
      <c r="H62" s="325"/>
      <c r="I62" s="283"/>
    </row>
    <row r="63" ht="21.0" customHeight="1">
      <c r="A63" s="280"/>
      <c r="B63" s="371" t="s">
        <v>147</v>
      </c>
      <c r="C63" s="385" t="s">
        <v>93</v>
      </c>
      <c r="D63" s="371" t="s">
        <v>644</v>
      </c>
      <c r="E63" s="318"/>
      <c r="F63" s="386" t="s">
        <v>645</v>
      </c>
      <c r="G63" s="372" t="s">
        <v>93</v>
      </c>
      <c r="H63" s="343"/>
      <c r="I63" s="283"/>
    </row>
    <row r="64" ht="22.5" customHeight="1">
      <c r="A64" s="280"/>
      <c r="B64" s="371" t="s">
        <v>145</v>
      </c>
      <c r="C64" s="385" t="s">
        <v>146</v>
      </c>
      <c r="D64" s="371" t="s">
        <v>644</v>
      </c>
      <c r="E64" s="318"/>
      <c r="F64" s="372"/>
      <c r="G64" s="372"/>
      <c r="I64" s="283"/>
    </row>
    <row r="65" ht="18.75" customHeight="1">
      <c r="A65" s="280"/>
      <c r="B65" s="371" t="s">
        <v>143</v>
      </c>
      <c r="C65" s="385" t="s">
        <v>144</v>
      </c>
      <c r="D65" s="371" t="s">
        <v>646</v>
      </c>
      <c r="E65" s="333"/>
      <c r="F65" s="286"/>
      <c r="G65" s="286"/>
      <c r="H65" s="284"/>
      <c r="I65" s="2"/>
    </row>
    <row r="66" ht="24.0" customHeight="1">
      <c r="A66" s="280"/>
      <c r="B66" s="371" t="s">
        <v>141</v>
      </c>
      <c r="C66" s="385" t="s">
        <v>142</v>
      </c>
      <c r="D66" s="371" t="s">
        <v>646</v>
      </c>
      <c r="E66" s="318"/>
      <c r="F66" s="334" t="s">
        <v>647</v>
      </c>
      <c r="G66" s="334"/>
      <c r="H66" s="283"/>
      <c r="I66" s="2"/>
    </row>
    <row r="67" ht="18.75" customHeight="1">
      <c r="A67" s="280"/>
      <c r="B67" s="371" t="s">
        <v>139</v>
      </c>
      <c r="C67" s="385" t="s">
        <v>140</v>
      </c>
      <c r="D67" s="371" t="s">
        <v>646</v>
      </c>
      <c r="E67" s="318"/>
      <c r="F67" s="334" t="s">
        <v>648</v>
      </c>
      <c r="G67" s="334"/>
      <c r="H67" s="283"/>
      <c r="I67" s="2"/>
    </row>
    <row r="68" ht="12.0" customHeight="1">
      <c r="A68" s="280"/>
      <c r="B68" s="311"/>
      <c r="C68" s="312"/>
      <c r="D68" s="313"/>
      <c r="E68" s="318"/>
      <c r="F68" s="313"/>
      <c r="G68" s="313"/>
      <c r="H68" s="283"/>
      <c r="I68" s="2"/>
    </row>
    <row r="69" ht="12.0" customHeight="1">
      <c r="A69" s="280"/>
      <c r="B69" s="311"/>
      <c r="C69" s="312"/>
      <c r="D69" s="313"/>
      <c r="E69" s="318"/>
      <c r="F69" s="313"/>
      <c r="G69" s="313"/>
      <c r="H69" s="283"/>
      <c r="I69" s="2"/>
    </row>
    <row r="70" ht="12.0" customHeight="1">
      <c r="A70" s="2"/>
      <c r="B70" s="300"/>
      <c r="C70" s="285"/>
      <c r="D70" s="284"/>
      <c r="E70" s="262"/>
      <c r="F70" s="284"/>
      <c r="G70" s="284"/>
      <c r="H70" s="2"/>
      <c r="I70" s="2"/>
    </row>
    <row r="71" ht="12.0" customHeight="1">
      <c r="B71" s="260"/>
      <c r="C71" s="130"/>
      <c r="E71" s="130"/>
    </row>
    <row r="72" ht="12.0" customHeight="1">
      <c r="B72" s="335" t="s">
        <v>658</v>
      </c>
      <c r="C72" s="336"/>
      <c r="D72" s="337"/>
      <c r="E72" s="338"/>
      <c r="F72" s="339"/>
      <c r="G72" s="340"/>
      <c r="H72" s="341"/>
    </row>
    <row r="73" ht="12.0" customHeight="1">
      <c r="B73" s="342"/>
      <c r="D73" s="343"/>
      <c r="F73" s="344"/>
      <c r="H73" s="343"/>
    </row>
    <row r="74" ht="12.0" customHeight="1">
      <c r="B74" s="345"/>
      <c r="C74" s="346"/>
      <c r="D74" s="325"/>
      <c r="E74" s="346"/>
      <c r="F74" s="347"/>
      <c r="G74" s="346"/>
      <c r="H74" s="325"/>
    </row>
    <row r="75" ht="21.75" customHeight="1">
      <c r="B75" s="348" t="s">
        <v>650</v>
      </c>
      <c r="C75" s="346"/>
      <c r="D75" s="325"/>
      <c r="E75" s="349" t="s">
        <v>651</v>
      </c>
      <c r="F75" s="325"/>
      <c r="G75" s="350" t="s">
        <v>652</v>
      </c>
      <c r="H75" s="325"/>
    </row>
    <row r="76" ht="12.0" customHeight="1">
      <c r="C76" s="130"/>
      <c r="E76" s="130"/>
    </row>
    <row r="77" ht="12.0" customHeight="1">
      <c r="C77" s="130"/>
      <c r="E77" s="130"/>
    </row>
    <row r="78" ht="12.0" customHeight="1">
      <c r="C78" s="130"/>
      <c r="E78" s="130"/>
    </row>
    <row r="79" ht="12.0" customHeight="1">
      <c r="C79" s="130"/>
      <c r="E79" s="130"/>
    </row>
    <row r="80" ht="12.0" customHeight="1">
      <c r="C80" s="130"/>
      <c r="E80" s="130"/>
    </row>
    <row r="81" ht="12.0" customHeight="1">
      <c r="C81" s="130"/>
      <c r="E81" s="130"/>
    </row>
    <row r="82" ht="12.0" customHeight="1">
      <c r="C82" s="130"/>
      <c r="E82" s="130"/>
    </row>
    <row r="83" ht="12.0" customHeight="1">
      <c r="C83" s="130"/>
      <c r="E83" s="130"/>
    </row>
    <row r="84" ht="12.0" customHeight="1">
      <c r="C84" s="130"/>
      <c r="E84" s="130"/>
    </row>
    <row r="85" ht="12.0" customHeight="1">
      <c r="C85" s="130"/>
      <c r="E85" s="130"/>
    </row>
    <row r="86" ht="12.0" customHeight="1">
      <c r="C86" s="130"/>
      <c r="E86" s="130"/>
    </row>
    <row r="87" ht="12.0" customHeight="1">
      <c r="C87" s="130"/>
      <c r="E87" s="130"/>
    </row>
    <row r="88" ht="12.0" customHeight="1">
      <c r="C88" s="130"/>
      <c r="E88" s="130"/>
    </row>
    <row r="89" ht="12.0" customHeight="1">
      <c r="C89" s="130"/>
      <c r="E89" s="130"/>
    </row>
    <row r="90" ht="12.0" customHeight="1">
      <c r="C90" s="130"/>
      <c r="E90" s="130"/>
    </row>
    <row r="91" ht="12.0" customHeight="1">
      <c r="C91" s="130"/>
      <c r="E91" s="130"/>
    </row>
    <row r="92" ht="12.0" customHeight="1">
      <c r="C92" s="130"/>
      <c r="E92" s="130"/>
    </row>
    <row r="93" ht="12.0" customHeight="1">
      <c r="C93" s="130"/>
      <c r="E93" s="130"/>
    </row>
    <row r="94" ht="12.0" customHeight="1">
      <c r="C94" s="130"/>
      <c r="E94" s="130"/>
    </row>
    <row r="95" ht="12.0" customHeight="1">
      <c r="C95" s="130"/>
      <c r="E95" s="130"/>
    </row>
    <row r="96" ht="12.0" customHeight="1">
      <c r="C96" s="130"/>
      <c r="E96" s="130"/>
    </row>
    <row r="97" ht="12.0" customHeight="1">
      <c r="C97" s="130"/>
      <c r="E97" s="130"/>
    </row>
    <row r="98" ht="12.0" customHeight="1">
      <c r="C98" s="130"/>
      <c r="E98" s="130"/>
    </row>
    <row r="99" ht="12.0" customHeight="1">
      <c r="C99" s="130"/>
      <c r="E99" s="130"/>
    </row>
    <row r="100" ht="12.0" customHeight="1">
      <c r="C100" s="130"/>
      <c r="E100" s="130"/>
    </row>
    <row r="101" ht="12.0" customHeight="1">
      <c r="C101" s="130"/>
      <c r="E101" s="130"/>
    </row>
    <row r="102" ht="12.0" customHeight="1">
      <c r="B102" s="260"/>
      <c r="C102" s="130"/>
      <c r="E102" s="130"/>
    </row>
    <row r="103" ht="12.0" customHeight="1">
      <c r="B103" s="260"/>
      <c r="C103" s="130"/>
      <c r="E103" s="130"/>
    </row>
    <row r="104" ht="12.0" customHeight="1">
      <c r="B104" s="260"/>
      <c r="C104" s="130"/>
      <c r="E104" s="130"/>
    </row>
    <row r="105" ht="12.0" customHeight="1">
      <c r="B105" s="260"/>
      <c r="C105" s="130"/>
      <c r="E105" s="130"/>
    </row>
    <row r="106" ht="12.0" customHeight="1">
      <c r="B106" s="260"/>
      <c r="C106" s="130"/>
      <c r="E106" s="130"/>
    </row>
    <row r="107" ht="12.0" customHeight="1">
      <c r="B107" s="260"/>
      <c r="C107" s="130"/>
      <c r="E107" s="130"/>
    </row>
    <row r="108" ht="12.0" customHeight="1">
      <c r="B108" s="260"/>
      <c r="C108" s="130"/>
      <c r="E108" s="130"/>
    </row>
    <row r="109" ht="12.0" customHeight="1">
      <c r="B109" s="260"/>
      <c r="C109" s="130"/>
      <c r="E109" s="130"/>
    </row>
    <row r="110" ht="12.0" customHeight="1">
      <c r="B110" s="260"/>
      <c r="C110" s="130"/>
      <c r="E110" s="130"/>
    </row>
    <row r="111" ht="12.0" customHeight="1">
      <c r="B111" s="260"/>
      <c r="C111" s="130"/>
      <c r="E111" s="130"/>
    </row>
    <row r="112" ht="12.0" customHeight="1">
      <c r="B112" s="260"/>
      <c r="C112" s="130"/>
      <c r="E112" s="130"/>
    </row>
    <row r="113" ht="12.0" customHeight="1">
      <c r="B113" s="260"/>
      <c r="C113" s="130"/>
      <c r="E113" s="130"/>
    </row>
    <row r="114" ht="12.0" customHeight="1">
      <c r="B114" s="260"/>
      <c r="C114" s="130"/>
      <c r="E114" s="130"/>
    </row>
    <row r="115" ht="12.0" customHeight="1">
      <c r="B115" s="260"/>
      <c r="C115" s="130"/>
      <c r="E115" s="130"/>
    </row>
    <row r="116" ht="12.0" customHeight="1">
      <c r="B116" s="260"/>
      <c r="C116" s="130"/>
      <c r="E116" s="130"/>
    </row>
    <row r="117" ht="12.0" customHeight="1">
      <c r="B117" s="260"/>
      <c r="C117" s="130"/>
      <c r="E117" s="130"/>
    </row>
    <row r="118" ht="12.0" customHeight="1">
      <c r="B118" s="260"/>
      <c r="C118" s="130"/>
      <c r="E118" s="130"/>
    </row>
    <row r="119" ht="12.0" customHeight="1">
      <c r="B119" s="260"/>
      <c r="C119" s="130"/>
      <c r="E119" s="130"/>
    </row>
    <row r="120" ht="12.0" customHeight="1">
      <c r="B120" s="260"/>
      <c r="C120" s="130"/>
      <c r="E120" s="130"/>
    </row>
    <row r="121" ht="12.0" customHeight="1">
      <c r="B121" s="260"/>
      <c r="C121" s="130"/>
      <c r="E121" s="130"/>
    </row>
    <row r="122" ht="12.0" customHeight="1">
      <c r="B122" s="260"/>
      <c r="C122" s="130"/>
      <c r="E122" s="130"/>
    </row>
    <row r="123" ht="12.0" customHeight="1">
      <c r="B123" s="260"/>
      <c r="C123" s="130"/>
      <c r="E123" s="130"/>
    </row>
    <row r="124" ht="12.0" customHeight="1">
      <c r="B124" s="260"/>
      <c r="C124" s="130"/>
      <c r="E124" s="130"/>
    </row>
    <row r="125" ht="12.0" customHeight="1">
      <c r="B125" s="260"/>
      <c r="C125" s="130"/>
      <c r="E125" s="130"/>
    </row>
    <row r="126" ht="12.0" customHeight="1">
      <c r="B126" s="260"/>
      <c r="C126" s="130"/>
      <c r="E126" s="130"/>
    </row>
    <row r="127" ht="12.0" customHeight="1">
      <c r="B127" s="260"/>
      <c r="C127" s="130"/>
      <c r="E127" s="130"/>
    </row>
    <row r="128" ht="12.0" customHeight="1">
      <c r="B128" s="260"/>
      <c r="C128" s="130"/>
      <c r="E128" s="130"/>
    </row>
    <row r="129" ht="12.0" customHeight="1">
      <c r="B129" s="260"/>
      <c r="C129" s="130"/>
      <c r="E129" s="130"/>
    </row>
    <row r="130" ht="12.0" customHeight="1">
      <c r="B130" s="260"/>
      <c r="C130" s="130"/>
      <c r="E130" s="130"/>
    </row>
    <row r="131" ht="12.0" customHeight="1">
      <c r="B131" s="260"/>
      <c r="C131" s="130"/>
      <c r="E131" s="130"/>
    </row>
    <row r="132" ht="12.0" customHeight="1">
      <c r="B132" s="260"/>
      <c r="C132" s="130"/>
      <c r="E132" s="130"/>
    </row>
    <row r="133" ht="12.0" customHeight="1">
      <c r="B133" s="260"/>
      <c r="C133" s="130"/>
      <c r="E133" s="130"/>
    </row>
    <row r="134" ht="12.0" customHeight="1">
      <c r="B134" s="260"/>
      <c r="C134" s="130"/>
      <c r="E134" s="130"/>
    </row>
    <row r="135" ht="12.0" customHeight="1">
      <c r="B135" s="260"/>
      <c r="C135" s="130"/>
      <c r="E135" s="130"/>
    </row>
    <row r="136" ht="12.0" customHeight="1">
      <c r="B136" s="260"/>
      <c r="C136" s="130"/>
      <c r="E136" s="130"/>
    </row>
    <row r="137" ht="12.0" customHeight="1">
      <c r="B137" s="260"/>
      <c r="C137" s="130"/>
      <c r="E137" s="130"/>
    </row>
    <row r="138" ht="12.0" customHeight="1">
      <c r="B138" s="260"/>
      <c r="C138" s="130"/>
      <c r="E138" s="130"/>
    </row>
    <row r="139" ht="12.0" customHeight="1">
      <c r="B139" s="260"/>
      <c r="C139" s="130"/>
      <c r="E139" s="130"/>
    </row>
    <row r="140" ht="12.0" customHeight="1">
      <c r="B140" s="260"/>
      <c r="C140" s="130"/>
      <c r="E140" s="130"/>
    </row>
    <row r="141" ht="12.0" customHeight="1">
      <c r="B141" s="260"/>
      <c r="C141" s="130"/>
      <c r="E141" s="130"/>
    </row>
    <row r="142" ht="12.0" customHeight="1">
      <c r="B142" s="260"/>
      <c r="C142" s="130"/>
      <c r="E142" s="130"/>
    </row>
    <row r="143" ht="12.0" customHeight="1">
      <c r="B143" s="260"/>
      <c r="C143" s="130"/>
      <c r="E143" s="130"/>
    </row>
    <row r="144" ht="12.0" customHeight="1">
      <c r="B144" s="260"/>
      <c r="C144" s="130"/>
      <c r="E144" s="130"/>
    </row>
    <row r="145" ht="12.0" customHeight="1">
      <c r="B145" s="260"/>
      <c r="C145" s="130"/>
      <c r="E145" s="130"/>
    </row>
    <row r="146" ht="12.0" customHeight="1">
      <c r="B146" s="260"/>
      <c r="C146" s="130"/>
      <c r="E146" s="130"/>
    </row>
    <row r="147" ht="12.0" customHeight="1">
      <c r="B147" s="260"/>
      <c r="C147" s="130"/>
      <c r="E147" s="130"/>
    </row>
    <row r="148" ht="12.0" customHeight="1">
      <c r="B148" s="260"/>
      <c r="C148" s="130"/>
      <c r="E148" s="130"/>
    </row>
    <row r="149" ht="12.0" customHeight="1">
      <c r="B149" s="260"/>
      <c r="C149" s="130"/>
      <c r="E149" s="130"/>
    </row>
    <row r="150" ht="12.0" customHeight="1">
      <c r="B150" s="260"/>
      <c r="C150" s="130"/>
      <c r="E150" s="130"/>
    </row>
    <row r="151" ht="12.0" customHeight="1">
      <c r="B151" s="260"/>
      <c r="C151" s="130"/>
      <c r="E151" s="130"/>
    </row>
    <row r="152" ht="12.0" customHeight="1">
      <c r="B152" s="260"/>
      <c r="C152" s="130"/>
      <c r="E152" s="130"/>
    </row>
    <row r="153" ht="12.0" customHeight="1">
      <c r="B153" s="260"/>
      <c r="C153" s="130"/>
      <c r="E153" s="130"/>
    </row>
    <row r="154" ht="12.0" customHeight="1">
      <c r="B154" s="260"/>
      <c r="C154" s="130"/>
      <c r="E154" s="130"/>
    </row>
    <row r="155" ht="12.0" customHeight="1">
      <c r="B155" s="260"/>
      <c r="C155" s="130"/>
      <c r="E155" s="130"/>
    </row>
    <row r="156" ht="12.0" customHeight="1">
      <c r="B156" s="260"/>
      <c r="C156" s="130"/>
      <c r="E156" s="130"/>
    </row>
    <row r="157" ht="12.0" customHeight="1">
      <c r="B157" s="260"/>
      <c r="C157" s="130"/>
      <c r="E157" s="130"/>
    </row>
    <row r="158" ht="12.0" customHeight="1">
      <c r="B158" s="260"/>
      <c r="C158" s="130"/>
      <c r="E158" s="130"/>
    </row>
    <row r="159" ht="12.0" customHeight="1">
      <c r="B159" s="260"/>
      <c r="C159" s="130"/>
      <c r="E159" s="130"/>
    </row>
    <row r="160" ht="12.0" customHeight="1">
      <c r="B160" s="260"/>
      <c r="C160" s="130"/>
      <c r="E160" s="130"/>
    </row>
    <row r="161" ht="12.0" customHeight="1">
      <c r="B161" s="260"/>
      <c r="C161" s="130"/>
      <c r="E161" s="130"/>
    </row>
    <row r="162" ht="12.0" customHeight="1">
      <c r="B162" s="260"/>
      <c r="C162" s="130"/>
      <c r="E162" s="130"/>
    </row>
    <row r="163" ht="12.0" customHeight="1">
      <c r="B163" s="260"/>
      <c r="C163" s="130"/>
      <c r="E163" s="130"/>
    </row>
    <row r="164" ht="12.0" customHeight="1">
      <c r="B164" s="260"/>
      <c r="C164" s="130"/>
      <c r="E164" s="130"/>
    </row>
    <row r="165" ht="12.0" customHeight="1">
      <c r="B165" s="260"/>
      <c r="C165" s="130"/>
      <c r="E165" s="130"/>
    </row>
    <row r="166" ht="12.0" customHeight="1">
      <c r="B166" s="260"/>
      <c r="C166" s="130"/>
      <c r="E166" s="130"/>
    </row>
    <row r="167" ht="12.0" customHeight="1">
      <c r="B167" s="260"/>
      <c r="C167" s="130"/>
      <c r="E167" s="130"/>
    </row>
    <row r="168" ht="12.0" customHeight="1">
      <c r="B168" s="260"/>
      <c r="C168" s="130"/>
      <c r="E168" s="130"/>
    </row>
    <row r="169" ht="12.0" customHeight="1">
      <c r="B169" s="260"/>
      <c r="C169" s="130"/>
      <c r="E169" s="130"/>
    </row>
    <row r="170" ht="12.0" customHeight="1">
      <c r="B170" s="260"/>
      <c r="C170" s="130"/>
      <c r="E170" s="130"/>
    </row>
    <row r="171" ht="12.0" customHeight="1">
      <c r="B171" s="260"/>
      <c r="C171" s="130"/>
      <c r="E171" s="130"/>
    </row>
    <row r="172" ht="12.0" customHeight="1">
      <c r="B172" s="260"/>
      <c r="C172" s="130"/>
      <c r="E172" s="130"/>
    </row>
    <row r="173" ht="12.0" customHeight="1">
      <c r="B173" s="260"/>
      <c r="C173" s="130"/>
      <c r="E173" s="130"/>
    </row>
    <row r="174" ht="12.0" customHeight="1">
      <c r="B174" s="260"/>
      <c r="C174" s="130"/>
      <c r="E174" s="130"/>
    </row>
    <row r="175" ht="12.0" customHeight="1">
      <c r="B175" s="260"/>
      <c r="C175" s="130"/>
      <c r="E175" s="130"/>
    </row>
    <row r="176" ht="12.0" customHeight="1">
      <c r="B176" s="260"/>
      <c r="C176" s="130"/>
      <c r="E176" s="130"/>
    </row>
    <row r="177" ht="12.0" customHeight="1">
      <c r="B177" s="260"/>
      <c r="C177" s="130"/>
      <c r="E177" s="130"/>
    </row>
    <row r="178" ht="12.0" customHeight="1">
      <c r="B178" s="260"/>
      <c r="C178" s="130"/>
      <c r="E178" s="130"/>
    </row>
    <row r="179" ht="12.0" customHeight="1">
      <c r="B179" s="260"/>
      <c r="C179" s="130"/>
      <c r="E179" s="130"/>
    </row>
    <row r="180" ht="12.0" customHeight="1">
      <c r="B180" s="260"/>
      <c r="C180" s="130"/>
      <c r="E180" s="130"/>
    </row>
    <row r="181" ht="12.0" customHeight="1">
      <c r="B181" s="260"/>
      <c r="C181" s="130"/>
      <c r="E181" s="130"/>
    </row>
    <row r="182" ht="12.0" customHeight="1">
      <c r="B182" s="260"/>
      <c r="C182" s="130"/>
      <c r="E182" s="130"/>
    </row>
    <row r="183" ht="12.0" customHeight="1">
      <c r="B183" s="260"/>
      <c r="C183" s="130"/>
      <c r="E183" s="130"/>
    </row>
    <row r="184" ht="12.0" customHeight="1">
      <c r="B184" s="260"/>
      <c r="C184" s="130"/>
      <c r="E184" s="130"/>
    </row>
    <row r="185" ht="12.0" customHeight="1">
      <c r="B185" s="260"/>
      <c r="C185" s="130"/>
      <c r="E185" s="130"/>
    </row>
    <row r="186" ht="12.0" customHeight="1">
      <c r="B186" s="260"/>
      <c r="C186" s="130"/>
      <c r="E186" s="130"/>
    </row>
    <row r="187" ht="12.0" customHeight="1">
      <c r="B187" s="260"/>
      <c r="C187" s="130"/>
      <c r="E187" s="130"/>
    </row>
    <row r="188" ht="12.0" customHeight="1">
      <c r="B188" s="260"/>
      <c r="C188" s="130"/>
      <c r="E188" s="130"/>
    </row>
    <row r="189" ht="12.0" customHeight="1">
      <c r="B189" s="260"/>
      <c r="C189" s="130"/>
      <c r="E189" s="130"/>
    </row>
    <row r="190" ht="12.0" customHeight="1">
      <c r="B190" s="260"/>
      <c r="C190" s="130"/>
      <c r="E190" s="130"/>
    </row>
    <row r="191" ht="12.0" customHeight="1">
      <c r="B191" s="260"/>
      <c r="C191" s="130"/>
      <c r="E191" s="130"/>
    </row>
    <row r="192" ht="12.0" customHeight="1">
      <c r="B192" s="260"/>
      <c r="C192" s="130"/>
      <c r="E192" s="130"/>
    </row>
    <row r="193" ht="12.0" customHeight="1">
      <c r="B193" s="260"/>
      <c r="C193" s="130"/>
      <c r="E193" s="130"/>
    </row>
    <row r="194" ht="12.0" customHeight="1">
      <c r="B194" s="260"/>
      <c r="C194" s="130"/>
      <c r="E194" s="130"/>
    </row>
    <row r="195" ht="12.0" customHeight="1">
      <c r="B195" s="260"/>
      <c r="C195" s="130"/>
      <c r="E195" s="130"/>
    </row>
    <row r="196" ht="12.0" customHeight="1">
      <c r="B196" s="260"/>
      <c r="C196" s="130"/>
      <c r="E196" s="130"/>
    </row>
    <row r="197" ht="12.0" customHeight="1">
      <c r="B197" s="260"/>
      <c r="C197" s="130"/>
      <c r="E197" s="130"/>
    </row>
    <row r="198" ht="12.0" customHeight="1">
      <c r="B198" s="260"/>
      <c r="C198" s="130"/>
      <c r="E198" s="130"/>
    </row>
    <row r="199" ht="12.0" customHeight="1">
      <c r="B199" s="260"/>
      <c r="C199" s="130"/>
      <c r="E199" s="130"/>
    </row>
    <row r="200" ht="12.0" customHeight="1">
      <c r="B200" s="260"/>
      <c r="C200" s="130"/>
      <c r="E200" s="130"/>
    </row>
    <row r="201" ht="12.0" customHeight="1">
      <c r="B201" s="260"/>
      <c r="C201" s="130"/>
      <c r="E201" s="130"/>
    </row>
    <row r="202" ht="12.0" customHeight="1">
      <c r="B202" s="260"/>
      <c r="C202" s="130"/>
      <c r="E202" s="130"/>
    </row>
    <row r="203" ht="12.0" customHeight="1">
      <c r="B203" s="260"/>
      <c r="C203" s="130"/>
      <c r="E203" s="130"/>
    </row>
    <row r="204" ht="12.0" customHeight="1">
      <c r="B204" s="260"/>
      <c r="C204" s="130"/>
      <c r="E204" s="130"/>
    </row>
    <row r="205" ht="12.0" customHeight="1">
      <c r="B205" s="260"/>
      <c r="C205" s="130"/>
      <c r="E205" s="130"/>
    </row>
    <row r="206" ht="12.0" customHeight="1">
      <c r="B206" s="260"/>
      <c r="C206" s="130"/>
      <c r="E206" s="130"/>
    </row>
    <row r="207" ht="12.0" customHeight="1">
      <c r="B207" s="260"/>
      <c r="C207" s="130"/>
      <c r="E207" s="130"/>
    </row>
    <row r="208" ht="12.0" customHeight="1">
      <c r="B208" s="260"/>
      <c r="C208" s="130"/>
      <c r="E208" s="130"/>
    </row>
    <row r="209" ht="12.0" customHeight="1">
      <c r="B209" s="260"/>
      <c r="C209" s="130"/>
      <c r="E209" s="130"/>
    </row>
    <row r="210" ht="12.0" customHeight="1">
      <c r="B210" s="260"/>
      <c r="C210" s="130"/>
      <c r="E210" s="130"/>
    </row>
    <row r="211" ht="12.0" customHeight="1">
      <c r="B211" s="260"/>
      <c r="C211" s="130"/>
      <c r="E211" s="130"/>
    </row>
    <row r="212" ht="12.0" customHeight="1">
      <c r="B212" s="260"/>
      <c r="C212" s="130"/>
      <c r="E212" s="130"/>
    </row>
    <row r="213" ht="12.0" customHeight="1">
      <c r="B213" s="260"/>
      <c r="C213" s="130"/>
      <c r="E213" s="130"/>
    </row>
    <row r="214" ht="12.0" customHeight="1">
      <c r="B214" s="260"/>
      <c r="C214" s="130"/>
      <c r="E214" s="130"/>
    </row>
    <row r="215" ht="12.0" customHeight="1">
      <c r="B215" s="260"/>
      <c r="C215" s="130"/>
      <c r="E215" s="130"/>
    </row>
    <row r="216" ht="12.0" customHeight="1">
      <c r="B216" s="260"/>
      <c r="C216" s="130"/>
      <c r="E216" s="130"/>
    </row>
    <row r="217" ht="12.0" customHeight="1">
      <c r="B217" s="260"/>
      <c r="C217" s="130"/>
      <c r="E217" s="130"/>
    </row>
    <row r="218" ht="12.0" customHeight="1">
      <c r="B218" s="260"/>
      <c r="C218" s="130"/>
      <c r="E218" s="130"/>
    </row>
    <row r="219" ht="12.0" customHeight="1">
      <c r="B219" s="260"/>
      <c r="C219" s="130"/>
      <c r="E219" s="130"/>
    </row>
    <row r="220" ht="12.0" customHeight="1">
      <c r="B220" s="260"/>
      <c r="C220" s="130"/>
      <c r="E220" s="130"/>
    </row>
    <row r="221" ht="12.0" customHeight="1">
      <c r="B221" s="260"/>
      <c r="C221" s="130"/>
      <c r="E221" s="130"/>
    </row>
    <row r="222" ht="12.0" customHeight="1">
      <c r="B222" s="260"/>
      <c r="C222" s="130"/>
      <c r="E222" s="130"/>
    </row>
    <row r="223" ht="12.0" customHeight="1">
      <c r="B223" s="260"/>
      <c r="C223" s="130"/>
      <c r="E223" s="130"/>
    </row>
    <row r="224" ht="12.0" customHeight="1">
      <c r="B224" s="260"/>
      <c r="C224" s="130"/>
      <c r="E224" s="130"/>
    </row>
    <row r="225" ht="12.0" customHeight="1">
      <c r="B225" s="260"/>
      <c r="C225" s="130"/>
      <c r="E225" s="130"/>
    </row>
    <row r="226" ht="12.0" customHeight="1">
      <c r="B226" s="260"/>
      <c r="C226" s="130"/>
      <c r="E226" s="130"/>
    </row>
    <row r="227" ht="12.0" customHeight="1">
      <c r="B227" s="260"/>
      <c r="C227" s="130"/>
      <c r="E227" s="130"/>
    </row>
    <row r="228" ht="12.0" customHeight="1">
      <c r="B228" s="260"/>
      <c r="C228" s="130"/>
      <c r="E228" s="130"/>
    </row>
    <row r="229" ht="12.0" customHeight="1">
      <c r="B229" s="260"/>
      <c r="C229" s="130"/>
      <c r="E229" s="130"/>
    </row>
    <row r="230" ht="12.0" customHeight="1">
      <c r="B230" s="260"/>
      <c r="C230" s="130"/>
      <c r="E230" s="130"/>
    </row>
    <row r="231" ht="12.0" customHeight="1">
      <c r="B231" s="260"/>
      <c r="C231" s="130"/>
      <c r="E231" s="130"/>
    </row>
    <row r="232" ht="12.0" customHeight="1">
      <c r="B232" s="260"/>
      <c r="C232" s="130"/>
      <c r="E232" s="130"/>
    </row>
    <row r="233" ht="12.0" customHeight="1">
      <c r="B233" s="260"/>
      <c r="C233" s="130"/>
      <c r="E233" s="130"/>
    </row>
    <row r="234" ht="12.0" customHeight="1">
      <c r="B234" s="260"/>
      <c r="C234" s="130"/>
      <c r="E234" s="130"/>
    </row>
    <row r="235" ht="12.0" customHeight="1">
      <c r="B235" s="260"/>
      <c r="C235" s="130"/>
      <c r="E235" s="130"/>
    </row>
    <row r="236" ht="12.0" customHeight="1">
      <c r="B236" s="260"/>
      <c r="C236" s="130"/>
      <c r="E236" s="130"/>
    </row>
    <row r="237" ht="12.0" customHeight="1">
      <c r="B237" s="260"/>
      <c r="C237" s="130"/>
      <c r="E237" s="130"/>
    </row>
    <row r="238" ht="12.0" customHeight="1">
      <c r="B238" s="260"/>
      <c r="C238" s="130"/>
      <c r="E238" s="130"/>
    </row>
    <row r="239" ht="12.0" customHeight="1">
      <c r="B239" s="260"/>
      <c r="C239" s="130"/>
      <c r="E239" s="130"/>
    </row>
    <row r="240" ht="12.0" customHeight="1">
      <c r="B240" s="260"/>
      <c r="C240" s="130"/>
      <c r="E240" s="130"/>
    </row>
    <row r="241" ht="12.0" customHeight="1">
      <c r="B241" s="260"/>
      <c r="C241" s="130"/>
      <c r="E241" s="130"/>
    </row>
    <row r="242" ht="12.0" customHeight="1">
      <c r="B242" s="260"/>
      <c r="C242" s="130"/>
      <c r="E242" s="130"/>
    </row>
    <row r="243" ht="12.0" customHeight="1">
      <c r="B243" s="260"/>
      <c r="C243" s="130"/>
      <c r="E243" s="130"/>
    </row>
    <row r="244" ht="12.0" customHeight="1">
      <c r="B244" s="260"/>
      <c r="C244" s="130"/>
      <c r="E244" s="130"/>
    </row>
    <row r="245" ht="12.0" customHeight="1">
      <c r="B245" s="260"/>
      <c r="C245" s="130"/>
      <c r="E245" s="130"/>
    </row>
    <row r="246" ht="12.0" customHeight="1">
      <c r="B246" s="260"/>
      <c r="C246" s="130"/>
      <c r="E246" s="130"/>
    </row>
    <row r="247" ht="12.0" customHeight="1">
      <c r="B247" s="260"/>
      <c r="C247" s="130"/>
      <c r="E247" s="130"/>
    </row>
    <row r="248" ht="12.0" customHeight="1">
      <c r="B248" s="260"/>
      <c r="C248" s="130"/>
      <c r="E248" s="130"/>
    </row>
    <row r="249" ht="12.0" customHeight="1">
      <c r="B249" s="260"/>
      <c r="C249" s="130"/>
      <c r="E249" s="130"/>
    </row>
    <row r="250" ht="12.0" customHeight="1">
      <c r="B250" s="260"/>
      <c r="C250" s="130"/>
      <c r="E250" s="130"/>
    </row>
    <row r="251" ht="12.0" customHeight="1">
      <c r="B251" s="260"/>
      <c r="C251" s="130"/>
      <c r="E251" s="130"/>
    </row>
    <row r="252" ht="12.0" customHeight="1">
      <c r="B252" s="260"/>
      <c r="C252" s="130"/>
      <c r="E252" s="130"/>
    </row>
    <row r="253" ht="12.0" customHeight="1">
      <c r="B253" s="260"/>
      <c r="C253" s="130"/>
      <c r="E253" s="130"/>
    </row>
    <row r="254" ht="12.0" customHeight="1">
      <c r="B254" s="260"/>
      <c r="C254" s="130"/>
      <c r="E254" s="130"/>
    </row>
    <row r="255" ht="12.0" customHeight="1">
      <c r="B255" s="260"/>
      <c r="C255" s="130"/>
      <c r="E255" s="130"/>
    </row>
    <row r="256" ht="12.0" customHeight="1">
      <c r="B256" s="260"/>
      <c r="C256" s="130"/>
      <c r="E256" s="130"/>
    </row>
    <row r="257" ht="12.0" customHeight="1">
      <c r="B257" s="260"/>
      <c r="C257" s="130"/>
      <c r="E257" s="130"/>
    </row>
    <row r="258" ht="12.0" customHeight="1">
      <c r="B258" s="260"/>
      <c r="C258" s="130"/>
      <c r="E258" s="130"/>
    </row>
    <row r="259" ht="12.0" customHeight="1">
      <c r="B259" s="260"/>
      <c r="C259" s="130"/>
      <c r="E259" s="130"/>
    </row>
    <row r="260" ht="12.0" customHeight="1">
      <c r="B260" s="260"/>
      <c r="C260" s="130"/>
      <c r="E260" s="130"/>
    </row>
    <row r="261" ht="12.0" customHeight="1">
      <c r="B261" s="260"/>
      <c r="C261" s="130"/>
      <c r="E261" s="130"/>
    </row>
    <row r="262" ht="12.0" customHeight="1">
      <c r="B262" s="260"/>
      <c r="C262" s="130"/>
      <c r="E262" s="130"/>
    </row>
    <row r="263" ht="12.0" customHeight="1">
      <c r="B263" s="260"/>
      <c r="C263" s="130"/>
      <c r="E263" s="130"/>
    </row>
    <row r="264" ht="12.0" customHeight="1">
      <c r="B264" s="260"/>
      <c r="C264" s="130"/>
      <c r="E264" s="130"/>
    </row>
    <row r="265" ht="12.0" customHeight="1">
      <c r="B265" s="260"/>
      <c r="C265" s="130"/>
      <c r="E265" s="130"/>
    </row>
    <row r="266" ht="12.0" customHeight="1">
      <c r="B266" s="260"/>
      <c r="C266" s="130"/>
      <c r="E266" s="130"/>
    </row>
    <row r="267" ht="12.0" customHeight="1">
      <c r="B267" s="260"/>
      <c r="C267" s="130"/>
      <c r="E267" s="130"/>
    </row>
    <row r="268" ht="12.0" customHeight="1">
      <c r="B268" s="260"/>
      <c r="C268" s="130"/>
      <c r="E268" s="130"/>
    </row>
    <row r="269" ht="12.0" customHeight="1">
      <c r="B269" s="260"/>
      <c r="C269" s="130"/>
      <c r="E269" s="130"/>
    </row>
    <row r="270" ht="12.0" customHeight="1">
      <c r="B270" s="260"/>
      <c r="C270" s="130"/>
      <c r="E270" s="130"/>
    </row>
    <row r="271" ht="12.0" customHeight="1">
      <c r="B271" s="260"/>
      <c r="C271" s="130"/>
      <c r="E271" s="130"/>
    </row>
    <row r="272" ht="12.0" customHeight="1">
      <c r="B272" s="260"/>
      <c r="C272" s="130"/>
      <c r="E272" s="130"/>
    </row>
    <row r="273" ht="12.0" customHeight="1">
      <c r="B273" s="260"/>
      <c r="C273" s="130"/>
      <c r="E273" s="130"/>
    </row>
    <row r="274" ht="12.0" customHeight="1">
      <c r="B274" s="260"/>
      <c r="C274" s="130"/>
      <c r="E274" s="130"/>
    </row>
    <row r="275" ht="12.0" customHeight="1">
      <c r="B275" s="260"/>
      <c r="C275" s="130"/>
      <c r="E275" s="130"/>
    </row>
    <row r="276" ht="12.0" customHeight="1">
      <c r="B276" s="260"/>
      <c r="C276" s="130"/>
      <c r="E276" s="130"/>
    </row>
    <row r="277" ht="12.0" customHeight="1">
      <c r="B277" s="260"/>
      <c r="C277" s="130"/>
      <c r="E277" s="130"/>
    </row>
    <row r="278" ht="12.0" customHeight="1">
      <c r="B278" s="260"/>
      <c r="C278" s="130"/>
      <c r="E278" s="130"/>
    </row>
    <row r="279" ht="12.0" customHeight="1">
      <c r="B279" s="260"/>
      <c r="C279" s="130"/>
      <c r="E279" s="130"/>
    </row>
    <row r="280" ht="12.0" customHeight="1">
      <c r="B280" s="260"/>
      <c r="C280" s="130"/>
      <c r="E280" s="130"/>
    </row>
    <row r="281" ht="12.0" customHeight="1">
      <c r="B281" s="260"/>
      <c r="C281" s="130"/>
      <c r="E281" s="130"/>
    </row>
    <row r="282" ht="12.0" customHeight="1">
      <c r="B282" s="260"/>
      <c r="C282" s="130"/>
      <c r="E282" s="130"/>
    </row>
    <row r="283" ht="12.0" customHeight="1">
      <c r="B283" s="260"/>
      <c r="C283" s="130"/>
      <c r="E283" s="130"/>
    </row>
    <row r="284" ht="12.0" customHeight="1">
      <c r="B284" s="260"/>
      <c r="C284" s="130"/>
      <c r="E284" s="130"/>
    </row>
    <row r="285" ht="12.0" customHeight="1">
      <c r="B285" s="260"/>
      <c r="C285" s="130"/>
      <c r="E285" s="130"/>
    </row>
    <row r="286" ht="12.0" customHeight="1">
      <c r="B286" s="260"/>
      <c r="C286" s="130"/>
      <c r="E286" s="130"/>
    </row>
    <row r="287" ht="12.0" customHeight="1">
      <c r="B287" s="260"/>
      <c r="C287" s="130"/>
      <c r="E287" s="130"/>
    </row>
    <row r="288" ht="12.0" customHeight="1">
      <c r="B288" s="260"/>
      <c r="C288" s="130"/>
      <c r="E288" s="130"/>
    </row>
    <row r="289" ht="12.0" customHeight="1">
      <c r="B289" s="260"/>
      <c r="C289" s="130"/>
      <c r="E289" s="130"/>
    </row>
    <row r="290" ht="12.0" customHeight="1">
      <c r="B290" s="260"/>
      <c r="C290" s="130"/>
      <c r="E290" s="130"/>
    </row>
    <row r="291" ht="12.0" customHeight="1">
      <c r="B291" s="260"/>
      <c r="C291" s="130"/>
      <c r="E291" s="130"/>
    </row>
    <row r="292" ht="12.0" customHeight="1">
      <c r="B292" s="260"/>
      <c r="C292" s="130"/>
      <c r="E292" s="130"/>
    </row>
    <row r="293" ht="12.0" customHeight="1">
      <c r="B293" s="260"/>
      <c r="C293" s="130"/>
      <c r="E293" s="130"/>
    </row>
    <row r="294" ht="12.0" customHeight="1">
      <c r="B294" s="260"/>
      <c r="C294" s="130"/>
      <c r="E294" s="130"/>
    </row>
    <row r="295" ht="12.0" customHeight="1">
      <c r="B295" s="260"/>
      <c r="C295" s="130"/>
      <c r="E295" s="130"/>
    </row>
    <row r="296" ht="12.0" customHeight="1">
      <c r="B296" s="260"/>
      <c r="C296" s="130"/>
      <c r="E296" s="130"/>
    </row>
    <row r="297" ht="12.0" customHeight="1">
      <c r="B297" s="260"/>
      <c r="C297" s="130"/>
      <c r="E297" s="130"/>
    </row>
    <row r="298" ht="12.0" customHeight="1">
      <c r="B298" s="260"/>
      <c r="C298" s="130"/>
      <c r="E298" s="130"/>
    </row>
    <row r="299" ht="12.0" customHeight="1">
      <c r="B299" s="260"/>
      <c r="C299" s="130"/>
      <c r="E299" s="130"/>
    </row>
    <row r="300" ht="12.0" customHeight="1">
      <c r="B300" s="260"/>
      <c r="C300" s="130"/>
      <c r="E300" s="130"/>
    </row>
    <row r="301" ht="12.0" customHeight="1">
      <c r="B301" s="260"/>
      <c r="C301" s="130"/>
      <c r="E301" s="130"/>
    </row>
    <row r="302" ht="12.0" customHeight="1">
      <c r="B302" s="260"/>
      <c r="C302" s="130"/>
      <c r="E302" s="130"/>
    </row>
    <row r="303" ht="12.0" customHeight="1">
      <c r="B303" s="260"/>
      <c r="C303" s="130"/>
      <c r="E303" s="130"/>
    </row>
    <row r="304" ht="12.0" customHeight="1">
      <c r="B304" s="260"/>
      <c r="C304" s="130"/>
      <c r="E304" s="130"/>
    </row>
    <row r="305" ht="12.0" customHeight="1">
      <c r="B305" s="260"/>
      <c r="C305" s="130"/>
      <c r="E305" s="130"/>
    </row>
    <row r="306" ht="12.0" customHeight="1">
      <c r="B306" s="260"/>
      <c r="C306" s="130"/>
      <c r="E306" s="130"/>
    </row>
    <row r="307" ht="12.0" customHeight="1">
      <c r="B307" s="260"/>
      <c r="C307" s="130"/>
      <c r="E307" s="130"/>
    </row>
    <row r="308" ht="12.0" customHeight="1">
      <c r="B308" s="260"/>
      <c r="C308" s="130"/>
      <c r="E308" s="130"/>
    </row>
    <row r="309" ht="12.0" customHeight="1">
      <c r="B309" s="260"/>
      <c r="C309" s="130"/>
      <c r="E309" s="130"/>
    </row>
    <row r="310" ht="12.0" customHeight="1">
      <c r="B310" s="260"/>
      <c r="C310" s="130"/>
      <c r="E310" s="130"/>
    </row>
    <row r="311" ht="12.0" customHeight="1">
      <c r="B311" s="260"/>
      <c r="C311" s="130"/>
      <c r="E311" s="130"/>
    </row>
    <row r="312" ht="12.0" customHeight="1">
      <c r="B312" s="260"/>
      <c r="C312" s="130"/>
      <c r="E312" s="130"/>
    </row>
    <row r="313" ht="12.0" customHeight="1">
      <c r="B313" s="260"/>
      <c r="C313" s="130"/>
      <c r="E313" s="130"/>
    </row>
    <row r="314" ht="12.0" customHeight="1">
      <c r="B314" s="260"/>
      <c r="C314" s="130"/>
      <c r="E314" s="130"/>
    </row>
    <row r="315" ht="12.0" customHeight="1">
      <c r="B315" s="260"/>
      <c r="C315" s="130"/>
      <c r="E315" s="130"/>
    </row>
    <row r="316" ht="12.0" customHeight="1">
      <c r="B316" s="260"/>
      <c r="C316" s="130"/>
      <c r="E316" s="130"/>
    </row>
    <row r="317" ht="12.0" customHeight="1">
      <c r="B317" s="260"/>
      <c r="C317" s="130"/>
      <c r="E317" s="130"/>
    </row>
    <row r="318" ht="12.0" customHeight="1">
      <c r="B318" s="260"/>
      <c r="C318" s="130"/>
      <c r="E318" s="130"/>
    </row>
    <row r="319" ht="12.0" customHeight="1">
      <c r="B319" s="260"/>
      <c r="C319" s="130"/>
      <c r="E319" s="130"/>
    </row>
    <row r="320" ht="12.0" customHeight="1">
      <c r="B320" s="260"/>
      <c r="C320" s="130"/>
      <c r="E320" s="130"/>
    </row>
    <row r="321" ht="12.0" customHeight="1">
      <c r="B321" s="260"/>
      <c r="C321" s="130"/>
      <c r="E321" s="130"/>
    </row>
    <row r="322" ht="12.0" customHeight="1">
      <c r="B322" s="260"/>
      <c r="C322" s="130"/>
      <c r="E322" s="130"/>
    </row>
    <row r="323" ht="12.0" customHeight="1">
      <c r="B323" s="260"/>
      <c r="C323" s="130"/>
      <c r="E323" s="130"/>
    </row>
    <row r="324" ht="12.0" customHeight="1">
      <c r="B324" s="260"/>
      <c r="C324" s="130"/>
      <c r="E324" s="130"/>
    </row>
    <row r="325" ht="12.0" customHeight="1">
      <c r="B325" s="260"/>
      <c r="C325" s="130"/>
      <c r="E325" s="130"/>
    </row>
    <row r="326" ht="12.0" customHeight="1">
      <c r="B326" s="260"/>
      <c r="C326" s="130"/>
      <c r="E326" s="130"/>
    </row>
    <row r="327" ht="12.0" customHeight="1">
      <c r="B327" s="260"/>
      <c r="C327" s="130"/>
      <c r="E327" s="130"/>
    </row>
    <row r="328" ht="12.0" customHeight="1">
      <c r="B328" s="260"/>
      <c r="C328" s="130"/>
      <c r="E328" s="130"/>
    </row>
    <row r="329" ht="12.0" customHeight="1">
      <c r="B329" s="260"/>
      <c r="C329" s="130"/>
      <c r="E329" s="130"/>
    </row>
    <row r="330" ht="12.0" customHeight="1">
      <c r="B330" s="260"/>
      <c r="C330" s="130"/>
      <c r="E330" s="130"/>
    </row>
    <row r="331" ht="12.0" customHeight="1">
      <c r="B331" s="260"/>
      <c r="C331" s="130"/>
      <c r="E331" s="130"/>
    </row>
    <row r="332" ht="12.0" customHeight="1">
      <c r="B332" s="260"/>
      <c r="C332" s="130"/>
      <c r="E332" s="130"/>
    </row>
    <row r="333" ht="12.0" customHeight="1">
      <c r="B333" s="260"/>
      <c r="C333" s="130"/>
      <c r="E333" s="130"/>
    </row>
    <row r="334" ht="12.0" customHeight="1">
      <c r="B334" s="260"/>
      <c r="C334" s="130"/>
      <c r="E334" s="130"/>
    </row>
    <row r="335" ht="12.0" customHeight="1">
      <c r="B335" s="260"/>
      <c r="C335" s="130"/>
      <c r="E335" s="130"/>
    </row>
    <row r="336" ht="12.0" customHeight="1">
      <c r="B336" s="260"/>
      <c r="C336" s="130"/>
      <c r="E336" s="130"/>
    </row>
    <row r="337" ht="12.0" customHeight="1">
      <c r="B337" s="260"/>
      <c r="C337" s="130"/>
      <c r="E337" s="130"/>
    </row>
    <row r="338" ht="12.0" customHeight="1">
      <c r="B338" s="260"/>
      <c r="C338" s="130"/>
      <c r="E338" s="130"/>
    </row>
    <row r="339" ht="12.0" customHeight="1">
      <c r="B339" s="260"/>
      <c r="C339" s="130"/>
      <c r="E339" s="130"/>
    </row>
    <row r="340" ht="12.0" customHeight="1">
      <c r="B340" s="260"/>
      <c r="C340" s="130"/>
      <c r="E340" s="130"/>
    </row>
    <row r="341" ht="12.0" customHeight="1">
      <c r="B341" s="260"/>
      <c r="C341" s="130"/>
      <c r="E341" s="130"/>
    </row>
    <row r="342" ht="12.0" customHeight="1">
      <c r="B342" s="260"/>
      <c r="C342" s="130"/>
      <c r="E342" s="130"/>
    </row>
    <row r="343" ht="12.0" customHeight="1">
      <c r="B343" s="260"/>
      <c r="C343" s="130"/>
      <c r="E343" s="130"/>
    </row>
    <row r="344" ht="12.0" customHeight="1">
      <c r="B344" s="260"/>
      <c r="C344" s="130"/>
      <c r="E344" s="130"/>
    </row>
    <row r="345" ht="12.0" customHeight="1">
      <c r="B345" s="260"/>
      <c r="C345" s="130"/>
      <c r="E345" s="130"/>
    </row>
    <row r="346" ht="12.0" customHeight="1">
      <c r="B346" s="260"/>
      <c r="C346" s="130"/>
      <c r="E346" s="130"/>
    </row>
    <row r="347" ht="12.0" customHeight="1">
      <c r="B347" s="260"/>
      <c r="C347" s="130"/>
      <c r="E347" s="130"/>
    </row>
    <row r="348" ht="12.0" customHeight="1">
      <c r="B348" s="260"/>
      <c r="C348" s="130"/>
      <c r="E348" s="130"/>
    </row>
    <row r="349" ht="12.0" customHeight="1">
      <c r="B349" s="260"/>
      <c r="C349" s="130"/>
      <c r="E349" s="130"/>
    </row>
    <row r="350" ht="12.0" customHeight="1">
      <c r="B350" s="260"/>
      <c r="C350" s="130"/>
      <c r="E350" s="130"/>
    </row>
    <row r="351" ht="12.0" customHeight="1">
      <c r="B351" s="260"/>
      <c r="C351" s="130"/>
      <c r="E351" s="130"/>
    </row>
    <row r="352" ht="12.0" customHeight="1">
      <c r="B352" s="260"/>
      <c r="C352" s="130"/>
      <c r="E352" s="130"/>
    </row>
    <row r="353" ht="12.0" customHeight="1">
      <c r="B353" s="260"/>
      <c r="C353" s="130"/>
      <c r="E353" s="130"/>
    </row>
    <row r="354" ht="12.0" customHeight="1">
      <c r="B354" s="260"/>
      <c r="C354" s="130"/>
      <c r="E354" s="130"/>
    </row>
    <row r="355" ht="12.0" customHeight="1">
      <c r="B355" s="260"/>
      <c r="C355" s="130"/>
      <c r="E355" s="130"/>
    </row>
    <row r="356" ht="12.0" customHeight="1">
      <c r="B356" s="260"/>
      <c r="C356" s="130"/>
      <c r="E356" s="130"/>
    </row>
    <row r="357" ht="12.0" customHeight="1">
      <c r="B357" s="260"/>
      <c r="C357" s="130"/>
      <c r="E357" s="130"/>
    </row>
    <row r="358" ht="12.0" customHeight="1">
      <c r="B358" s="260"/>
      <c r="C358" s="130"/>
      <c r="E358" s="130"/>
    </row>
    <row r="359" ht="12.0" customHeight="1">
      <c r="B359" s="260"/>
      <c r="C359" s="130"/>
      <c r="E359" s="130"/>
    </row>
    <row r="360" ht="12.0" customHeight="1">
      <c r="B360" s="260"/>
      <c r="C360" s="130"/>
      <c r="E360" s="130"/>
    </row>
    <row r="361" ht="12.0" customHeight="1">
      <c r="B361" s="260"/>
      <c r="C361" s="130"/>
      <c r="E361" s="130"/>
    </row>
    <row r="362" ht="12.0" customHeight="1">
      <c r="B362" s="260"/>
      <c r="C362" s="130"/>
      <c r="E362" s="130"/>
    </row>
    <row r="363" ht="12.0" customHeight="1">
      <c r="B363" s="260"/>
      <c r="C363" s="130"/>
      <c r="E363" s="130"/>
    </row>
    <row r="364" ht="12.0" customHeight="1">
      <c r="B364" s="260"/>
      <c r="C364" s="130"/>
      <c r="E364" s="130"/>
    </row>
    <row r="365" ht="12.0" customHeight="1">
      <c r="B365" s="260"/>
      <c r="C365" s="130"/>
      <c r="E365" s="130"/>
    </row>
    <row r="366" ht="12.0" customHeight="1">
      <c r="B366" s="260"/>
      <c r="C366" s="130"/>
      <c r="E366" s="130"/>
    </row>
    <row r="367" ht="12.0" customHeight="1">
      <c r="B367" s="260"/>
      <c r="C367" s="130"/>
      <c r="E367" s="130"/>
    </row>
    <row r="368" ht="12.0" customHeight="1">
      <c r="B368" s="260"/>
      <c r="C368" s="130"/>
      <c r="E368" s="130"/>
    </row>
    <row r="369" ht="12.0" customHeight="1">
      <c r="B369" s="260"/>
      <c r="C369" s="130"/>
      <c r="E369" s="130"/>
    </row>
    <row r="370" ht="12.0" customHeight="1">
      <c r="B370" s="260"/>
      <c r="C370" s="130"/>
      <c r="E370" s="130"/>
    </row>
    <row r="371" ht="12.0" customHeight="1">
      <c r="B371" s="260"/>
      <c r="C371" s="130"/>
      <c r="E371" s="130"/>
    </row>
    <row r="372" ht="12.0" customHeight="1">
      <c r="B372" s="260"/>
      <c r="C372" s="130"/>
      <c r="E372" s="130"/>
    </row>
    <row r="373" ht="12.0" customHeight="1">
      <c r="B373" s="260"/>
      <c r="C373" s="130"/>
      <c r="E373" s="130"/>
    </row>
    <row r="374" ht="12.0" customHeight="1">
      <c r="B374" s="260"/>
      <c r="C374" s="130"/>
      <c r="E374" s="130"/>
    </row>
    <row r="375" ht="12.0" customHeight="1">
      <c r="B375" s="260"/>
      <c r="C375" s="130"/>
      <c r="E375" s="130"/>
    </row>
    <row r="376" ht="12.0" customHeight="1">
      <c r="B376" s="260"/>
      <c r="C376" s="130"/>
      <c r="E376" s="130"/>
    </row>
    <row r="377" ht="12.0" customHeight="1">
      <c r="B377" s="260"/>
      <c r="C377" s="130"/>
      <c r="E377" s="130"/>
    </row>
    <row r="378" ht="12.0" customHeight="1">
      <c r="B378" s="260"/>
      <c r="C378" s="130"/>
      <c r="E378" s="130"/>
    </row>
    <row r="379" ht="12.0" customHeight="1">
      <c r="B379" s="260"/>
      <c r="C379" s="130"/>
      <c r="E379" s="130"/>
    </row>
    <row r="380" ht="12.0" customHeight="1">
      <c r="B380" s="260"/>
      <c r="C380" s="130"/>
      <c r="E380" s="130"/>
    </row>
    <row r="381" ht="12.0" customHeight="1">
      <c r="B381" s="260"/>
      <c r="C381" s="130"/>
      <c r="E381" s="130"/>
    </row>
    <row r="382" ht="12.0" customHeight="1">
      <c r="B382" s="260"/>
      <c r="C382" s="130"/>
      <c r="E382" s="130"/>
    </row>
    <row r="383" ht="12.0" customHeight="1">
      <c r="B383" s="260"/>
      <c r="C383" s="130"/>
      <c r="E383" s="130"/>
    </row>
    <row r="384" ht="12.0" customHeight="1">
      <c r="B384" s="260"/>
      <c r="C384" s="130"/>
      <c r="E384" s="130"/>
    </row>
    <row r="385" ht="12.0" customHeight="1">
      <c r="B385" s="260"/>
      <c r="C385" s="130"/>
      <c r="E385" s="130"/>
    </row>
    <row r="386" ht="12.0" customHeight="1">
      <c r="B386" s="260"/>
      <c r="C386" s="130"/>
      <c r="E386" s="130"/>
    </row>
    <row r="387" ht="12.0" customHeight="1">
      <c r="B387" s="260"/>
      <c r="C387" s="130"/>
      <c r="E387" s="130"/>
    </row>
    <row r="388" ht="12.0" customHeight="1">
      <c r="B388" s="260"/>
      <c r="C388" s="130"/>
      <c r="E388" s="130"/>
    </row>
    <row r="389" ht="12.0" customHeight="1">
      <c r="B389" s="260"/>
      <c r="C389" s="130"/>
      <c r="E389" s="130"/>
    </row>
    <row r="390" ht="12.0" customHeight="1">
      <c r="B390" s="260"/>
      <c r="C390" s="130"/>
      <c r="E390" s="130"/>
    </row>
    <row r="391" ht="12.0" customHeight="1">
      <c r="B391" s="260"/>
      <c r="C391" s="130"/>
      <c r="E391" s="130"/>
    </row>
    <row r="392" ht="12.0" customHeight="1">
      <c r="B392" s="260"/>
      <c r="C392" s="130"/>
      <c r="E392" s="130"/>
    </row>
    <row r="393" ht="12.0" customHeight="1">
      <c r="B393" s="260"/>
      <c r="C393" s="130"/>
      <c r="E393" s="130"/>
    </row>
    <row r="394" ht="12.0" customHeight="1">
      <c r="B394" s="260"/>
      <c r="C394" s="130"/>
      <c r="E394" s="130"/>
    </row>
    <row r="395" ht="12.0" customHeight="1">
      <c r="B395" s="260"/>
      <c r="C395" s="130"/>
      <c r="E395" s="130"/>
    </row>
    <row r="396" ht="12.0" customHeight="1">
      <c r="B396" s="260"/>
      <c r="C396" s="130"/>
      <c r="E396" s="130"/>
    </row>
    <row r="397" ht="12.0" customHeight="1">
      <c r="B397" s="260"/>
      <c r="C397" s="130"/>
      <c r="E397" s="130"/>
    </row>
    <row r="398" ht="12.0" customHeight="1">
      <c r="B398" s="260"/>
      <c r="C398" s="130"/>
      <c r="E398" s="130"/>
    </row>
    <row r="399" ht="12.0" customHeight="1">
      <c r="B399" s="260"/>
      <c r="C399" s="130"/>
      <c r="E399" s="130"/>
    </row>
    <row r="400" ht="12.0" customHeight="1">
      <c r="B400" s="260"/>
      <c r="C400" s="130"/>
      <c r="E400" s="130"/>
    </row>
    <row r="401" ht="12.0" customHeight="1">
      <c r="B401" s="260"/>
      <c r="C401" s="130"/>
      <c r="E401" s="130"/>
    </row>
    <row r="402" ht="12.0" customHeight="1">
      <c r="B402" s="260"/>
      <c r="C402" s="130"/>
      <c r="E402" s="130"/>
    </row>
    <row r="403" ht="12.0" customHeight="1">
      <c r="B403" s="260"/>
      <c r="C403" s="130"/>
      <c r="E403" s="130"/>
    </row>
    <row r="404" ht="12.0" customHeight="1">
      <c r="B404" s="260"/>
      <c r="C404" s="130"/>
      <c r="E404" s="130"/>
    </row>
    <row r="405" ht="12.0" customHeight="1">
      <c r="B405" s="260"/>
      <c r="C405" s="130"/>
      <c r="E405" s="130"/>
    </row>
    <row r="406" ht="12.0" customHeight="1">
      <c r="B406" s="260"/>
      <c r="C406" s="130"/>
      <c r="E406" s="130"/>
    </row>
    <row r="407" ht="12.0" customHeight="1">
      <c r="B407" s="260"/>
      <c r="C407" s="130"/>
      <c r="E407" s="130"/>
    </row>
    <row r="408" ht="12.0" customHeight="1">
      <c r="B408" s="260"/>
      <c r="C408" s="130"/>
      <c r="E408" s="130"/>
    </row>
    <row r="409" ht="12.0" customHeight="1">
      <c r="B409" s="260"/>
      <c r="C409" s="130"/>
      <c r="E409" s="130"/>
    </row>
    <row r="410" ht="12.0" customHeight="1">
      <c r="B410" s="260"/>
      <c r="C410" s="130"/>
      <c r="E410" s="130"/>
    </row>
    <row r="411" ht="12.0" customHeight="1">
      <c r="B411" s="260"/>
      <c r="C411" s="130"/>
      <c r="E411" s="130"/>
    </row>
    <row r="412" ht="12.0" customHeight="1">
      <c r="B412" s="260"/>
      <c r="C412" s="130"/>
      <c r="E412" s="130"/>
    </row>
    <row r="413" ht="12.0" customHeight="1">
      <c r="B413" s="260"/>
      <c r="C413" s="130"/>
      <c r="E413" s="130"/>
    </row>
    <row r="414" ht="12.0" customHeight="1">
      <c r="B414" s="260"/>
      <c r="C414" s="130"/>
      <c r="E414" s="130"/>
    </row>
    <row r="415" ht="12.0" customHeight="1">
      <c r="B415" s="260"/>
      <c r="C415" s="130"/>
      <c r="E415" s="130"/>
    </row>
    <row r="416" ht="12.0" customHeight="1">
      <c r="B416" s="260"/>
      <c r="C416" s="130"/>
      <c r="E416" s="130"/>
    </row>
    <row r="417" ht="12.0" customHeight="1">
      <c r="B417" s="260"/>
      <c r="C417" s="130"/>
      <c r="E417" s="130"/>
    </row>
    <row r="418" ht="12.0" customHeight="1">
      <c r="B418" s="260"/>
      <c r="C418" s="130"/>
      <c r="E418" s="130"/>
    </row>
    <row r="419" ht="12.0" customHeight="1">
      <c r="B419" s="260"/>
      <c r="C419" s="130"/>
      <c r="E419" s="130"/>
    </row>
    <row r="420" ht="12.0" customHeight="1">
      <c r="B420" s="260"/>
      <c r="C420" s="130"/>
      <c r="E420" s="130"/>
    </row>
    <row r="421" ht="12.0" customHeight="1">
      <c r="B421" s="260"/>
      <c r="C421" s="130"/>
      <c r="E421" s="130"/>
    </row>
    <row r="422" ht="12.0" customHeight="1">
      <c r="B422" s="260"/>
      <c r="C422" s="130"/>
      <c r="E422" s="130"/>
    </row>
    <row r="423" ht="12.0" customHeight="1">
      <c r="B423" s="260"/>
      <c r="C423" s="130"/>
      <c r="E423" s="130"/>
    </row>
    <row r="424" ht="12.0" customHeight="1">
      <c r="B424" s="260"/>
      <c r="C424" s="130"/>
      <c r="E424" s="130"/>
    </row>
    <row r="425" ht="12.0" customHeight="1">
      <c r="B425" s="260"/>
      <c r="C425" s="130"/>
      <c r="E425" s="130"/>
    </row>
    <row r="426" ht="12.0" customHeight="1">
      <c r="B426" s="260"/>
      <c r="C426" s="130"/>
      <c r="E426" s="130"/>
    </row>
    <row r="427" ht="12.0" customHeight="1">
      <c r="B427" s="260"/>
      <c r="C427" s="130"/>
      <c r="E427" s="130"/>
    </row>
    <row r="428" ht="12.0" customHeight="1">
      <c r="B428" s="260"/>
      <c r="C428" s="130"/>
      <c r="E428" s="130"/>
    </row>
    <row r="429" ht="12.0" customHeight="1">
      <c r="B429" s="260"/>
      <c r="C429" s="130"/>
      <c r="E429" s="130"/>
    </row>
    <row r="430" ht="12.0" customHeight="1">
      <c r="B430" s="260"/>
      <c r="C430" s="130"/>
      <c r="E430" s="130"/>
    </row>
    <row r="431" ht="12.0" customHeight="1">
      <c r="B431" s="260"/>
      <c r="C431" s="130"/>
      <c r="E431" s="130"/>
    </row>
    <row r="432" ht="12.0" customHeight="1">
      <c r="B432" s="260"/>
      <c r="C432" s="130"/>
      <c r="E432" s="130"/>
    </row>
    <row r="433" ht="12.0" customHeight="1">
      <c r="B433" s="260"/>
      <c r="C433" s="130"/>
      <c r="E433" s="130"/>
    </row>
    <row r="434" ht="12.0" customHeight="1">
      <c r="B434" s="260"/>
      <c r="C434" s="130"/>
      <c r="E434" s="130"/>
    </row>
    <row r="435" ht="12.0" customHeight="1">
      <c r="B435" s="260"/>
      <c r="C435" s="130"/>
      <c r="E435" s="130"/>
    </row>
    <row r="436" ht="12.0" customHeight="1">
      <c r="B436" s="260"/>
      <c r="C436" s="130"/>
      <c r="E436" s="130"/>
    </row>
    <row r="437" ht="12.0" customHeight="1">
      <c r="B437" s="260"/>
      <c r="C437" s="130"/>
      <c r="E437" s="130"/>
    </row>
    <row r="438" ht="12.0" customHeight="1">
      <c r="B438" s="260"/>
      <c r="C438" s="130"/>
      <c r="E438" s="130"/>
    </row>
    <row r="439" ht="12.0" customHeight="1">
      <c r="B439" s="260"/>
      <c r="C439" s="130"/>
      <c r="E439" s="130"/>
    </row>
    <row r="440" ht="12.0" customHeight="1">
      <c r="B440" s="260"/>
      <c r="C440" s="130"/>
      <c r="E440" s="130"/>
    </row>
    <row r="441" ht="12.0" customHeight="1">
      <c r="B441" s="260"/>
      <c r="C441" s="130"/>
      <c r="E441" s="130"/>
    </row>
    <row r="442" ht="12.0" customHeight="1">
      <c r="B442" s="260"/>
      <c r="C442" s="130"/>
      <c r="E442" s="130"/>
    </row>
    <row r="443" ht="12.0" customHeight="1">
      <c r="B443" s="260"/>
      <c r="C443" s="130"/>
      <c r="E443" s="130"/>
    </row>
    <row r="444" ht="12.0" customHeight="1">
      <c r="B444" s="260"/>
      <c r="C444" s="130"/>
      <c r="E444" s="130"/>
    </row>
    <row r="445" ht="12.0" customHeight="1">
      <c r="B445" s="260"/>
      <c r="C445" s="130"/>
      <c r="E445" s="130"/>
    </row>
    <row r="446" ht="12.0" customHeight="1">
      <c r="B446" s="260"/>
      <c r="C446" s="130"/>
      <c r="E446" s="130"/>
    </row>
    <row r="447" ht="12.0" customHeight="1">
      <c r="B447" s="260"/>
      <c r="C447" s="130"/>
      <c r="E447" s="130"/>
    </row>
    <row r="448" ht="12.0" customHeight="1">
      <c r="B448" s="260"/>
      <c r="C448" s="130"/>
      <c r="E448" s="130"/>
    </row>
    <row r="449" ht="12.0" customHeight="1">
      <c r="B449" s="260"/>
      <c r="C449" s="130"/>
      <c r="E449" s="130"/>
    </row>
    <row r="450" ht="12.0" customHeight="1">
      <c r="B450" s="260"/>
      <c r="C450" s="130"/>
      <c r="E450" s="130"/>
    </row>
    <row r="451" ht="12.0" customHeight="1">
      <c r="B451" s="260"/>
      <c r="C451" s="130"/>
      <c r="E451" s="130"/>
    </row>
    <row r="452" ht="12.0" customHeight="1">
      <c r="B452" s="260"/>
      <c r="C452" s="130"/>
      <c r="E452" s="130"/>
    </row>
    <row r="453" ht="12.0" customHeight="1">
      <c r="B453" s="260"/>
      <c r="C453" s="130"/>
      <c r="E453" s="130"/>
    </row>
    <row r="454" ht="12.0" customHeight="1">
      <c r="B454" s="260"/>
      <c r="C454" s="130"/>
      <c r="E454" s="130"/>
    </row>
    <row r="455" ht="12.0" customHeight="1">
      <c r="B455" s="260"/>
      <c r="C455" s="130"/>
      <c r="E455" s="130"/>
    </row>
    <row r="456" ht="12.0" customHeight="1">
      <c r="B456" s="260"/>
      <c r="C456" s="130"/>
      <c r="E456" s="130"/>
    </row>
    <row r="457" ht="12.0" customHeight="1">
      <c r="B457" s="260"/>
      <c r="C457" s="130"/>
      <c r="E457" s="130"/>
    </row>
    <row r="458" ht="12.0" customHeight="1">
      <c r="B458" s="260"/>
      <c r="C458" s="130"/>
      <c r="E458" s="130"/>
    </row>
    <row r="459" ht="12.0" customHeight="1">
      <c r="B459" s="260"/>
      <c r="C459" s="130"/>
      <c r="E459" s="130"/>
    </row>
    <row r="460" ht="12.0" customHeight="1">
      <c r="B460" s="260"/>
      <c r="C460" s="130"/>
      <c r="E460" s="130"/>
    </row>
    <row r="461" ht="12.0" customHeight="1">
      <c r="B461" s="260"/>
      <c r="C461" s="130"/>
      <c r="E461" s="130"/>
    </row>
    <row r="462" ht="12.0" customHeight="1">
      <c r="B462" s="260"/>
      <c r="C462" s="130"/>
      <c r="E462" s="130"/>
    </row>
    <row r="463" ht="12.0" customHeight="1">
      <c r="B463" s="260"/>
      <c r="C463" s="130"/>
      <c r="E463" s="130"/>
    </row>
    <row r="464" ht="12.0" customHeight="1">
      <c r="B464" s="260"/>
      <c r="C464" s="130"/>
      <c r="E464" s="130"/>
    </row>
    <row r="465" ht="12.0" customHeight="1">
      <c r="B465" s="260"/>
      <c r="C465" s="130"/>
      <c r="E465" s="130"/>
    </row>
    <row r="466" ht="12.0" customHeight="1">
      <c r="B466" s="260"/>
      <c r="C466" s="130"/>
      <c r="E466" s="130"/>
    </row>
    <row r="467" ht="12.0" customHeight="1">
      <c r="B467" s="260"/>
      <c r="C467" s="130"/>
      <c r="E467" s="130"/>
    </row>
    <row r="468" ht="12.0" customHeight="1">
      <c r="B468" s="260"/>
      <c r="C468" s="130"/>
      <c r="E468" s="130"/>
    </row>
    <row r="469" ht="12.0" customHeight="1">
      <c r="B469" s="260"/>
      <c r="C469" s="130"/>
      <c r="E469" s="130"/>
    </row>
    <row r="470" ht="12.0" customHeight="1">
      <c r="B470" s="260"/>
      <c r="C470" s="130"/>
      <c r="E470" s="130"/>
    </row>
    <row r="471" ht="12.0" customHeight="1">
      <c r="B471" s="260"/>
      <c r="C471" s="130"/>
      <c r="E471" s="130"/>
    </row>
    <row r="472" ht="12.0" customHeight="1">
      <c r="B472" s="260"/>
      <c r="C472" s="130"/>
      <c r="E472" s="130"/>
    </row>
    <row r="473" ht="12.0" customHeight="1">
      <c r="B473" s="260"/>
      <c r="C473" s="130"/>
      <c r="E473" s="130"/>
    </row>
    <row r="474" ht="12.0" customHeight="1">
      <c r="B474" s="260"/>
      <c r="C474" s="130"/>
      <c r="E474" s="130"/>
    </row>
    <row r="475" ht="12.0" customHeight="1">
      <c r="B475" s="260"/>
      <c r="C475" s="130"/>
      <c r="E475" s="130"/>
    </row>
    <row r="476" ht="12.0" customHeight="1">
      <c r="B476" s="260"/>
      <c r="C476" s="130"/>
      <c r="E476" s="130"/>
    </row>
    <row r="477" ht="12.0" customHeight="1">
      <c r="B477" s="260"/>
      <c r="C477" s="130"/>
      <c r="E477" s="130"/>
    </row>
    <row r="478" ht="12.0" customHeight="1">
      <c r="B478" s="260"/>
      <c r="C478" s="130"/>
      <c r="E478" s="130"/>
    </row>
    <row r="479" ht="12.0" customHeight="1">
      <c r="B479" s="260"/>
      <c r="C479" s="130"/>
      <c r="E479" s="130"/>
    </row>
    <row r="480" ht="12.0" customHeight="1">
      <c r="B480" s="260"/>
      <c r="C480" s="130"/>
      <c r="E480" s="130"/>
    </row>
    <row r="481" ht="12.0" customHeight="1">
      <c r="B481" s="260"/>
      <c r="C481" s="130"/>
      <c r="E481" s="130"/>
    </row>
    <row r="482" ht="12.0" customHeight="1">
      <c r="B482" s="260"/>
      <c r="C482" s="130"/>
      <c r="E482" s="130"/>
    </row>
    <row r="483" ht="12.0" customHeight="1">
      <c r="B483" s="260"/>
      <c r="C483" s="130"/>
      <c r="E483" s="130"/>
    </row>
    <row r="484" ht="12.0" customHeight="1">
      <c r="B484" s="260"/>
      <c r="C484" s="130"/>
      <c r="E484" s="130"/>
    </row>
    <row r="485" ht="12.0" customHeight="1">
      <c r="B485" s="260"/>
      <c r="C485" s="130"/>
      <c r="E485" s="130"/>
    </row>
    <row r="486" ht="12.0" customHeight="1">
      <c r="B486" s="260"/>
      <c r="C486" s="130"/>
      <c r="E486" s="130"/>
    </row>
    <row r="487" ht="12.0" customHeight="1">
      <c r="B487" s="260"/>
      <c r="C487" s="130"/>
      <c r="E487" s="130"/>
    </row>
    <row r="488" ht="12.0" customHeight="1">
      <c r="B488" s="260"/>
      <c r="C488" s="130"/>
      <c r="E488" s="130"/>
    </row>
    <row r="489" ht="12.0" customHeight="1">
      <c r="B489" s="260"/>
      <c r="C489" s="130"/>
      <c r="E489" s="130"/>
    </row>
    <row r="490" ht="12.0" customHeight="1">
      <c r="B490" s="260"/>
      <c r="C490" s="130"/>
      <c r="E490" s="130"/>
    </row>
    <row r="491" ht="12.0" customHeight="1">
      <c r="B491" s="260"/>
      <c r="C491" s="130"/>
      <c r="E491" s="130"/>
    </row>
    <row r="492" ht="12.0" customHeight="1">
      <c r="B492" s="260"/>
      <c r="C492" s="130"/>
      <c r="E492" s="130"/>
    </row>
    <row r="493" ht="12.0" customHeight="1">
      <c r="B493" s="260"/>
      <c r="C493" s="130"/>
      <c r="E493" s="130"/>
    </row>
    <row r="494" ht="12.0" customHeight="1">
      <c r="B494" s="260"/>
      <c r="C494" s="130"/>
      <c r="E494" s="130"/>
    </row>
    <row r="495" ht="12.0" customHeight="1">
      <c r="B495" s="260"/>
      <c r="C495" s="130"/>
      <c r="E495" s="130"/>
    </row>
    <row r="496" ht="12.0" customHeight="1">
      <c r="B496" s="260"/>
      <c r="C496" s="130"/>
      <c r="E496" s="130"/>
    </row>
    <row r="497" ht="12.0" customHeight="1">
      <c r="B497" s="260"/>
      <c r="C497" s="130"/>
      <c r="E497" s="130"/>
    </row>
    <row r="498" ht="12.0" customHeight="1">
      <c r="B498" s="260"/>
      <c r="C498" s="130"/>
      <c r="E498" s="130"/>
    </row>
    <row r="499" ht="12.0" customHeight="1">
      <c r="B499" s="260"/>
      <c r="C499" s="130"/>
      <c r="E499" s="130"/>
    </row>
    <row r="500" ht="12.0" customHeight="1">
      <c r="B500" s="260"/>
      <c r="C500" s="130"/>
      <c r="E500" s="130"/>
    </row>
    <row r="501" ht="12.0" customHeight="1">
      <c r="B501" s="260"/>
      <c r="C501" s="130"/>
      <c r="E501" s="130"/>
    </row>
    <row r="502" ht="12.0" customHeight="1">
      <c r="B502" s="260"/>
      <c r="C502" s="130"/>
      <c r="E502" s="130"/>
    </row>
    <row r="503" ht="12.0" customHeight="1">
      <c r="B503" s="260"/>
      <c r="C503" s="130"/>
      <c r="E503" s="130"/>
    </row>
    <row r="504" ht="12.0" customHeight="1">
      <c r="B504" s="260"/>
      <c r="C504" s="130"/>
      <c r="E504" s="130"/>
    </row>
    <row r="505" ht="12.0" customHeight="1">
      <c r="B505" s="260"/>
      <c r="C505" s="130"/>
      <c r="E505" s="130"/>
    </row>
    <row r="506" ht="12.0" customHeight="1">
      <c r="B506" s="260"/>
      <c r="C506" s="130"/>
      <c r="E506" s="130"/>
    </row>
    <row r="507" ht="12.0" customHeight="1">
      <c r="B507" s="260"/>
      <c r="C507" s="130"/>
      <c r="E507" s="130"/>
    </row>
    <row r="508" ht="12.0" customHeight="1">
      <c r="B508" s="260"/>
      <c r="C508" s="130"/>
      <c r="E508" s="130"/>
    </row>
    <row r="509" ht="12.0" customHeight="1">
      <c r="B509" s="260"/>
      <c r="C509" s="130"/>
      <c r="E509" s="130"/>
    </row>
    <row r="510" ht="12.0" customHeight="1">
      <c r="B510" s="260"/>
      <c r="C510" s="130"/>
      <c r="E510" s="130"/>
    </row>
    <row r="511" ht="12.0" customHeight="1">
      <c r="B511" s="260"/>
      <c r="C511" s="130"/>
      <c r="E511" s="130"/>
    </row>
    <row r="512" ht="12.0" customHeight="1">
      <c r="B512" s="260"/>
      <c r="C512" s="130"/>
      <c r="E512" s="130"/>
    </row>
    <row r="513" ht="12.0" customHeight="1">
      <c r="B513" s="260"/>
      <c r="C513" s="130"/>
      <c r="E513" s="130"/>
    </row>
    <row r="514" ht="12.0" customHeight="1">
      <c r="B514" s="260"/>
      <c r="C514" s="130"/>
      <c r="E514" s="130"/>
    </row>
    <row r="515" ht="12.0" customHeight="1">
      <c r="B515" s="260"/>
      <c r="C515" s="130"/>
      <c r="E515" s="130"/>
    </row>
    <row r="516" ht="12.0" customHeight="1">
      <c r="B516" s="260"/>
      <c r="C516" s="130"/>
      <c r="E516" s="130"/>
    </row>
    <row r="517" ht="12.0" customHeight="1">
      <c r="B517" s="260"/>
      <c r="C517" s="130"/>
      <c r="E517" s="130"/>
    </row>
    <row r="518" ht="12.0" customHeight="1">
      <c r="B518" s="260"/>
      <c r="C518" s="130"/>
      <c r="E518" s="130"/>
    </row>
    <row r="519" ht="12.0" customHeight="1">
      <c r="B519" s="260"/>
      <c r="C519" s="130"/>
      <c r="E519" s="130"/>
    </row>
    <row r="520" ht="12.0" customHeight="1">
      <c r="B520" s="260"/>
      <c r="C520" s="130"/>
      <c r="E520" s="130"/>
    </row>
    <row r="521" ht="12.0" customHeight="1">
      <c r="B521" s="260"/>
      <c r="C521" s="130"/>
      <c r="E521" s="130"/>
    </row>
    <row r="522" ht="12.0" customHeight="1">
      <c r="B522" s="260"/>
      <c r="C522" s="130"/>
      <c r="E522" s="130"/>
    </row>
    <row r="523" ht="12.0" customHeight="1">
      <c r="B523" s="260"/>
      <c r="C523" s="130"/>
      <c r="E523" s="130"/>
    </row>
    <row r="524" ht="12.0" customHeight="1">
      <c r="B524" s="260"/>
      <c r="C524" s="130"/>
      <c r="E524" s="130"/>
    </row>
    <row r="525" ht="12.0" customHeight="1">
      <c r="B525" s="260"/>
      <c r="C525" s="130"/>
      <c r="E525" s="130"/>
    </row>
    <row r="526" ht="12.0" customHeight="1">
      <c r="B526" s="260"/>
      <c r="C526" s="130"/>
      <c r="E526" s="130"/>
    </row>
    <row r="527" ht="12.0" customHeight="1">
      <c r="B527" s="260"/>
      <c r="C527" s="130"/>
      <c r="E527" s="130"/>
    </row>
    <row r="528" ht="12.0" customHeight="1">
      <c r="B528" s="260"/>
      <c r="C528" s="130"/>
      <c r="E528" s="130"/>
    </row>
    <row r="529" ht="12.0" customHeight="1">
      <c r="B529" s="260"/>
      <c r="C529" s="130"/>
      <c r="E529" s="130"/>
    </row>
    <row r="530" ht="12.0" customHeight="1">
      <c r="B530" s="260"/>
      <c r="C530" s="130"/>
      <c r="E530" s="130"/>
    </row>
    <row r="531" ht="12.0" customHeight="1">
      <c r="B531" s="260"/>
      <c r="C531" s="130"/>
      <c r="E531" s="130"/>
    </row>
    <row r="532" ht="12.0" customHeight="1">
      <c r="B532" s="260"/>
      <c r="C532" s="130"/>
      <c r="E532" s="130"/>
    </row>
    <row r="533" ht="12.0" customHeight="1">
      <c r="B533" s="260"/>
      <c r="C533" s="130"/>
      <c r="E533" s="130"/>
    </row>
    <row r="534" ht="12.0" customHeight="1">
      <c r="B534" s="260"/>
      <c r="C534" s="130"/>
      <c r="E534" s="130"/>
    </row>
    <row r="535" ht="12.0" customHeight="1">
      <c r="B535" s="260"/>
      <c r="C535" s="130"/>
      <c r="E535" s="130"/>
    </row>
    <row r="536" ht="12.0" customHeight="1">
      <c r="B536" s="260"/>
      <c r="C536" s="130"/>
      <c r="E536" s="130"/>
    </row>
    <row r="537" ht="12.0" customHeight="1">
      <c r="B537" s="260"/>
      <c r="C537" s="130"/>
      <c r="E537" s="130"/>
    </row>
    <row r="538" ht="12.0" customHeight="1">
      <c r="B538" s="260"/>
      <c r="C538" s="130"/>
      <c r="E538" s="130"/>
    </row>
    <row r="539" ht="12.0" customHeight="1">
      <c r="B539" s="260"/>
      <c r="C539" s="130"/>
      <c r="E539" s="130"/>
    </row>
    <row r="540" ht="12.0" customHeight="1">
      <c r="B540" s="260"/>
      <c r="C540" s="130"/>
      <c r="E540" s="130"/>
    </row>
    <row r="541" ht="12.0" customHeight="1">
      <c r="B541" s="260"/>
      <c r="C541" s="130"/>
      <c r="E541" s="130"/>
    </row>
    <row r="542" ht="12.0" customHeight="1">
      <c r="B542" s="260"/>
      <c r="C542" s="130"/>
      <c r="E542" s="130"/>
    </row>
    <row r="543" ht="12.0" customHeight="1">
      <c r="B543" s="260"/>
      <c r="C543" s="130"/>
      <c r="E543" s="130"/>
    </row>
    <row r="544" ht="12.0" customHeight="1">
      <c r="B544" s="260"/>
      <c r="C544" s="130"/>
      <c r="E544" s="130"/>
    </row>
    <row r="545" ht="12.0" customHeight="1">
      <c r="B545" s="260"/>
      <c r="C545" s="130"/>
      <c r="E545" s="130"/>
    </row>
    <row r="546" ht="12.0" customHeight="1">
      <c r="B546" s="260"/>
      <c r="C546" s="130"/>
      <c r="E546" s="130"/>
    </row>
    <row r="547" ht="12.0" customHeight="1">
      <c r="B547" s="260"/>
      <c r="C547" s="130"/>
      <c r="E547" s="130"/>
    </row>
    <row r="548" ht="12.0" customHeight="1">
      <c r="B548" s="260"/>
      <c r="C548" s="130"/>
      <c r="E548" s="130"/>
    </row>
    <row r="549" ht="12.0" customHeight="1">
      <c r="B549" s="260"/>
      <c r="C549" s="130"/>
      <c r="E549" s="130"/>
    </row>
    <row r="550" ht="12.0" customHeight="1">
      <c r="B550" s="260"/>
      <c r="C550" s="130"/>
      <c r="E550" s="130"/>
    </row>
    <row r="551" ht="12.0" customHeight="1">
      <c r="B551" s="260"/>
      <c r="C551" s="130"/>
      <c r="E551" s="130"/>
    </row>
    <row r="552" ht="12.0" customHeight="1">
      <c r="B552" s="260"/>
      <c r="C552" s="130"/>
      <c r="E552" s="130"/>
    </row>
    <row r="553" ht="12.0" customHeight="1">
      <c r="B553" s="260"/>
      <c r="C553" s="130"/>
      <c r="E553" s="130"/>
    </row>
    <row r="554" ht="12.0" customHeight="1">
      <c r="B554" s="260"/>
      <c r="C554" s="130"/>
      <c r="E554" s="130"/>
    </row>
    <row r="555" ht="12.0" customHeight="1">
      <c r="B555" s="260"/>
      <c r="C555" s="130"/>
      <c r="E555" s="130"/>
    </row>
    <row r="556" ht="12.0" customHeight="1">
      <c r="B556" s="260"/>
      <c r="C556" s="130"/>
      <c r="E556" s="130"/>
    </row>
    <row r="557" ht="12.0" customHeight="1">
      <c r="B557" s="260"/>
      <c r="C557" s="130"/>
      <c r="E557" s="130"/>
    </row>
    <row r="558" ht="12.0" customHeight="1">
      <c r="B558" s="260"/>
      <c r="C558" s="130"/>
      <c r="E558" s="130"/>
    </row>
    <row r="559" ht="12.0" customHeight="1">
      <c r="B559" s="260"/>
      <c r="C559" s="130"/>
      <c r="E559" s="130"/>
    </row>
    <row r="560" ht="12.0" customHeight="1">
      <c r="B560" s="260"/>
      <c r="C560" s="130"/>
      <c r="E560" s="130"/>
    </row>
    <row r="561" ht="12.0" customHeight="1">
      <c r="B561" s="260"/>
      <c r="C561" s="130"/>
      <c r="E561" s="130"/>
    </row>
    <row r="562" ht="12.0" customHeight="1">
      <c r="B562" s="260"/>
      <c r="C562" s="130"/>
      <c r="E562" s="130"/>
    </row>
    <row r="563" ht="12.0" customHeight="1">
      <c r="B563" s="260"/>
      <c r="C563" s="130"/>
      <c r="E563" s="130"/>
    </row>
    <row r="564" ht="12.0" customHeight="1">
      <c r="B564" s="260"/>
      <c r="C564" s="130"/>
      <c r="E564" s="130"/>
    </row>
    <row r="565" ht="12.0" customHeight="1">
      <c r="B565" s="260"/>
      <c r="C565" s="130"/>
      <c r="E565" s="130"/>
    </row>
    <row r="566" ht="12.0" customHeight="1">
      <c r="B566" s="260"/>
      <c r="C566" s="130"/>
      <c r="E566" s="130"/>
    </row>
    <row r="567" ht="12.0" customHeight="1">
      <c r="B567" s="260"/>
      <c r="C567" s="130"/>
      <c r="E567" s="130"/>
    </row>
    <row r="568" ht="12.0" customHeight="1">
      <c r="B568" s="260"/>
      <c r="C568" s="130"/>
      <c r="E568" s="130"/>
    </row>
    <row r="569" ht="12.0" customHeight="1">
      <c r="B569" s="260"/>
      <c r="C569" s="130"/>
      <c r="E569" s="130"/>
    </row>
    <row r="570" ht="12.0" customHeight="1">
      <c r="B570" s="260"/>
      <c r="C570" s="130"/>
      <c r="E570" s="130"/>
    </row>
    <row r="571" ht="12.0" customHeight="1">
      <c r="B571" s="260"/>
      <c r="C571" s="130"/>
      <c r="E571" s="130"/>
    </row>
    <row r="572" ht="12.0" customHeight="1">
      <c r="B572" s="260"/>
      <c r="C572" s="130"/>
      <c r="E572" s="130"/>
    </row>
    <row r="573" ht="12.0" customHeight="1">
      <c r="B573" s="260"/>
      <c r="C573" s="130"/>
      <c r="E573" s="130"/>
    </row>
    <row r="574" ht="12.0" customHeight="1">
      <c r="B574" s="260"/>
      <c r="C574" s="130"/>
      <c r="E574" s="130"/>
    </row>
    <row r="575" ht="12.0" customHeight="1">
      <c r="B575" s="260"/>
      <c r="C575" s="130"/>
      <c r="E575" s="130"/>
    </row>
    <row r="576" ht="12.0" customHeight="1">
      <c r="B576" s="260"/>
      <c r="C576" s="130"/>
      <c r="E576" s="130"/>
    </row>
    <row r="577" ht="12.0" customHeight="1">
      <c r="B577" s="260"/>
      <c r="C577" s="130"/>
      <c r="E577" s="130"/>
    </row>
    <row r="578" ht="12.0" customHeight="1">
      <c r="B578" s="260"/>
      <c r="C578" s="130"/>
      <c r="E578" s="130"/>
    </row>
    <row r="579" ht="12.0" customHeight="1">
      <c r="B579" s="260"/>
      <c r="C579" s="130"/>
      <c r="E579" s="130"/>
    </row>
    <row r="580" ht="12.0" customHeight="1">
      <c r="B580" s="260"/>
      <c r="C580" s="130"/>
      <c r="E580" s="130"/>
    </row>
    <row r="581" ht="12.0" customHeight="1">
      <c r="B581" s="260"/>
      <c r="C581" s="130"/>
      <c r="E581" s="130"/>
    </row>
    <row r="582" ht="12.0" customHeight="1">
      <c r="B582" s="260"/>
      <c r="C582" s="130"/>
      <c r="E582" s="130"/>
    </row>
    <row r="583" ht="12.0" customHeight="1">
      <c r="B583" s="260"/>
      <c r="C583" s="130"/>
      <c r="E583" s="130"/>
    </row>
    <row r="584" ht="12.0" customHeight="1">
      <c r="B584" s="260"/>
      <c r="C584" s="130"/>
      <c r="E584" s="130"/>
    </row>
    <row r="585" ht="12.0" customHeight="1">
      <c r="B585" s="260"/>
      <c r="C585" s="130"/>
      <c r="E585" s="130"/>
    </row>
    <row r="586" ht="12.0" customHeight="1">
      <c r="B586" s="260"/>
      <c r="C586" s="130"/>
      <c r="E586" s="130"/>
    </row>
    <row r="587" ht="12.0" customHeight="1">
      <c r="B587" s="260"/>
      <c r="C587" s="130"/>
      <c r="E587" s="130"/>
    </row>
    <row r="588" ht="12.0" customHeight="1">
      <c r="B588" s="260"/>
      <c r="C588" s="130"/>
      <c r="E588" s="130"/>
    </row>
    <row r="589" ht="12.0" customHeight="1">
      <c r="B589" s="260"/>
      <c r="C589" s="130"/>
      <c r="E589" s="130"/>
    </row>
    <row r="590" ht="12.0" customHeight="1">
      <c r="B590" s="260"/>
      <c r="C590" s="130"/>
      <c r="E590" s="130"/>
    </row>
    <row r="591" ht="12.0" customHeight="1">
      <c r="B591" s="260"/>
      <c r="C591" s="130"/>
      <c r="E591" s="130"/>
    </row>
    <row r="592" ht="12.0" customHeight="1">
      <c r="B592" s="260"/>
      <c r="C592" s="130"/>
      <c r="E592" s="130"/>
    </row>
    <row r="593" ht="12.0" customHeight="1">
      <c r="B593" s="260"/>
      <c r="C593" s="130"/>
      <c r="E593" s="130"/>
    </row>
    <row r="594" ht="12.0" customHeight="1">
      <c r="B594" s="260"/>
      <c r="C594" s="130"/>
      <c r="E594" s="130"/>
    </row>
    <row r="595" ht="12.0" customHeight="1">
      <c r="B595" s="260"/>
      <c r="C595" s="130"/>
      <c r="E595" s="130"/>
    </row>
    <row r="596" ht="12.0" customHeight="1">
      <c r="B596" s="260"/>
      <c r="C596" s="130"/>
      <c r="E596" s="130"/>
    </row>
    <row r="597" ht="12.0" customHeight="1">
      <c r="B597" s="260"/>
      <c r="C597" s="130"/>
      <c r="E597" s="130"/>
    </row>
    <row r="598" ht="12.0" customHeight="1">
      <c r="B598" s="260"/>
      <c r="C598" s="130"/>
      <c r="E598" s="130"/>
    </row>
    <row r="599" ht="12.0" customHeight="1">
      <c r="B599" s="260"/>
      <c r="C599" s="130"/>
      <c r="E599" s="130"/>
    </row>
    <row r="600" ht="12.0" customHeight="1">
      <c r="B600" s="260"/>
      <c r="C600" s="130"/>
      <c r="E600" s="130"/>
    </row>
    <row r="601" ht="12.0" customHeight="1">
      <c r="B601" s="260"/>
      <c r="C601" s="130"/>
      <c r="E601" s="130"/>
    </row>
    <row r="602" ht="12.0" customHeight="1">
      <c r="B602" s="260"/>
      <c r="C602" s="130"/>
      <c r="E602" s="130"/>
    </row>
    <row r="603" ht="12.0" customHeight="1">
      <c r="B603" s="260"/>
      <c r="C603" s="130"/>
      <c r="E603" s="130"/>
    </row>
    <row r="604" ht="12.0" customHeight="1">
      <c r="B604" s="260"/>
      <c r="C604" s="130"/>
      <c r="E604" s="130"/>
    </row>
    <row r="605" ht="12.0" customHeight="1">
      <c r="B605" s="260"/>
      <c r="C605" s="130"/>
      <c r="E605" s="130"/>
    </row>
    <row r="606" ht="12.0" customHeight="1">
      <c r="B606" s="260"/>
      <c r="C606" s="130"/>
      <c r="E606" s="130"/>
    </row>
    <row r="607" ht="12.0" customHeight="1">
      <c r="B607" s="260"/>
      <c r="C607" s="130"/>
      <c r="E607" s="130"/>
    </row>
    <row r="608" ht="12.0" customHeight="1">
      <c r="B608" s="260"/>
      <c r="C608" s="130"/>
      <c r="E608" s="130"/>
    </row>
    <row r="609" ht="12.0" customHeight="1">
      <c r="B609" s="260"/>
      <c r="C609" s="130"/>
      <c r="E609" s="130"/>
    </row>
    <row r="610" ht="12.0" customHeight="1">
      <c r="B610" s="260"/>
      <c r="C610" s="130"/>
      <c r="E610" s="130"/>
    </row>
    <row r="611" ht="12.0" customHeight="1">
      <c r="B611" s="260"/>
      <c r="C611" s="130"/>
      <c r="E611" s="130"/>
    </row>
    <row r="612" ht="12.0" customHeight="1">
      <c r="B612" s="260"/>
      <c r="C612" s="130"/>
      <c r="E612" s="130"/>
    </row>
    <row r="613" ht="12.0" customHeight="1">
      <c r="B613" s="260"/>
      <c r="C613" s="130"/>
      <c r="E613" s="130"/>
    </row>
    <row r="614" ht="12.0" customHeight="1">
      <c r="B614" s="260"/>
      <c r="C614" s="130"/>
      <c r="E614" s="130"/>
    </row>
    <row r="615" ht="12.0" customHeight="1">
      <c r="B615" s="260"/>
      <c r="C615" s="130"/>
      <c r="E615" s="130"/>
    </row>
    <row r="616" ht="12.0" customHeight="1">
      <c r="B616" s="260"/>
      <c r="C616" s="130"/>
      <c r="E616" s="130"/>
    </row>
    <row r="617" ht="12.0" customHeight="1">
      <c r="B617" s="260"/>
      <c r="C617" s="130"/>
      <c r="E617" s="130"/>
    </row>
    <row r="618" ht="12.0" customHeight="1">
      <c r="B618" s="260"/>
      <c r="C618" s="130"/>
      <c r="E618" s="130"/>
    </row>
    <row r="619" ht="12.0" customHeight="1">
      <c r="B619" s="260"/>
      <c r="C619" s="130"/>
      <c r="E619" s="130"/>
    </row>
    <row r="620" ht="12.0" customHeight="1">
      <c r="B620" s="260"/>
      <c r="C620" s="130"/>
      <c r="E620" s="130"/>
    </row>
    <row r="621" ht="12.0" customHeight="1">
      <c r="B621" s="260"/>
      <c r="C621" s="130"/>
      <c r="E621" s="130"/>
    </row>
    <row r="622" ht="12.0" customHeight="1">
      <c r="B622" s="260"/>
      <c r="C622" s="130"/>
      <c r="E622" s="130"/>
    </row>
    <row r="623" ht="12.0" customHeight="1">
      <c r="B623" s="260"/>
      <c r="C623" s="130"/>
      <c r="E623" s="130"/>
    </row>
    <row r="624" ht="12.0" customHeight="1">
      <c r="B624" s="260"/>
      <c r="C624" s="130"/>
      <c r="E624" s="130"/>
    </row>
    <row r="625" ht="12.0" customHeight="1">
      <c r="B625" s="260"/>
      <c r="C625" s="130"/>
      <c r="E625" s="130"/>
    </row>
    <row r="626" ht="12.0" customHeight="1">
      <c r="B626" s="260"/>
      <c r="C626" s="130"/>
      <c r="E626" s="130"/>
    </row>
    <row r="627" ht="12.0" customHeight="1">
      <c r="B627" s="260"/>
      <c r="C627" s="130"/>
      <c r="E627" s="130"/>
    </row>
    <row r="628" ht="12.0" customHeight="1">
      <c r="B628" s="260"/>
      <c r="C628" s="130"/>
      <c r="E628" s="130"/>
    </row>
    <row r="629" ht="12.0" customHeight="1">
      <c r="B629" s="260"/>
      <c r="C629" s="130"/>
      <c r="E629" s="130"/>
    </row>
    <row r="630" ht="12.0" customHeight="1">
      <c r="B630" s="260"/>
      <c r="C630" s="130"/>
      <c r="E630" s="130"/>
    </row>
    <row r="631" ht="12.0" customHeight="1">
      <c r="B631" s="260"/>
      <c r="C631" s="130"/>
      <c r="E631" s="130"/>
    </row>
    <row r="632" ht="12.0" customHeight="1">
      <c r="B632" s="260"/>
      <c r="C632" s="130"/>
      <c r="E632" s="130"/>
    </row>
    <row r="633" ht="12.0" customHeight="1">
      <c r="B633" s="260"/>
      <c r="C633" s="130"/>
      <c r="E633" s="130"/>
    </row>
    <row r="634" ht="12.0" customHeight="1">
      <c r="B634" s="260"/>
      <c r="C634" s="130"/>
      <c r="E634" s="130"/>
    </row>
    <row r="635" ht="12.0" customHeight="1">
      <c r="B635" s="260"/>
      <c r="C635" s="130"/>
      <c r="E635" s="130"/>
    </row>
    <row r="636" ht="12.0" customHeight="1">
      <c r="B636" s="260"/>
      <c r="C636" s="130"/>
      <c r="E636" s="130"/>
    </row>
    <row r="637" ht="12.0" customHeight="1">
      <c r="B637" s="260"/>
      <c r="C637" s="130"/>
      <c r="E637" s="130"/>
    </row>
    <row r="638" ht="12.0" customHeight="1">
      <c r="B638" s="260"/>
      <c r="C638" s="130"/>
      <c r="E638" s="130"/>
    </row>
    <row r="639" ht="12.0" customHeight="1">
      <c r="B639" s="260"/>
      <c r="C639" s="130"/>
      <c r="E639" s="130"/>
    </row>
    <row r="640" ht="12.0" customHeight="1">
      <c r="B640" s="260"/>
      <c r="C640" s="130"/>
      <c r="E640" s="130"/>
    </row>
    <row r="641" ht="12.0" customHeight="1">
      <c r="B641" s="260"/>
      <c r="C641" s="130"/>
      <c r="E641" s="130"/>
    </row>
    <row r="642" ht="12.0" customHeight="1">
      <c r="B642" s="260"/>
      <c r="C642" s="130"/>
      <c r="E642" s="130"/>
    </row>
    <row r="643" ht="12.0" customHeight="1">
      <c r="B643" s="260"/>
      <c r="C643" s="130"/>
      <c r="E643" s="130"/>
    </row>
    <row r="644" ht="12.0" customHeight="1">
      <c r="B644" s="260"/>
      <c r="C644" s="130"/>
      <c r="E644" s="130"/>
    </row>
    <row r="645" ht="12.0" customHeight="1">
      <c r="B645" s="260"/>
      <c r="C645" s="130"/>
      <c r="E645" s="130"/>
    </row>
    <row r="646" ht="12.0" customHeight="1">
      <c r="B646" s="260"/>
      <c r="C646" s="130"/>
      <c r="E646" s="130"/>
    </row>
    <row r="647" ht="12.0" customHeight="1">
      <c r="B647" s="260"/>
      <c r="C647" s="130"/>
      <c r="E647" s="130"/>
    </row>
    <row r="648" ht="12.0" customHeight="1">
      <c r="B648" s="260"/>
      <c r="C648" s="130"/>
      <c r="E648" s="130"/>
    </row>
    <row r="649" ht="12.0" customHeight="1">
      <c r="B649" s="260"/>
      <c r="C649" s="130"/>
      <c r="E649" s="130"/>
    </row>
    <row r="650" ht="12.0" customHeight="1">
      <c r="B650" s="260"/>
      <c r="C650" s="130"/>
      <c r="E650" s="130"/>
    </row>
    <row r="651" ht="12.0" customHeight="1">
      <c r="B651" s="260"/>
      <c r="C651" s="130"/>
      <c r="E651" s="130"/>
    </row>
    <row r="652" ht="12.0" customHeight="1">
      <c r="B652" s="260"/>
      <c r="C652" s="130"/>
      <c r="E652" s="130"/>
    </row>
    <row r="653" ht="12.0" customHeight="1">
      <c r="B653" s="260"/>
      <c r="C653" s="130"/>
      <c r="E653" s="130"/>
    </row>
    <row r="654" ht="12.0" customHeight="1">
      <c r="B654" s="260"/>
      <c r="C654" s="130"/>
      <c r="E654" s="130"/>
    </row>
    <row r="655" ht="12.0" customHeight="1">
      <c r="B655" s="260"/>
      <c r="C655" s="130"/>
      <c r="E655" s="130"/>
    </row>
    <row r="656" ht="12.0" customHeight="1">
      <c r="B656" s="260"/>
      <c r="C656" s="130"/>
      <c r="E656" s="130"/>
    </row>
    <row r="657" ht="12.0" customHeight="1">
      <c r="B657" s="260"/>
      <c r="C657" s="130"/>
      <c r="E657" s="130"/>
    </row>
    <row r="658" ht="12.0" customHeight="1">
      <c r="B658" s="260"/>
      <c r="C658" s="130"/>
      <c r="E658" s="130"/>
    </row>
    <row r="659" ht="12.0" customHeight="1">
      <c r="B659" s="260"/>
      <c r="C659" s="130"/>
      <c r="E659" s="130"/>
    </row>
    <row r="660" ht="12.0" customHeight="1">
      <c r="B660" s="260"/>
      <c r="C660" s="130"/>
      <c r="E660" s="130"/>
    </row>
    <row r="661" ht="12.0" customHeight="1">
      <c r="B661" s="260"/>
      <c r="C661" s="130"/>
      <c r="E661" s="130"/>
    </row>
    <row r="662" ht="12.0" customHeight="1">
      <c r="B662" s="260"/>
      <c r="C662" s="130"/>
      <c r="E662" s="130"/>
    </row>
    <row r="663" ht="12.0" customHeight="1">
      <c r="B663" s="260"/>
      <c r="C663" s="130"/>
      <c r="E663" s="130"/>
    </row>
    <row r="664" ht="12.0" customHeight="1">
      <c r="B664" s="260"/>
      <c r="C664" s="130"/>
      <c r="E664" s="130"/>
    </row>
    <row r="665" ht="12.0" customHeight="1">
      <c r="B665" s="260"/>
      <c r="C665" s="130"/>
      <c r="E665" s="130"/>
    </row>
    <row r="666" ht="12.0" customHeight="1">
      <c r="B666" s="260"/>
      <c r="C666" s="130"/>
      <c r="E666" s="130"/>
    </row>
    <row r="667" ht="12.0" customHeight="1">
      <c r="B667" s="260"/>
      <c r="C667" s="130"/>
      <c r="E667" s="130"/>
    </row>
    <row r="668" ht="12.0" customHeight="1">
      <c r="B668" s="260"/>
      <c r="C668" s="130"/>
      <c r="E668" s="130"/>
    </row>
    <row r="669" ht="12.0" customHeight="1">
      <c r="B669" s="260"/>
      <c r="C669" s="130"/>
      <c r="E669" s="130"/>
    </row>
    <row r="670" ht="12.0" customHeight="1">
      <c r="B670" s="260"/>
      <c r="C670" s="130"/>
      <c r="E670" s="130"/>
    </row>
    <row r="671" ht="12.0" customHeight="1">
      <c r="B671" s="260"/>
      <c r="C671" s="130"/>
      <c r="E671" s="130"/>
    </row>
    <row r="672" ht="12.0" customHeight="1">
      <c r="B672" s="260"/>
      <c r="C672" s="130"/>
      <c r="E672" s="130"/>
    </row>
    <row r="673" ht="12.0" customHeight="1">
      <c r="B673" s="260"/>
      <c r="C673" s="130"/>
      <c r="E673" s="130"/>
    </row>
    <row r="674" ht="12.0" customHeight="1">
      <c r="B674" s="260"/>
      <c r="C674" s="130"/>
      <c r="E674" s="130"/>
    </row>
    <row r="675" ht="12.0" customHeight="1">
      <c r="B675" s="260"/>
      <c r="C675" s="130"/>
      <c r="E675" s="130"/>
    </row>
    <row r="676" ht="12.0" customHeight="1">
      <c r="B676" s="260"/>
      <c r="C676" s="130"/>
      <c r="E676" s="130"/>
    </row>
    <row r="677" ht="12.0" customHeight="1">
      <c r="B677" s="260"/>
      <c r="C677" s="130"/>
      <c r="E677" s="130"/>
    </row>
    <row r="678" ht="12.0" customHeight="1">
      <c r="B678" s="260"/>
      <c r="C678" s="130"/>
      <c r="E678" s="130"/>
    </row>
    <row r="679" ht="12.0" customHeight="1">
      <c r="B679" s="260"/>
      <c r="C679" s="130"/>
      <c r="E679" s="130"/>
    </row>
    <row r="680" ht="12.0" customHeight="1">
      <c r="B680" s="260"/>
      <c r="C680" s="130"/>
      <c r="E680" s="130"/>
    </row>
    <row r="681" ht="12.0" customHeight="1">
      <c r="B681" s="260"/>
      <c r="C681" s="130"/>
      <c r="E681" s="130"/>
    </row>
    <row r="682" ht="12.0" customHeight="1">
      <c r="B682" s="260"/>
      <c r="C682" s="130"/>
      <c r="E682" s="130"/>
    </row>
    <row r="683" ht="12.0" customHeight="1">
      <c r="B683" s="260"/>
      <c r="C683" s="130"/>
      <c r="E683" s="130"/>
    </row>
    <row r="684" ht="12.0" customHeight="1">
      <c r="B684" s="260"/>
      <c r="C684" s="130"/>
      <c r="E684" s="130"/>
    </row>
    <row r="685" ht="12.0" customHeight="1">
      <c r="B685" s="260"/>
      <c r="C685" s="130"/>
      <c r="E685" s="130"/>
    </row>
    <row r="686" ht="12.0" customHeight="1">
      <c r="B686" s="260"/>
      <c r="C686" s="130"/>
      <c r="E686" s="130"/>
    </row>
    <row r="687" ht="12.0" customHeight="1">
      <c r="B687" s="260"/>
      <c r="C687" s="130"/>
      <c r="E687" s="130"/>
    </row>
    <row r="688" ht="12.0" customHeight="1">
      <c r="B688" s="260"/>
      <c r="C688" s="130"/>
      <c r="E688" s="130"/>
    </row>
    <row r="689" ht="12.0" customHeight="1">
      <c r="B689" s="260"/>
      <c r="C689" s="130"/>
      <c r="E689" s="130"/>
    </row>
    <row r="690" ht="12.0" customHeight="1">
      <c r="B690" s="260"/>
      <c r="C690" s="130"/>
      <c r="E690" s="130"/>
    </row>
    <row r="691" ht="12.0" customHeight="1">
      <c r="B691" s="260"/>
      <c r="C691" s="130"/>
      <c r="E691" s="130"/>
    </row>
    <row r="692" ht="12.0" customHeight="1">
      <c r="B692" s="260"/>
      <c r="C692" s="130"/>
      <c r="E692" s="130"/>
    </row>
    <row r="693" ht="12.0" customHeight="1">
      <c r="B693" s="260"/>
      <c r="C693" s="130"/>
      <c r="E693" s="130"/>
    </row>
    <row r="694" ht="12.0" customHeight="1">
      <c r="B694" s="260"/>
      <c r="C694" s="130"/>
      <c r="E694" s="130"/>
    </row>
    <row r="695" ht="12.0" customHeight="1">
      <c r="B695" s="260"/>
      <c r="C695" s="130"/>
      <c r="E695" s="130"/>
    </row>
    <row r="696" ht="12.0" customHeight="1">
      <c r="B696" s="260"/>
      <c r="C696" s="130"/>
      <c r="E696" s="130"/>
    </row>
    <row r="697" ht="12.0" customHeight="1">
      <c r="B697" s="260"/>
      <c r="C697" s="130"/>
      <c r="E697" s="130"/>
    </row>
    <row r="698" ht="12.0" customHeight="1">
      <c r="B698" s="260"/>
      <c r="C698" s="130"/>
      <c r="E698" s="130"/>
    </row>
    <row r="699" ht="12.0" customHeight="1">
      <c r="B699" s="260"/>
      <c r="C699" s="130"/>
      <c r="E699" s="130"/>
    </row>
    <row r="700" ht="12.0" customHeight="1">
      <c r="B700" s="260"/>
      <c r="C700" s="130"/>
      <c r="E700" s="130"/>
    </row>
    <row r="701" ht="12.0" customHeight="1">
      <c r="B701" s="260"/>
      <c r="C701" s="130"/>
      <c r="E701" s="130"/>
    </row>
    <row r="702" ht="12.0" customHeight="1">
      <c r="B702" s="260"/>
      <c r="C702" s="130"/>
      <c r="E702" s="130"/>
    </row>
    <row r="703" ht="12.0" customHeight="1">
      <c r="B703" s="260"/>
      <c r="C703" s="130"/>
      <c r="E703" s="130"/>
    </row>
    <row r="704" ht="12.0" customHeight="1">
      <c r="B704" s="260"/>
      <c r="C704" s="130"/>
      <c r="E704" s="130"/>
    </row>
    <row r="705" ht="12.0" customHeight="1">
      <c r="B705" s="260"/>
      <c r="C705" s="130"/>
      <c r="E705" s="130"/>
    </row>
    <row r="706" ht="12.0" customHeight="1">
      <c r="B706" s="260"/>
      <c r="C706" s="130"/>
      <c r="E706" s="130"/>
    </row>
    <row r="707" ht="12.0" customHeight="1">
      <c r="B707" s="260"/>
      <c r="C707" s="130"/>
      <c r="E707" s="130"/>
    </row>
    <row r="708" ht="12.0" customHeight="1">
      <c r="B708" s="260"/>
      <c r="C708" s="130"/>
      <c r="E708" s="130"/>
    </row>
    <row r="709" ht="12.0" customHeight="1">
      <c r="B709" s="260"/>
      <c r="C709" s="130"/>
      <c r="E709" s="130"/>
    </row>
    <row r="710" ht="12.0" customHeight="1">
      <c r="B710" s="260"/>
      <c r="C710" s="130"/>
      <c r="E710" s="130"/>
    </row>
    <row r="711" ht="12.0" customHeight="1">
      <c r="B711" s="260"/>
      <c r="C711" s="130"/>
      <c r="E711" s="130"/>
    </row>
    <row r="712" ht="12.0" customHeight="1">
      <c r="B712" s="260"/>
      <c r="C712" s="130"/>
      <c r="E712" s="130"/>
    </row>
    <row r="713" ht="12.0" customHeight="1">
      <c r="B713" s="260"/>
      <c r="C713" s="130"/>
      <c r="E713" s="130"/>
    </row>
    <row r="714" ht="12.0" customHeight="1">
      <c r="B714" s="260"/>
      <c r="C714" s="130"/>
      <c r="E714" s="130"/>
    </row>
    <row r="715" ht="12.0" customHeight="1">
      <c r="B715" s="260"/>
      <c r="C715" s="130"/>
      <c r="E715" s="130"/>
    </row>
    <row r="716" ht="12.0" customHeight="1">
      <c r="B716" s="260"/>
      <c r="C716" s="130"/>
      <c r="E716" s="130"/>
    </row>
    <row r="717" ht="12.0" customHeight="1">
      <c r="B717" s="260"/>
      <c r="C717" s="130"/>
      <c r="E717" s="130"/>
    </row>
    <row r="718" ht="12.0" customHeight="1">
      <c r="B718" s="260"/>
      <c r="C718" s="130"/>
      <c r="E718" s="130"/>
    </row>
    <row r="719" ht="12.0" customHeight="1">
      <c r="B719" s="260"/>
      <c r="C719" s="130"/>
      <c r="E719" s="130"/>
    </row>
    <row r="720" ht="12.0" customHeight="1">
      <c r="B720" s="260"/>
      <c r="C720" s="130"/>
      <c r="E720" s="130"/>
    </row>
    <row r="721" ht="12.0" customHeight="1">
      <c r="B721" s="260"/>
      <c r="C721" s="130"/>
      <c r="E721" s="130"/>
    </row>
    <row r="722" ht="12.0" customHeight="1">
      <c r="B722" s="260"/>
      <c r="C722" s="130"/>
      <c r="E722" s="130"/>
    </row>
    <row r="723" ht="12.0" customHeight="1">
      <c r="B723" s="260"/>
      <c r="C723" s="130"/>
      <c r="E723" s="130"/>
    </row>
    <row r="724" ht="12.0" customHeight="1">
      <c r="B724" s="260"/>
      <c r="C724" s="130"/>
      <c r="E724" s="130"/>
    </row>
    <row r="725" ht="12.0" customHeight="1">
      <c r="B725" s="260"/>
      <c r="C725" s="130"/>
      <c r="E725" s="130"/>
    </row>
    <row r="726" ht="12.0" customHeight="1">
      <c r="B726" s="260"/>
      <c r="C726" s="130"/>
      <c r="E726" s="130"/>
    </row>
    <row r="727" ht="12.0" customHeight="1">
      <c r="B727" s="260"/>
      <c r="C727" s="130"/>
      <c r="E727" s="130"/>
    </row>
    <row r="728" ht="12.0" customHeight="1">
      <c r="B728" s="260"/>
      <c r="C728" s="130"/>
      <c r="E728" s="130"/>
    </row>
    <row r="729" ht="12.0" customHeight="1">
      <c r="B729" s="260"/>
      <c r="C729" s="130"/>
      <c r="E729" s="130"/>
    </row>
    <row r="730" ht="12.0" customHeight="1">
      <c r="B730" s="260"/>
      <c r="C730" s="130"/>
      <c r="E730" s="130"/>
    </row>
    <row r="731" ht="12.0" customHeight="1">
      <c r="B731" s="260"/>
      <c r="C731" s="130"/>
      <c r="E731" s="130"/>
    </row>
    <row r="732" ht="12.0" customHeight="1">
      <c r="B732" s="260"/>
      <c r="C732" s="130"/>
      <c r="E732" s="130"/>
    </row>
    <row r="733" ht="12.0" customHeight="1">
      <c r="B733" s="260"/>
      <c r="C733" s="130"/>
      <c r="E733" s="130"/>
    </row>
    <row r="734" ht="12.0" customHeight="1">
      <c r="B734" s="260"/>
      <c r="C734" s="130"/>
      <c r="E734" s="130"/>
    </row>
    <row r="735" ht="12.0" customHeight="1">
      <c r="B735" s="260"/>
      <c r="C735" s="130"/>
      <c r="E735" s="130"/>
    </row>
    <row r="736" ht="12.0" customHeight="1">
      <c r="B736" s="260"/>
      <c r="C736" s="130"/>
      <c r="E736" s="130"/>
    </row>
    <row r="737" ht="12.0" customHeight="1">
      <c r="B737" s="260"/>
      <c r="C737" s="130"/>
      <c r="E737" s="130"/>
    </row>
    <row r="738" ht="12.0" customHeight="1">
      <c r="B738" s="260"/>
      <c r="C738" s="130"/>
      <c r="E738" s="130"/>
    </row>
    <row r="739" ht="12.0" customHeight="1">
      <c r="B739" s="260"/>
      <c r="C739" s="130"/>
      <c r="E739" s="130"/>
    </row>
    <row r="740" ht="12.0" customHeight="1">
      <c r="B740" s="260"/>
      <c r="C740" s="130"/>
      <c r="E740" s="130"/>
    </row>
    <row r="741" ht="12.0" customHeight="1">
      <c r="B741" s="260"/>
      <c r="C741" s="130"/>
      <c r="E741" s="130"/>
    </row>
    <row r="742" ht="12.0" customHeight="1">
      <c r="B742" s="260"/>
      <c r="C742" s="130"/>
      <c r="E742" s="130"/>
    </row>
    <row r="743" ht="12.0" customHeight="1">
      <c r="B743" s="260"/>
      <c r="C743" s="130"/>
      <c r="E743" s="130"/>
    </row>
    <row r="744" ht="12.0" customHeight="1">
      <c r="B744" s="260"/>
      <c r="C744" s="130"/>
      <c r="E744" s="130"/>
    </row>
    <row r="745" ht="12.0" customHeight="1">
      <c r="B745" s="260"/>
      <c r="C745" s="130"/>
      <c r="E745" s="130"/>
    </row>
    <row r="746" ht="12.0" customHeight="1">
      <c r="B746" s="260"/>
      <c r="C746" s="130"/>
      <c r="E746" s="130"/>
    </row>
    <row r="747" ht="12.0" customHeight="1">
      <c r="B747" s="260"/>
      <c r="C747" s="130"/>
      <c r="E747" s="130"/>
    </row>
    <row r="748" ht="12.0" customHeight="1">
      <c r="B748" s="260"/>
      <c r="C748" s="130"/>
      <c r="E748" s="130"/>
    </row>
    <row r="749" ht="12.0" customHeight="1">
      <c r="B749" s="260"/>
      <c r="C749" s="130"/>
      <c r="E749" s="130"/>
    </row>
    <row r="750" ht="12.0" customHeight="1">
      <c r="B750" s="260"/>
      <c r="C750" s="130"/>
      <c r="E750" s="130"/>
    </row>
    <row r="751" ht="12.0" customHeight="1">
      <c r="B751" s="260"/>
      <c r="C751" s="130"/>
      <c r="E751" s="130"/>
    </row>
    <row r="752" ht="12.0" customHeight="1">
      <c r="B752" s="260"/>
      <c r="C752" s="130"/>
      <c r="E752" s="130"/>
    </row>
    <row r="753" ht="12.0" customHeight="1">
      <c r="B753" s="260"/>
      <c r="C753" s="130"/>
      <c r="E753" s="130"/>
    </row>
    <row r="754" ht="12.0" customHeight="1">
      <c r="B754" s="260"/>
      <c r="C754" s="130"/>
      <c r="E754" s="130"/>
    </row>
    <row r="755" ht="12.0" customHeight="1">
      <c r="B755" s="260"/>
      <c r="C755" s="130"/>
      <c r="E755" s="130"/>
    </row>
    <row r="756" ht="12.0" customHeight="1">
      <c r="B756" s="260"/>
      <c r="C756" s="130"/>
      <c r="E756" s="130"/>
    </row>
    <row r="757" ht="12.0" customHeight="1">
      <c r="B757" s="260"/>
      <c r="C757" s="130"/>
      <c r="E757" s="130"/>
    </row>
    <row r="758" ht="12.0" customHeight="1">
      <c r="B758" s="260"/>
      <c r="C758" s="130"/>
      <c r="E758" s="130"/>
    </row>
    <row r="759" ht="12.0" customHeight="1">
      <c r="B759" s="260"/>
      <c r="C759" s="130"/>
      <c r="E759" s="130"/>
    </row>
    <row r="760" ht="12.0" customHeight="1">
      <c r="B760" s="260"/>
      <c r="C760" s="130"/>
      <c r="E760" s="130"/>
    </row>
    <row r="761" ht="12.0" customHeight="1">
      <c r="B761" s="260"/>
      <c r="C761" s="130"/>
      <c r="E761" s="130"/>
    </row>
    <row r="762" ht="12.0" customHeight="1">
      <c r="B762" s="260"/>
      <c r="C762" s="130"/>
      <c r="E762" s="130"/>
    </row>
    <row r="763" ht="12.0" customHeight="1">
      <c r="B763" s="260"/>
      <c r="C763" s="130"/>
      <c r="E763" s="130"/>
    </row>
    <row r="764" ht="12.0" customHeight="1">
      <c r="B764" s="260"/>
      <c r="C764" s="130"/>
      <c r="E764" s="130"/>
    </row>
    <row r="765" ht="12.0" customHeight="1">
      <c r="B765" s="260"/>
      <c r="C765" s="130"/>
      <c r="E765" s="130"/>
    </row>
    <row r="766" ht="12.0" customHeight="1">
      <c r="B766" s="260"/>
      <c r="C766" s="130"/>
      <c r="E766" s="130"/>
    </row>
    <row r="767" ht="12.0" customHeight="1">
      <c r="B767" s="260"/>
      <c r="C767" s="130"/>
      <c r="E767" s="130"/>
    </row>
    <row r="768" ht="12.0" customHeight="1">
      <c r="B768" s="260"/>
      <c r="C768" s="130"/>
      <c r="E768" s="130"/>
    </row>
    <row r="769" ht="12.0" customHeight="1">
      <c r="B769" s="260"/>
      <c r="C769" s="130"/>
      <c r="E769" s="130"/>
    </row>
    <row r="770" ht="12.0" customHeight="1">
      <c r="B770" s="260"/>
      <c r="C770" s="130"/>
      <c r="E770" s="130"/>
    </row>
    <row r="771" ht="12.0" customHeight="1">
      <c r="B771" s="260"/>
      <c r="C771" s="130"/>
      <c r="E771" s="130"/>
    </row>
    <row r="772" ht="12.0" customHeight="1">
      <c r="B772" s="260"/>
      <c r="C772" s="130"/>
      <c r="E772" s="130"/>
    </row>
    <row r="773" ht="12.0" customHeight="1">
      <c r="B773" s="260"/>
      <c r="C773" s="130"/>
      <c r="E773" s="130"/>
    </row>
    <row r="774" ht="12.0" customHeight="1">
      <c r="B774" s="260"/>
      <c r="C774" s="130"/>
      <c r="E774" s="130"/>
    </row>
    <row r="775" ht="12.0" customHeight="1">
      <c r="B775" s="260"/>
      <c r="C775" s="130"/>
      <c r="E775" s="130"/>
    </row>
    <row r="776" ht="12.0" customHeight="1">
      <c r="B776" s="260"/>
      <c r="C776" s="130"/>
      <c r="E776" s="130"/>
    </row>
    <row r="777" ht="12.0" customHeight="1">
      <c r="B777" s="260"/>
      <c r="C777" s="130"/>
      <c r="E777" s="130"/>
    </row>
    <row r="778" ht="12.0" customHeight="1">
      <c r="B778" s="260"/>
      <c r="C778" s="130"/>
      <c r="E778" s="130"/>
    </row>
    <row r="779" ht="12.0" customHeight="1">
      <c r="B779" s="260"/>
      <c r="C779" s="130"/>
      <c r="E779" s="130"/>
    </row>
    <row r="780" ht="12.0" customHeight="1">
      <c r="B780" s="260"/>
      <c r="C780" s="130"/>
      <c r="E780" s="130"/>
    </row>
    <row r="781" ht="12.0" customHeight="1">
      <c r="B781" s="260"/>
      <c r="C781" s="130"/>
      <c r="E781" s="130"/>
    </row>
    <row r="782" ht="12.0" customHeight="1">
      <c r="B782" s="260"/>
      <c r="C782" s="130"/>
      <c r="E782" s="130"/>
    </row>
    <row r="783" ht="12.0" customHeight="1">
      <c r="B783" s="260"/>
      <c r="C783" s="130"/>
      <c r="E783" s="130"/>
    </row>
    <row r="784" ht="12.0" customHeight="1">
      <c r="B784" s="260"/>
      <c r="C784" s="130"/>
      <c r="E784" s="130"/>
    </row>
    <row r="785" ht="12.0" customHeight="1">
      <c r="B785" s="260"/>
      <c r="C785" s="130"/>
      <c r="E785" s="130"/>
    </row>
    <row r="786" ht="12.0" customHeight="1">
      <c r="B786" s="260"/>
      <c r="C786" s="130"/>
      <c r="E786" s="130"/>
    </row>
    <row r="787" ht="12.0" customHeight="1">
      <c r="B787" s="260"/>
      <c r="C787" s="130"/>
      <c r="E787" s="130"/>
    </row>
    <row r="788" ht="12.0" customHeight="1">
      <c r="B788" s="260"/>
      <c r="C788" s="130"/>
      <c r="E788" s="130"/>
    </row>
    <row r="789" ht="12.0" customHeight="1">
      <c r="B789" s="260"/>
      <c r="C789" s="130"/>
      <c r="E789" s="130"/>
    </row>
    <row r="790" ht="12.0" customHeight="1">
      <c r="B790" s="260"/>
      <c r="C790" s="130"/>
      <c r="E790" s="130"/>
    </row>
    <row r="791" ht="12.0" customHeight="1">
      <c r="B791" s="260"/>
      <c r="C791" s="130"/>
      <c r="E791" s="130"/>
    </row>
    <row r="792" ht="12.0" customHeight="1">
      <c r="B792" s="260"/>
      <c r="C792" s="130"/>
      <c r="E792" s="130"/>
    </row>
    <row r="793" ht="12.0" customHeight="1">
      <c r="B793" s="260"/>
      <c r="C793" s="130"/>
      <c r="E793" s="130"/>
    </row>
    <row r="794" ht="12.0" customHeight="1">
      <c r="B794" s="260"/>
      <c r="C794" s="130"/>
      <c r="E794" s="130"/>
    </row>
    <row r="795" ht="12.0" customHeight="1">
      <c r="B795" s="260"/>
      <c r="C795" s="130"/>
      <c r="E795" s="130"/>
    </row>
    <row r="796" ht="12.0" customHeight="1">
      <c r="B796" s="260"/>
      <c r="C796" s="130"/>
      <c r="E796" s="130"/>
    </row>
    <row r="797" ht="12.0" customHeight="1">
      <c r="B797" s="260"/>
      <c r="C797" s="130"/>
      <c r="E797" s="130"/>
    </row>
    <row r="798" ht="12.0" customHeight="1">
      <c r="B798" s="260"/>
      <c r="C798" s="130"/>
      <c r="E798" s="130"/>
    </row>
    <row r="799" ht="12.0" customHeight="1">
      <c r="B799" s="260"/>
      <c r="C799" s="130"/>
      <c r="E799" s="130"/>
    </row>
    <row r="800" ht="12.0" customHeight="1">
      <c r="B800" s="260"/>
      <c r="C800" s="130"/>
      <c r="E800" s="130"/>
    </row>
    <row r="801" ht="12.0" customHeight="1">
      <c r="B801" s="260"/>
      <c r="C801" s="130"/>
      <c r="E801" s="130"/>
    </row>
    <row r="802" ht="12.0" customHeight="1">
      <c r="B802" s="260"/>
      <c r="C802" s="130"/>
      <c r="E802" s="130"/>
    </row>
    <row r="803" ht="12.0" customHeight="1">
      <c r="B803" s="260"/>
      <c r="C803" s="130"/>
      <c r="E803" s="130"/>
    </row>
    <row r="804" ht="12.0" customHeight="1">
      <c r="B804" s="260"/>
      <c r="C804" s="130"/>
      <c r="E804" s="130"/>
    </row>
    <row r="805" ht="12.0" customHeight="1">
      <c r="B805" s="260"/>
      <c r="C805" s="130"/>
      <c r="E805" s="130"/>
    </row>
    <row r="806" ht="12.0" customHeight="1">
      <c r="B806" s="260"/>
      <c r="C806" s="130"/>
      <c r="E806" s="130"/>
    </row>
    <row r="807" ht="12.0" customHeight="1">
      <c r="B807" s="260"/>
      <c r="C807" s="130"/>
      <c r="E807" s="130"/>
    </row>
    <row r="808" ht="12.0" customHeight="1">
      <c r="B808" s="260"/>
      <c r="C808" s="130"/>
      <c r="E808" s="130"/>
    </row>
    <row r="809" ht="12.0" customHeight="1">
      <c r="B809" s="260"/>
      <c r="C809" s="130"/>
      <c r="E809" s="130"/>
    </row>
    <row r="810" ht="12.0" customHeight="1">
      <c r="B810" s="260"/>
      <c r="C810" s="130"/>
      <c r="E810" s="130"/>
    </row>
    <row r="811" ht="12.0" customHeight="1">
      <c r="B811" s="260"/>
      <c r="C811" s="130"/>
      <c r="E811" s="130"/>
    </row>
    <row r="812" ht="12.0" customHeight="1">
      <c r="B812" s="260"/>
      <c r="C812" s="130"/>
      <c r="E812" s="130"/>
    </row>
    <row r="813" ht="12.0" customHeight="1">
      <c r="B813" s="260"/>
      <c r="C813" s="130"/>
      <c r="E813" s="130"/>
    </row>
    <row r="814" ht="12.0" customHeight="1">
      <c r="B814" s="260"/>
      <c r="C814" s="130"/>
      <c r="E814" s="130"/>
    </row>
    <row r="815" ht="12.0" customHeight="1">
      <c r="B815" s="260"/>
      <c r="C815" s="130"/>
      <c r="E815" s="130"/>
    </row>
    <row r="816" ht="12.0" customHeight="1">
      <c r="B816" s="260"/>
      <c r="C816" s="130"/>
      <c r="E816" s="130"/>
    </row>
    <row r="817" ht="12.0" customHeight="1">
      <c r="B817" s="260"/>
      <c r="C817" s="130"/>
      <c r="E817" s="130"/>
    </row>
    <row r="818" ht="12.0" customHeight="1">
      <c r="B818" s="260"/>
      <c r="C818" s="130"/>
      <c r="E818" s="130"/>
    </row>
    <row r="819" ht="12.0" customHeight="1">
      <c r="B819" s="260"/>
      <c r="C819" s="130"/>
      <c r="E819" s="130"/>
    </row>
    <row r="820" ht="12.0" customHeight="1">
      <c r="B820" s="260"/>
      <c r="C820" s="130"/>
      <c r="E820" s="130"/>
    </row>
    <row r="821" ht="12.0" customHeight="1">
      <c r="B821" s="260"/>
      <c r="C821" s="130"/>
      <c r="E821" s="130"/>
    </row>
    <row r="822" ht="12.0" customHeight="1">
      <c r="B822" s="260"/>
      <c r="C822" s="130"/>
      <c r="E822" s="130"/>
    </row>
    <row r="823" ht="12.0" customHeight="1">
      <c r="B823" s="260"/>
      <c r="C823" s="130"/>
      <c r="E823" s="130"/>
    </row>
    <row r="824" ht="12.0" customHeight="1">
      <c r="B824" s="260"/>
      <c r="C824" s="130"/>
      <c r="E824" s="130"/>
    </row>
    <row r="825" ht="12.0" customHeight="1">
      <c r="B825" s="260"/>
      <c r="C825" s="130"/>
      <c r="E825" s="130"/>
    </row>
    <row r="826" ht="12.0" customHeight="1">
      <c r="B826" s="260"/>
      <c r="C826" s="130"/>
      <c r="E826" s="130"/>
    </row>
    <row r="827" ht="12.0" customHeight="1">
      <c r="B827" s="260"/>
      <c r="C827" s="130"/>
      <c r="E827" s="130"/>
    </row>
    <row r="828" ht="12.0" customHeight="1">
      <c r="B828" s="260"/>
      <c r="C828" s="130"/>
      <c r="E828" s="130"/>
    </row>
    <row r="829" ht="12.0" customHeight="1">
      <c r="B829" s="260"/>
      <c r="C829" s="130"/>
      <c r="E829" s="130"/>
    </row>
    <row r="830" ht="12.0" customHeight="1">
      <c r="B830" s="260"/>
      <c r="C830" s="130"/>
      <c r="E830" s="130"/>
    </row>
    <row r="831" ht="12.0" customHeight="1">
      <c r="B831" s="260"/>
      <c r="C831" s="130"/>
      <c r="E831" s="130"/>
    </row>
    <row r="832" ht="12.0" customHeight="1">
      <c r="B832" s="260"/>
      <c r="C832" s="130"/>
      <c r="E832" s="130"/>
    </row>
    <row r="833" ht="12.0" customHeight="1">
      <c r="B833" s="260"/>
      <c r="C833" s="130"/>
      <c r="E833" s="130"/>
    </row>
    <row r="834" ht="12.0" customHeight="1">
      <c r="B834" s="260"/>
      <c r="C834" s="130"/>
      <c r="E834" s="130"/>
    </row>
    <row r="835" ht="12.0" customHeight="1">
      <c r="B835" s="260"/>
      <c r="C835" s="130"/>
      <c r="E835" s="130"/>
    </row>
    <row r="836" ht="12.0" customHeight="1">
      <c r="B836" s="260"/>
      <c r="C836" s="130"/>
      <c r="E836" s="130"/>
    </row>
    <row r="837" ht="12.0" customHeight="1">
      <c r="B837" s="260"/>
      <c r="C837" s="130"/>
      <c r="E837" s="130"/>
    </row>
    <row r="838" ht="12.0" customHeight="1">
      <c r="B838" s="260"/>
      <c r="C838" s="130"/>
      <c r="E838" s="130"/>
    </row>
    <row r="839" ht="12.0" customHeight="1">
      <c r="B839" s="260"/>
      <c r="C839" s="130"/>
      <c r="E839" s="130"/>
    </row>
    <row r="840" ht="12.0" customHeight="1">
      <c r="B840" s="260"/>
      <c r="C840" s="130"/>
      <c r="E840" s="130"/>
    </row>
    <row r="841" ht="12.0" customHeight="1">
      <c r="B841" s="260"/>
      <c r="C841" s="130"/>
      <c r="E841" s="130"/>
    </row>
    <row r="842" ht="12.0" customHeight="1">
      <c r="B842" s="260"/>
      <c r="C842" s="130"/>
      <c r="E842" s="130"/>
    </row>
    <row r="843" ht="12.0" customHeight="1">
      <c r="B843" s="260"/>
      <c r="C843" s="130"/>
      <c r="E843" s="130"/>
    </row>
    <row r="844" ht="12.0" customHeight="1">
      <c r="B844" s="260"/>
      <c r="C844" s="130"/>
      <c r="E844" s="130"/>
    </row>
    <row r="845" ht="12.0" customHeight="1">
      <c r="B845" s="260"/>
      <c r="C845" s="130"/>
      <c r="E845" s="130"/>
    </row>
    <row r="846" ht="12.0" customHeight="1">
      <c r="B846" s="260"/>
      <c r="C846" s="130"/>
      <c r="E846" s="130"/>
    </row>
    <row r="847" ht="12.0" customHeight="1">
      <c r="B847" s="260"/>
      <c r="C847" s="130"/>
      <c r="E847" s="130"/>
    </row>
    <row r="848" ht="12.0" customHeight="1">
      <c r="B848" s="260"/>
      <c r="C848" s="130"/>
      <c r="E848" s="130"/>
    </row>
    <row r="849" ht="12.0" customHeight="1">
      <c r="B849" s="260"/>
      <c r="C849" s="130"/>
      <c r="E849" s="130"/>
    </row>
    <row r="850" ht="12.0" customHeight="1">
      <c r="B850" s="260"/>
      <c r="C850" s="130"/>
      <c r="E850" s="130"/>
    </row>
    <row r="851" ht="12.0" customHeight="1">
      <c r="B851" s="260"/>
      <c r="C851" s="130"/>
      <c r="E851" s="130"/>
    </row>
    <row r="852" ht="12.0" customHeight="1">
      <c r="B852" s="260"/>
      <c r="C852" s="130"/>
      <c r="E852" s="130"/>
    </row>
    <row r="853" ht="12.0" customHeight="1">
      <c r="B853" s="260"/>
      <c r="C853" s="130"/>
      <c r="E853" s="130"/>
    </row>
    <row r="854" ht="12.0" customHeight="1">
      <c r="B854" s="260"/>
      <c r="C854" s="130"/>
      <c r="E854" s="130"/>
    </row>
    <row r="855" ht="12.0" customHeight="1">
      <c r="B855" s="260"/>
      <c r="C855" s="130"/>
      <c r="E855" s="130"/>
    </row>
    <row r="856" ht="12.0" customHeight="1">
      <c r="B856" s="260"/>
      <c r="C856" s="130"/>
      <c r="E856" s="130"/>
    </row>
    <row r="857" ht="12.0" customHeight="1">
      <c r="B857" s="260"/>
      <c r="C857" s="130"/>
      <c r="E857" s="130"/>
    </row>
    <row r="858" ht="12.0" customHeight="1">
      <c r="B858" s="260"/>
      <c r="C858" s="130"/>
      <c r="E858" s="130"/>
    </row>
    <row r="859" ht="12.0" customHeight="1">
      <c r="B859" s="260"/>
      <c r="C859" s="130"/>
      <c r="E859" s="130"/>
    </row>
    <row r="860" ht="12.0" customHeight="1">
      <c r="B860" s="260"/>
      <c r="C860" s="130"/>
      <c r="E860" s="130"/>
    </row>
    <row r="861" ht="12.0" customHeight="1">
      <c r="B861" s="260"/>
      <c r="C861" s="130"/>
      <c r="E861" s="130"/>
    </row>
    <row r="862" ht="12.0" customHeight="1">
      <c r="B862" s="260"/>
      <c r="C862" s="130"/>
      <c r="E862" s="130"/>
    </row>
    <row r="863" ht="12.0" customHeight="1">
      <c r="B863" s="260"/>
      <c r="C863" s="130"/>
      <c r="E863" s="130"/>
    </row>
    <row r="864" ht="12.0" customHeight="1">
      <c r="B864" s="260"/>
      <c r="C864" s="130"/>
      <c r="E864" s="130"/>
    </row>
    <row r="865" ht="12.0" customHeight="1">
      <c r="B865" s="260"/>
      <c r="C865" s="130"/>
      <c r="E865" s="130"/>
    </row>
    <row r="866" ht="12.0" customHeight="1">
      <c r="B866" s="260"/>
      <c r="C866" s="130"/>
      <c r="E866" s="130"/>
    </row>
    <row r="867" ht="12.0" customHeight="1">
      <c r="B867" s="260"/>
      <c r="C867" s="130"/>
      <c r="E867" s="130"/>
    </row>
    <row r="868" ht="12.0" customHeight="1">
      <c r="B868" s="260"/>
      <c r="C868" s="130"/>
      <c r="E868" s="130"/>
    </row>
    <row r="869" ht="12.0" customHeight="1">
      <c r="B869" s="260"/>
      <c r="C869" s="130"/>
      <c r="E869" s="130"/>
    </row>
    <row r="870" ht="12.0" customHeight="1">
      <c r="B870" s="260"/>
      <c r="C870" s="130"/>
      <c r="E870" s="130"/>
    </row>
    <row r="871" ht="12.0" customHeight="1">
      <c r="B871" s="260"/>
      <c r="C871" s="130"/>
      <c r="E871" s="130"/>
    </row>
    <row r="872" ht="12.0" customHeight="1">
      <c r="B872" s="260"/>
      <c r="C872" s="130"/>
      <c r="E872" s="130"/>
    </row>
    <row r="873" ht="12.0" customHeight="1">
      <c r="B873" s="260"/>
      <c r="C873" s="130"/>
      <c r="E873" s="130"/>
    </row>
    <row r="874" ht="12.0" customHeight="1">
      <c r="B874" s="260"/>
      <c r="C874" s="130"/>
      <c r="E874" s="130"/>
    </row>
    <row r="875" ht="12.0" customHeight="1">
      <c r="B875" s="260"/>
      <c r="C875" s="130"/>
      <c r="E875" s="130"/>
    </row>
    <row r="876" ht="12.0" customHeight="1">
      <c r="B876" s="260"/>
      <c r="C876" s="130"/>
      <c r="E876" s="130"/>
    </row>
    <row r="877" ht="12.0" customHeight="1">
      <c r="B877" s="260"/>
      <c r="C877" s="130"/>
      <c r="E877" s="130"/>
    </row>
    <row r="878" ht="12.0" customHeight="1">
      <c r="B878" s="260"/>
      <c r="C878" s="130"/>
      <c r="E878" s="130"/>
    </row>
    <row r="879" ht="12.0" customHeight="1">
      <c r="B879" s="260"/>
      <c r="C879" s="130"/>
      <c r="E879" s="130"/>
    </row>
    <row r="880" ht="12.0" customHeight="1">
      <c r="B880" s="260"/>
      <c r="C880" s="130"/>
      <c r="E880" s="130"/>
    </row>
    <row r="881" ht="12.0" customHeight="1">
      <c r="B881" s="260"/>
      <c r="C881" s="130"/>
      <c r="E881" s="130"/>
    </row>
    <row r="882" ht="12.0" customHeight="1">
      <c r="B882" s="260"/>
      <c r="C882" s="130"/>
      <c r="E882" s="130"/>
    </row>
    <row r="883" ht="12.0" customHeight="1">
      <c r="B883" s="260"/>
      <c r="C883" s="130"/>
      <c r="E883" s="130"/>
    </row>
    <row r="884" ht="12.0" customHeight="1">
      <c r="B884" s="260"/>
      <c r="C884" s="130"/>
      <c r="E884" s="130"/>
    </row>
    <row r="885" ht="12.0" customHeight="1">
      <c r="B885" s="260"/>
      <c r="C885" s="130"/>
      <c r="E885" s="130"/>
    </row>
    <row r="886" ht="12.0" customHeight="1">
      <c r="B886" s="260"/>
      <c r="C886" s="130"/>
      <c r="E886" s="130"/>
    </row>
    <row r="887" ht="12.0" customHeight="1">
      <c r="B887" s="260"/>
      <c r="C887" s="130"/>
      <c r="E887" s="130"/>
    </row>
    <row r="888" ht="12.0" customHeight="1">
      <c r="B888" s="260"/>
      <c r="C888" s="130"/>
      <c r="E888" s="130"/>
    </row>
    <row r="889" ht="12.0" customHeight="1">
      <c r="B889" s="260"/>
      <c r="C889" s="130"/>
      <c r="E889" s="130"/>
    </row>
    <row r="890" ht="12.0" customHeight="1">
      <c r="B890" s="260"/>
      <c r="C890" s="130"/>
      <c r="E890" s="130"/>
    </row>
    <row r="891" ht="12.0" customHeight="1">
      <c r="B891" s="260"/>
      <c r="C891" s="130"/>
      <c r="E891" s="130"/>
    </row>
    <row r="892" ht="12.0" customHeight="1">
      <c r="B892" s="260"/>
      <c r="C892" s="130"/>
      <c r="E892" s="130"/>
    </row>
    <row r="893" ht="12.0" customHeight="1">
      <c r="B893" s="260"/>
      <c r="C893" s="130"/>
      <c r="E893" s="130"/>
    </row>
    <row r="894" ht="12.0" customHeight="1">
      <c r="B894" s="260"/>
      <c r="C894" s="130"/>
      <c r="E894" s="130"/>
    </row>
    <row r="895" ht="12.0" customHeight="1">
      <c r="B895" s="260"/>
      <c r="C895" s="130"/>
      <c r="E895" s="130"/>
    </row>
    <row r="896" ht="12.0" customHeight="1">
      <c r="B896" s="260"/>
      <c r="C896" s="130"/>
      <c r="E896" s="130"/>
    </row>
    <row r="897" ht="12.0" customHeight="1">
      <c r="B897" s="260"/>
      <c r="C897" s="130"/>
      <c r="E897" s="130"/>
    </row>
    <row r="898" ht="12.0" customHeight="1">
      <c r="B898" s="260"/>
      <c r="C898" s="130"/>
      <c r="E898" s="130"/>
    </row>
    <row r="899" ht="12.0" customHeight="1">
      <c r="B899" s="260"/>
      <c r="C899" s="130"/>
      <c r="E899" s="130"/>
    </row>
    <row r="900" ht="12.0" customHeight="1">
      <c r="B900" s="260"/>
      <c r="C900" s="130"/>
      <c r="E900" s="130"/>
    </row>
    <row r="901" ht="12.0" customHeight="1">
      <c r="B901" s="260"/>
      <c r="C901" s="130"/>
      <c r="E901" s="130"/>
    </row>
    <row r="902" ht="12.0" customHeight="1">
      <c r="B902" s="260"/>
      <c r="C902" s="130"/>
      <c r="E902" s="130"/>
    </row>
    <row r="903" ht="12.0" customHeight="1">
      <c r="B903" s="260"/>
      <c r="C903" s="130"/>
      <c r="E903" s="130"/>
    </row>
    <row r="904" ht="12.0" customHeight="1">
      <c r="B904" s="260"/>
      <c r="C904" s="130"/>
      <c r="E904" s="130"/>
    </row>
    <row r="905" ht="12.0" customHeight="1">
      <c r="B905" s="260"/>
      <c r="C905" s="130"/>
      <c r="E905" s="130"/>
    </row>
    <row r="906" ht="12.0" customHeight="1">
      <c r="B906" s="260"/>
      <c r="C906" s="130"/>
      <c r="E906" s="130"/>
    </row>
    <row r="907" ht="12.0" customHeight="1">
      <c r="B907" s="260"/>
      <c r="C907" s="130"/>
      <c r="E907" s="130"/>
    </row>
    <row r="908" ht="12.0" customHeight="1">
      <c r="B908" s="260"/>
      <c r="C908" s="130"/>
      <c r="E908" s="130"/>
    </row>
    <row r="909" ht="12.0" customHeight="1">
      <c r="B909" s="260"/>
      <c r="C909" s="130"/>
      <c r="E909" s="130"/>
    </row>
    <row r="910" ht="12.0" customHeight="1">
      <c r="B910" s="260"/>
      <c r="C910" s="130"/>
      <c r="E910" s="130"/>
    </row>
    <row r="911" ht="12.0" customHeight="1">
      <c r="B911" s="260"/>
      <c r="C911" s="130"/>
      <c r="E911" s="130"/>
    </row>
    <row r="912" ht="12.0" customHeight="1">
      <c r="B912" s="260"/>
      <c r="C912" s="130"/>
      <c r="E912" s="130"/>
    </row>
    <row r="913" ht="12.0" customHeight="1">
      <c r="B913" s="260"/>
      <c r="C913" s="130"/>
      <c r="E913" s="130"/>
    </row>
    <row r="914" ht="12.0" customHeight="1">
      <c r="B914" s="260"/>
      <c r="C914" s="130"/>
      <c r="E914" s="130"/>
    </row>
    <row r="915" ht="12.0" customHeight="1">
      <c r="B915" s="260"/>
      <c r="C915" s="130"/>
      <c r="E915" s="130"/>
    </row>
    <row r="916" ht="12.0" customHeight="1">
      <c r="B916" s="260"/>
      <c r="C916" s="130"/>
      <c r="E916" s="130"/>
    </row>
    <row r="917" ht="12.0" customHeight="1">
      <c r="B917" s="260"/>
      <c r="C917" s="130"/>
      <c r="E917" s="130"/>
    </row>
    <row r="918" ht="12.0" customHeight="1">
      <c r="B918" s="260"/>
      <c r="C918" s="130"/>
      <c r="E918" s="130"/>
    </row>
    <row r="919" ht="12.0" customHeight="1">
      <c r="B919" s="260"/>
      <c r="C919" s="130"/>
      <c r="E919" s="130"/>
    </row>
    <row r="920" ht="12.0" customHeight="1">
      <c r="B920" s="260"/>
      <c r="C920" s="130"/>
      <c r="E920" s="130"/>
    </row>
    <row r="921" ht="12.0" customHeight="1">
      <c r="B921" s="260"/>
      <c r="C921" s="130"/>
      <c r="E921" s="130"/>
    </row>
    <row r="922" ht="12.0" customHeight="1">
      <c r="B922" s="260"/>
      <c r="C922" s="130"/>
      <c r="E922" s="130"/>
    </row>
    <row r="923" ht="12.0" customHeight="1">
      <c r="B923" s="260"/>
      <c r="C923" s="130"/>
      <c r="E923" s="130"/>
    </row>
    <row r="924" ht="12.0" customHeight="1">
      <c r="B924" s="260"/>
      <c r="C924" s="130"/>
      <c r="E924" s="130"/>
    </row>
    <row r="925" ht="12.0" customHeight="1">
      <c r="B925" s="260"/>
      <c r="C925" s="130"/>
      <c r="E925" s="130"/>
    </row>
    <row r="926" ht="12.0" customHeight="1">
      <c r="B926" s="260"/>
      <c r="C926" s="130"/>
      <c r="E926" s="130"/>
    </row>
    <row r="927" ht="12.0" customHeight="1">
      <c r="B927" s="260"/>
      <c r="C927" s="130"/>
      <c r="E927" s="130"/>
    </row>
    <row r="928" ht="12.0" customHeight="1">
      <c r="B928" s="260"/>
      <c r="C928" s="130"/>
      <c r="E928" s="130"/>
    </row>
    <row r="929" ht="12.0" customHeight="1">
      <c r="B929" s="260"/>
      <c r="C929" s="130"/>
      <c r="E929" s="130"/>
    </row>
    <row r="930" ht="12.0" customHeight="1">
      <c r="B930" s="260"/>
      <c r="C930" s="130"/>
      <c r="E930" s="130"/>
    </row>
    <row r="931" ht="12.0" customHeight="1">
      <c r="B931" s="260"/>
      <c r="C931" s="130"/>
      <c r="E931" s="130"/>
    </row>
    <row r="932" ht="12.0" customHeight="1">
      <c r="B932" s="260"/>
      <c r="C932" s="130"/>
      <c r="E932" s="130"/>
    </row>
    <row r="933" ht="12.0" customHeight="1">
      <c r="B933" s="260"/>
      <c r="C933" s="130"/>
      <c r="E933" s="130"/>
    </row>
    <row r="934" ht="12.0" customHeight="1">
      <c r="B934" s="260"/>
      <c r="C934" s="130"/>
      <c r="E934" s="130"/>
    </row>
    <row r="935" ht="12.0" customHeight="1">
      <c r="B935" s="260"/>
      <c r="C935" s="130"/>
      <c r="E935" s="130"/>
    </row>
    <row r="936" ht="12.0" customHeight="1">
      <c r="B936" s="260"/>
      <c r="C936" s="130"/>
      <c r="E936" s="130"/>
    </row>
    <row r="937" ht="12.0" customHeight="1">
      <c r="B937" s="260"/>
      <c r="C937" s="130"/>
      <c r="E937" s="130"/>
    </row>
    <row r="938" ht="12.0" customHeight="1">
      <c r="B938" s="260"/>
      <c r="C938" s="130"/>
      <c r="E938" s="130"/>
    </row>
    <row r="939" ht="12.0" customHeight="1">
      <c r="B939" s="260"/>
      <c r="C939" s="130"/>
      <c r="E939" s="130"/>
    </row>
    <row r="940" ht="12.0" customHeight="1">
      <c r="B940" s="260"/>
      <c r="C940" s="130"/>
      <c r="E940" s="130"/>
    </row>
    <row r="941" ht="12.0" customHeight="1">
      <c r="B941" s="260"/>
      <c r="C941" s="130"/>
      <c r="E941" s="130"/>
    </row>
    <row r="942" ht="12.0" customHeight="1">
      <c r="B942" s="260"/>
      <c r="C942" s="130"/>
      <c r="E942" s="130"/>
    </row>
    <row r="943" ht="12.0" customHeight="1">
      <c r="B943" s="260"/>
      <c r="C943" s="130"/>
      <c r="E943" s="130"/>
    </row>
    <row r="944" ht="12.0" customHeight="1">
      <c r="B944" s="260"/>
      <c r="C944" s="130"/>
      <c r="E944" s="130"/>
    </row>
    <row r="945" ht="12.0" customHeight="1">
      <c r="B945" s="260"/>
      <c r="C945" s="130"/>
      <c r="E945" s="130"/>
    </row>
    <row r="946" ht="12.0" customHeight="1">
      <c r="B946" s="260"/>
      <c r="C946" s="130"/>
      <c r="E946" s="130"/>
    </row>
    <row r="947" ht="12.0" customHeight="1">
      <c r="B947" s="260"/>
      <c r="C947" s="130"/>
      <c r="E947" s="130"/>
    </row>
    <row r="948" ht="12.0" customHeight="1">
      <c r="B948" s="260"/>
      <c r="C948" s="130"/>
      <c r="E948" s="130"/>
    </row>
    <row r="949" ht="12.0" customHeight="1">
      <c r="B949" s="260"/>
      <c r="C949" s="130"/>
      <c r="E949" s="130"/>
    </row>
    <row r="950" ht="12.0" customHeight="1">
      <c r="B950" s="260"/>
      <c r="C950" s="130"/>
      <c r="E950" s="130"/>
    </row>
    <row r="951" ht="12.0" customHeight="1">
      <c r="B951" s="260"/>
      <c r="C951" s="130"/>
      <c r="E951" s="130"/>
    </row>
    <row r="952" ht="12.0" customHeight="1">
      <c r="B952" s="260"/>
      <c r="C952" s="130"/>
      <c r="E952" s="130"/>
    </row>
    <row r="953" ht="12.0" customHeight="1">
      <c r="B953" s="260"/>
      <c r="C953" s="130"/>
      <c r="E953" s="130"/>
    </row>
    <row r="954" ht="12.0" customHeight="1">
      <c r="B954" s="260"/>
      <c r="C954" s="130"/>
      <c r="E954" s="130"/>
    </row>
    <row r="955" ht="12.0" customHeight="1">
      <c r="B955" s="260"/>
      <c r="C955" s="130"/>
      <c r="E955" s="130"/>
    </row>
    <row r="956" ht="12.0" customHeight="1">
      <c r="B956" s="260"/>
      <c r="C956" s="130"/>
      <c r="E956" s="130"/>
    </row>
    <row r="957" ht="12.0" customHeight="1">
      <c r="B957" s="260"/>
      <c r="C957" s="130"/>
      <c r="E957" s="130"/>
    </row>
    <row r="958" ht="12.0" customHeight="1">
      <c r="B958" s="260"/>
      <c r="C958" s="130"/>
      <c r="E958" s="130"/>
    </row>
    <row r="959" ht="12.0" customHeight="1">
      <c r="B959" s="260"/>
      <c r="C959" s="130"/>
      <c r="E959" s="130"/>
    </row>
    <row r="960" ht="12.0" customHeight="1">
      <c r="B960" s="260"/>
      <c r="C960" s="130"/>
      <c r="E960" s="130"/>
    </row>
    <row r="961" ht="12.0" customHeight="1">
      <c r="B961" s="260"/>
      <c r="C961" s="130"/>
      <c r="E961" s="130"/>
    </row>
    <row r="962" ht="12.0" customHeight="1">
      <c r="B962" s="260"/>
      <c r="C962" s="130"/>
      <c r="E962" s="130"/>
    </row>
    <row r="963" ht="12.0" customHeight="1">
      <c r="B963" s="260"/>
      <c r="C963" s="130"/>
      <c r="E963" s="130"/>
    </row>
    <row r="964" ht="12.0" customHeight="1">
      <c r="B964" s="260"/>
      <c r="C964" s="130"/>
      <c r="E964" s="130"/>
    </row>
    <row r="965" ht="12.0" customHeight="1">
      <c r="B965" s="260"/>
      <c r="C965" s="130"/>
      <c r="E965" s="130"/>
    </row>
    <row r="966" ht="12.0" customHeight="1">
      <c r="B966" s="260"/>
      <c r="C966" s="130"/>
      <c r="E966" s="130"/>
    </row>
    <row r="967" ht="12.0" customHeight="1">
      <c r="B967" s="260"/>
      <c r="C967" s="130"/>
      <c r="E967" s="130"/>
    </row>
    <row r="968" ht="12.0" customHeight="1">
      <c r="B968" s="260"/>
      <c r="C968" s="130"/>
      <c r="E968" s="130"/>
    </row>
    <row r="969" ht="12.0" customHeight="1">
      <c r="B969" s="260"/>
      <c r="C969" s="130"/>
      <c r="E969" s="130"/>
    </row>
    <row r="970" ht="12.0" customHeight="1">
      <c r="B970" s="260"/>
      <c r="C970" s="130"/>
      <c r="E970" s="130"/>
    </row>
    <row r="971" ht="12.0" customHeight="1">
      <c r="B971" s="260"/>
      <c r="C971" s="130"/>
      <c r="E971" s="130"/>
    </row>
    <row r="972" ht="12.0" customHeight="1">
      <c r="B972" s="260"/>
      <c r="C972" s="130"/>
      <c r="E972" s="130"/>
    </row>
    <row r="973" ht="12.0" customHeight="1">
      <c r="B973" s="260"/>
      <c r="C973" s="130"/>
      <c r="E973" s="130"/>
    </row>
    <row r="974" ht="12.0" customHeight="1">
      <c r="B974" s="260"/>
      <c r="C974" s="130"/>
      <c r="E974" s="130"/>
    </row>
    <row r="975" ht="12.0" customHeight="1">
      <c r="B975" s="260"/>
      <c r="C975" s="130"/>
      <c r="E975" s="130"/>
    </row>
    <row r="976" ht="12.0" customHeight="1">
      <c r="B976" s="260"/>
      <c r="C976" s="130"/>
      <c r="E976" s="130"/>
    </row>
    <row r="977" ht="12.0" customHeight="1">
      <c r="B977" s="260"/>
      <c r="C977" s="130"/>
      <c r="E977" s="130"/>
    </row>
    <row r="978" ht="12.0" customHeight="1">
      <c r="B978" s="260"/>
      <c r="C978" s="130"/>
      <c r="E978" s="130"/>
    </row>
    <row r="979" ht="12.0" customHeight="1">
      <c r="B979" s="260"/>
      <c r="C979" s="130"/>
      <c r="E979" s="130"/>
    </row>
    <row r="980" ht="12.0" customHeight="1">
      <c r="B980" s="260"/>
      <c r="C980" s="130"/>
      <c r="E980" s="130"/>
    </row>
    <row r="981" ht="12.0" customHeight="1">
      <c r="B981" s="260"/>
      <c r="C981" s="130"/>
      <c r="E981" s="130"/>
    </row>
    <row r="982" ht="12.0" customHeight="1">
      <c r="B982" s="260"/>
      <c r="C982" s="130"/>
      <c r="E982" s="130"/>
    </row>
    <row r="983" ht="12.0" customHeight="1">
      <c r="B983" s="260"/>
      <c r="C983" s="130"/>
      <c r="E983" s="130"/>
    </row>
    <row r="984" ht="12.0" customHeight="1">
      <c r="B984" s="260"/>
      <c r="C984" s="130"/>
      <c r="E984" s="130"/>
    </row>
    <row r="985" ht="12.0" customHeight="1">
      <c r="B985" s="260"/>
      <c r="C985" s="130"/>
      <c r="E985" s="130"/>
    </row>
    <row r="986" ht="12.0" customHeight="1">
      <c r="B986" s="260"/>
      <c r="C986" s="130"/>
      <c r="E986" s="130"/>
    </row>
    <row r="987" ht="12.0" customHeight="1">
      <c r="B987" s="260"/>
      <c r="C987" s="130"/>
      <c r="E987" s="130"/>
    </row>
    <row r="988" ht="12.0" customHeight="1">
      <c r="B988" s="260"/>
      <c r="C988" s="130"/>
      <c r="E988" s="130"/>
    </row>
    <row r="989" ht="12.0" customHeight="1">
      <c r="B989" s="260"/>
      <c r="C989" s="130"/>
      <c r="E989" s="130"/>
    </row>
    <row r="990" ht="12.0" customHeight="1">
      <c r="B990" s="260"/>
      <c r="C990" s="130"/>
      <c r="E990" s="130"/>
    </row>
    <row r="991" ht="12.0" customHeight="1">
      <c r="B991" s="260"/>
      <c r="C991" s="130"/>
      <c r="E991" s="130"/>
    </row>
    <row r="992" ht="12.0" customHeight="1">
      <c r="B992" s="260"/>
      <c r="C992" s="130"/>
      <c r="E992" s="130"/>
    </row>
    <row r="993" ht="12.0" customHeight="1">
      <c r="B993" s="260"/>
      <c r="C993" s="130"/>
      <c r="E993" s="130"/>
    </row>
    <row r="994" ht="12.0" customHeight="1">
      <c r="B994" s="260"/>
      <c r="C994" s="130"/>
      <c r="E994" s="130"/>
    </row>
    <row r="995" ht="12.0" customHeight="1">
      <c r="B995" s="260"/>
      <c r="C995" s="130"/>
      <c r="E995" s="130"/>
    </row>
    <row r="996" ht="12.0" customHeight="1">
      <c r="B996" s="260"/>
      <c r="C996" s="130"/>
      <c r="E996" s="130"/>
    </row>
    <row r="997" ht="12.0" customHeight="1">
      <c r="B997" s="260"/>
      <c r="C997" s="130"/>
      <c r="E997" s="130"/>
    </row>
    <row r="998" ht="12.0" customHeight="1">
      <c r="B998" s="260"/>
      <c r="C998" s="130"/>
      <c r="E998" s="130"/>
    </row>
    <row r="999" ht="12.0" customHeight="1">
      <c r="B999" s="260"/>
      <c r="C999" s="130"/>
      <c r="E999" s="130"/>
    </row>
    <row r="1000" ht="12.0" customHeight="1">
      <c r="B1000" s="260"/>
      <c r="C1000" s="130"/>
      <c r="E1000" s="130"/>
    </row>
    <row r="1001" ht="12.0" customHeight="1">
      <c r="B1001" s="260"/>
      <c r="C1001" s="130"/>
      <c r="E1001" s="130"/>
    </row>
    <row r="1002" ht="12.0" customHeight="1">
      <c r="B1002" s="260"/>
      <c r="C1002" s="130"/>
      <c r="E1002" s="130"/>
    </row>
    <row r="1003" ht="12.0" customHeight="1">
      <c r="B1003" s="260"/>
      <c r="C1003" s="130"/>
      <c r="E1003" s="130"/>
    </row>
    <row r="1004" ht="12.0" customHeight="1">
      <c r="B1004" s="260"/>
      <c r="C1004" s="130"/>
      <c r="E1004" s="130"/>
    </row>
  </sheetData>
  <mergeCells count="19">
    <mergeCell ref="B40:C40"/>
    <mergeCell ref="F40:G40"/>
    <mergeCell ref="B49:C49"/>
    <mergeCell ref="B51:H54"/>
    <mergeCell ref="B57:D57"/>
    <mergeCell ref="F57:H57"/>
    <mergeCell ref="G58:H58"/>
    <mergeCell ref="E72:F74"/>
    <mergeCell ref="G72:H74"/>
    <mergeCell ref="B75:D75"/>
    <mergeCell ref="E75:F75"/>
    <mergeCell ref="G75:H75"/>
    <mergeCell ref="G59:H59"/>
    <mergeCell ref="G60:H60"/>
    <mergeCell ref="G61:H61"/>
    <mergeCell ref="G62:H62"/>
    <mergeCell ref="G63:H63"/>
    <mergeCell ref="G64:H64"/>
    <mergeCell ref="B72:D74"/>
  </mergeCells>
  <dataValidations>
    <dataValidation type="list" allowBlank="1" showErrorMessage="1" sqref="C22">
      <formula1>LS2B!$A$5:$A$27</formula1>
    </dataValidation>
  </dataValidations>
  <printOptions/>
  <pageMargins bottom="0.75" footer="0.0" header="0.0" left="0.7" right="0.7" top="0.75"/>
  <pageSetup paperSize="8"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9.0"/>
    <col customWidth="1" min="4" max="4" width="15.63"/>
    <col customWidth="1" min="5" max="6" width="16.25"/>
    <col customWidth="1" min="7" max="9" width="16.5"/>
    <col customWidth="1" min="10" max="27" width="8.63"/>
  </cols>
  <sheetData>
    <row r="1" ht="12.0" customHeight="1">
      <c r="A1" s="113" t="s">
        <v>209</v>
      </c>
      <c r="B1" s="260"/>
      <c r="C1" s="130"/>
      <c r="D1" s="130"/>
      <c r="E1" s="130"/>
    </row>
    <row r="2" ht="12.0" customHeight="1">
      <c r="B2" s="260"/>
      <c r="C2" s="130"/>
      <c r="D2" s="130"/>
      <c r="E2" s="130"/>
    </row>
    <row r="3" ht="12.0" customHeight="1">
      <c r="A3" s="2"/>
      <c r="B3" s="261"/>
      <c r="C3" s="262"/>
      <c r="D3" s="262"/>
      <c r="E3" s="262"/>
      <c r="F3" s="2"/>
      <c r="G3" s="2"/>
      <c r="H3" s="2"/>
      <c r="I3" s="2"/>
    </row>
    <row r="4" ht="12.0" customHeight="1">
      <c r="A4" s="2"/>
      <c r="B4" s="261"/>
      <c r="C4" s="262"/>
      <c r="D4" s="262"/>
      <c r="E4" s="262"/>
      <c r="F4" s="2"/>
      <c r="G4" s="2"/>
      <c r="H4" s="2"/>
      <c r="I4" s="2"/>
    </row>
    <row r="5" ht="12.0" customHeight="1">
      <c r="A5" s="2"/>
      <c r="B5" s="261"/>
      <c r="C5" s="262"/>
      <c r="D5" s="262"/>
      <c r="E5" s="262"/>
      <c r="F5" s="2"/>
      <c r="G5" s="2"/>
      <c r="H5" s="2"/>
      <c r="I5" s="2"/>
    </row>
    <row r="6" ht="12.0" customHeight="1">
      <c r="A6" s="2"/>
      <c r="B6" s="261"/>
      <c r="C6" s="262"/>
      <c r="D6" s="262"/>
      <c r="E6" s="262"/>
      <c r="F6" s="2"/>
      <c r="G6" s="2"/>
      <c r="H6" s="2"/>
      <c r="I6" s="2"/>
    </row>
    <row r="7" ht="12.0" customHeight="1">
      <c r="A7" s="2"/>
      <c r="B7" s="261"/>
      <c r="C7" s="262"/>
      <c r="D7" s="262"/>
      <c r="E7" s="262"/>
      <c r="F7" s="2"/>
      <c r="G7" s="2"/>
      <c r="H7" s="2"/>
      <c r="I7" s="2"/>
    </row>
    <row r="8" ht="12.0" customHeight="1">
      <c r="A8" s="2"/>
      <c r="B8" s="261"/>
      <c r="C8" s="262"/>
      <c r="D8" s="262"/>
      <c r="E8" s="262"/>
      <c r="F8" s="2"/>
      <c r="G8" s="2"/>
      <c r="H8" s="2"/>
      <c r="I8" s="2"/>
    </row>
    <row r="9" ht="12.0" customHeight="1">
      <c r="A9" s="2"/>
      <c r="B9" s="261"/>
      <c r="C9" s="262"/>
      <c r="D9" s="262"/>
      <c r="E9" s="262"/>
      <c r="F9" s="2"/>
      <c r="G9" s="2"/>
      <c r="H9" s="2"/>
      <c r="I9" s="2"/>
    </row>
    <row r="10" ht="12.0" customHeight="1">
      <c r="A10" s="2"/>
      <c r="B10" s="261"/>
      <c r="C10" s="262"/>
      <c r="D10" s="262"/>
      <c r="E10" s="262"/>
      <c r="F10" s="2"/>
      <c r="G10" s="2"/>
      <c r="H10" s="2"/>
      <c r="I10" s="2"/>
    </row>
    <row r="11" ht="12.0" customHeight="1">
      <c r="A11" s="2"/>
      <c r="B11" s="261"/>
      <c r="C11" s="262"/>
      <c r="D11" s="262"/>
      <c r="E11" s="262"/>
      <c r="F11" s="2"/>
      <c r="G11" s="2"/>
      <c r="H11" s="2"/>
      <c r="I11" s="2"/>
    </row>
    <row r="12" ht="12.0" customHeight="1">
      <c r="A12" s="2"/>
      <c r="B12" s="261"/>
      <c r="C12" s="262"/>
      <c r="D12" s="262"/>
      <c r="E12" s="262"/>
      <c r="F12" s="2"/>
      <c r="G12" s="2"/>
      <c r="H12" s="2"/>
      <c r="I12" s="2"/>
    </row>
    <row r="13" ht="12.0" customHeight="1">
      <c r="A13" s="2"/>
      <c r="B13" s="261"/>
      <c r="C13" s="262"/>
      <c r="D13" s="262"/>
      <c r="E13" s="262"/>
      <c r="F13" s="2"/>
      <c r="G13" s="2"/>
      <c r="H13" s="2"/>
      <c r="I13" s="2"/>
    </row>
    <row r="14" ht="12.0" customHeight="1">
      <c r="A14" s="2"/>
      <c r="B14" s="261"/>
      <c r="C14" s="262"/>
      <c r="D14" s="262"/>
      <c r="E14" s="262"/>
      <c r="F14" s="2"/>
      <c r="G14" s="2"/>
      <c r="H14" s="2"/>
      <c r="I14" s="2"/>
    </row>
    <row r="15" ht="12.0" customHeight="1">
      <c r="A15" s="2"/>
      <c r="B15" s="261"/>
      <c r="C15" s="262"/>
      <c r="D15" s="262"/>
      <c r="E15" s="262"/>
      <c r="F15" s="2"/>
      <c r="G15" s="2"/>
      <c r="H15" s="2"/>
      <c r="I15" s="2"/>
    </row>
    <row r="16" ht="12.0" customHeight="1">
      <c r="A16" s="2"/>
      <c r="B16" s="261"/>
      <c r="C16" s="262"/>
      <c r="D16" s="262"/>
      <c r="E16" s="262"/>
      <c r="F16" s="2"/>
      <c r="G16" s="2"/>
      <c r="H16" s="2"/>
      <c r="I16" s="2"/>
    </row>
    <row r="17" ht="12.0" customHeight="1">
      <c r="A17" s="2"/>
      <c r="B17" s="261"/>
      <c r="C17" s="262"/>
      <c r="D17" s="262"/>
      <c r="E17" s="262"/>
      <c r="F17" s="2"/>
      <c r="G17" s="2"/>
      <c r="H17" s="2"/>
      <c r="I17" s="2"/>
    </row>
    <row r="18" ht="12.0" customHeight="1">
      <c r="A18" s="2"/>
      <c r="B18" s="261"/>
      <c r="C18" s="262"/>
      <c r="D18" s="262"/>
      <c r="E18" s="262"/>
      <c r="F18" s="2"/>
      <c r="G18" s="2"/>
      <c r="H18" s="2"/>
      <c r="I18" s="2"/>
    </row>
    <row r="19" ht="12.0" customHeight="1">
      <c r="A19" s="2"/>
      <c r="B19" s="261"/>
      <c r="C19" s="262"/>
      <c r="D19" s="262"/>
      <c r="E19" s="262"/>
      <c r="F19" s="2"/>
      <c r="G19" s="2"/>
      <c r="H19" s="2"/>
      <c r="I19" s="2"/>
    </row>
    <row r="20" ht="9.0" customHeight="1">
      <c r="A20" s="2"/>
      <c r="B20" s="261"/>
      <c r="C20" s="262"/>
      <c r="D20" s="262"/>
      <c r="E20" s="262"/>
      <c r="F20" s="2"/>
      <c r="G20" s="2"/>
      <c r="H20" s="2"/>
      <c r="I20" s="2"/>
    </row>
    <row r="21" ht="12.0" customHeight="1">
      <c r="A21" s="2"/>
      <c r="B21" s="2"/>
      <c r="C21" s="262"/>
      <c r="D21" s="262"/>
      <c r="E21" s="262"/>
      <c r="F21" s="2"/>
      <c r="G21" s="2"/>
      <c r="H21" s="2"/>
      <c r="I21" s="2"/>
    </row>
    <row r="22" ht="21.0" customHeight="1">
      <c r="A22" s="2"/>
      <c r="B22" s="2" t="s">
        <v>618</v>
      </c>
      <c r="C22" s="263">
        <v>6.0</v>
      </c>
      <c r="D22" s="262"/>
      <c r="E22" s="262"/>
      <c r="F22" s="2"/>
      <c r="G22" s="2"/>
      <c r="H22" s="2"/>
      <c r="I22" s="2"/>
    </row>
    <row r="23" ht="21.0" customHeight="1">
      <c r="A23" s="2"/>
      <c r="B23" s="260"/>
      <c r="C23" s="61"/>
      <c r="D23" s="262"/>
      <c r="E23" s="262"/>
      <c r="F23" s="2"/>
      <c r="G23" s="2"/>
      <c r="H23" s="2"/>
      <c r="I23" s="2"/>
    </row>
    <row r="24" ht="12.0" customHeight="1">
      <c r="A24" s="2"/>
      <c r="B24" s="260"/>
      <c r="C24" s="130"/>
      <c r="D24" s="262"/>
      <c r="E24" s="262"/>
      <c r="F24" s="2"/>
      <c r="G24" s="2"/>
      <c r="H24" s="2"/>
      <c r="I24" s="2"/>
    </row>
    <row r="25" ht="21.75" customHeight="1">
      <c r="A25" s="2"/>
      <c r="B25" s="375" t="s">
        <v>619</v>
      </c>
      <c r="C25" s="376" t="str">
        <f>VLOOKUP($C$22,LS3A!$A$3:$AY$28,2,0)</f>
        <v>Nair Aadhya</v>
      </c>
      <c r="D25" s="389" t="s">
        <v>620</v>
      </c>
      <c r="E25" s="376" t="s">
        <v>41</v>
      </c>
      <c r="F25" s="377" t="s">
        <v>73</v>
      </c>
      <c r="G25" s="387"/>
      <c r="H25" s="270">
        <f>RANK(G41,LS3A!$AR$5:$AR$27)</f>
        <v>1</v>
      </c>
      <c r="I25" s="2"/>
    </row>
    <row r="26" ht="12.0" customHeight="1">
      <c r="A26" s="2"/>
      <c r="B26" s="271"/>
      <c r="C26" s="272"/>
      <c r="D26" s="272"/>
      <c r="E26" s="272"/>
      <c r="F26" s="273"/>
      <c r="G26" s="273"/>
      <c r="H26" s="273"/>
      <c r="I26" s="2"/>
    </row>
    <row r="27" ht="26.25" customHeight="1">
      <c r="A27" s="274"/>
      <c r="B27" s="275" t="s">
        <v>621</v>
      </c>
      <c r="C27" s="276" t="s">
        <v>80</v>
      </c>
      <c r="D27" s="276" t="s">
        <v>81</v>
      </c>
      <c r="E27" s="276" t="s">
        <v>622</v>
      </c>
      <c r="F27" s="275" t="s">
        <v>83</v>
      </c>
      <c r="G27" s="275" t="s">
        <v>653</v>
      </c>
      <c r="H27" s="277" t="s">
        <v>624</v>
      </c>
      <c r="I27" s="278"/>
      <c r="J27" s="279"/>
      <c r="K27" s="279"/>
      <c r="L27" s="279"/>
      <c r="M27" s="279"/>
      <c r="N27" s="279"/>
      <c r="O27" s="279"/>
      <c r="P27" s="279"/>
      <c r="Q27" s="279"/>
      <c r="R27" s="279"/>
      <c r="S27" s="279"/>
      <c r="T27" s="279"/>
      <c r="U27" s="279"/>
      <c r="V27" s="279"/>
      <c r="W27" s="279"/>
      <c r="X27" s="279"/>
      <c r="Y27" s="279"/>
      <c r="Z27" s="279"/>
      <c r="AA27" s="279"/>
    </row>
    <row r="28" ht="30.0" customHeight="1">
      <c r="A28" s="280"/>
      <c r="B28" s="390" t="s">
        <v>23</v>
      </c>
      <c r="C28" s="358">
        <f>VLOOKUP($C$22,LS3A!$A$3:$AY$30,3,0)</f>
        <v>31</v>
      </c>
      <c r="D28" s="358">
        <f>VLOOKUP($C$22,LS3A!$A$3:$AY$30,4,0)</f>
        <v>42</v>
      </c>
      <c r="E28" s="358">
        <f t="shared" ref="E28:E37" si="1">C28+D28</f>
        <v>73</v>
      </c>
      <c r="F28" s="357" t="str">
        <f>VLOOKUP($C$22,LS3A!$A$3:$AY$36,6,0)</f>
        <v>B</v>
      </c>
      <c r="G28" s="357">
        <f>RANK(E28,LS3A!$E$5:$E$27)</f>
        <v>2</v>
      </c>
      <c r="H28" s="281">
        <f>LS3A!E31</f>
        <v>55.26086957</v>
      </c>
      <c r="I28" s="283"/>
    </row>
    <row r="29" ht="31.5" customHeight="1">
      <c r="A29" s="280"/>
      <c r="B29" s="390" t="s">
        <v>24</v>
      </c>
      <c r="C29" s="358">
        <f>VLOOKUP($C$22,LS3A!$A$3:$AY$30,7,0)</f>
        <v>34</v>
      </c>
      <c r="D29" s="358">
        <f>VLOOKUP($C$22,LS3A!$A$3:$AY$30,8,0)</f>
        <v>40</v>
      </c>
      <c r="E29" s="358">
        <f t="shared" si="1"/>
        <v>74</v>
      </c>
      <c r="F29" s="357" t="str">
        <f>VLOOKUP($C$22,LS3A!$A$3:$AY$30,10,0)</f>
        <v>B</v>
      </c>
      <c r="G29" s="357">
        <f>RANK(E29,LS3A!$I$5:$I$27)</f>
        <v>2</v>
      </c>
      <c r="H29" s="281">
        <f>LS3A!I31</f>
        <v>54.39130435</v>
      </c>
      <c r="I29" s="283"/>
    </row>
    <row r="30" ht="32.25" customHeight="1">
      <c r="A30" s="280"/>
      <c r="B30" s="390" t="s">
        <v>25</v>
      </c>
      <c r="C30" s="358">
        <f>VLOOKUP($C$22,LS3A!$A$3:$AY$30,11,0)</f>
        <v>29.5</v>
      </c>
      <c r="D30" s="358">
        <f>VLOOKUP($C$22,LS3A!$A$3:$AY$30,12,0)</f>
        <v>38.4</v>
      </c>
      <c r="E30" s="358">
        <f t="shared" si="1"/>
        <v>67.9</v>
      </c>
      <c r="F30" s="357" t="str">
        <f>VLOOKUP($C$22,LS3A!$A$3:$AY$30,14,0)</f>
        <v>C</v>
      </c>
      <c r="G30" s="357">
        <f>RANK(E30,LS3A!$M$5:$M$27)</f>
        <v>6</v>
      </c>
      <c r="H30" s="281">
        <f>LS3A!M31</f>
        <v>56.43043478</v>
      </c>
      <c r="I30" s="283"/>
    </row>
    <row r="31" ht="33.75" customHeight="1">
      <c r="A31" s="280"/>
      <c r="B31" s="390" t="s">
        <v>26</v>
      </c>
      <c r="C31" s="358">
        <f>VLOOKUP($C$22,LS3A!$A$3:$AY$30,15,0)</f>
        <v>35</v>
      </c>
      <c r="D31" s="358">
        <f>VLOOKUP($C$22,LS3A!$A$3:$AY$30,16,0)</f>
        <v>31.5</v>
      </c>
      <c r="E31" s="358">
        <f t="shared" si="1"/>
        <v>66.5</v>
      </c>
      <c r="F31" s="357" t="str">
        <f>VLOOKUP($C$22,LS3A!$A$3:$AY$30,18,0)</f>
        <v>C</v>
      </c>
      <c r="G31" s="357">
        <f>RANK(E31,LS3A!$Q$5:$Q$27)</f>
        <v>7</v>
      </c>
      <c r="H31" s="281">
        <f>LS3A!Q31</f>
        <v>60.04347826</v>
      </c>
      <c r="I31" s="283"/>
    </row>
    <row r="32" ht="30.75" customHeight="1">
      <c r="A32" s="280"/>
      <c r="B32" s="390" t="s">
        <v>27</v>
      </c>
      <c r="C32" s="358">
        <f>VLOOKUP($C$22,LS3A!$A$3:$AY$30,19,0)</f>
        <v>32</v>
      </c>
      <c r="D32" s="358">
        <f>VLOOKUP($C$22,LS3A!$A$3:$AY$30,20,0)</f>
        <v>53</v>
      </c>
      <c r="E32" s="358">
        <f t="shared" si="1"/>
        <v>85</v>
      </c>
      <c r="F32" s="357" t="str">
        <f>VLOOKUP($C$22,LS3A!$A$3:$AY$30,22,0)</f>
        <v>A</v>
      </c>
      <c r="G32" s="357">
        <f>RANK(E32,LS3A!$U$5:$U$27)</f>
        <v>1</v>
      </c>
      <c r="H32" s="281">
        <f>LS3A!U31</f>
        <v>62.91304348</v>
      </c>
      <c r="I32" s="283"/>
    </row>
    <row r="33" ht="38.25" customHeight="1">
      <c r="A33" s="280"/>
      <c r="B33" s="390" t="s">
        <v>28</v>
      </c>
      <c r="C33" s="358">
        <f>VLOOKUP($C$22,LS3A!$A$3:$AY$30,23,0)</f>
        <v>35</v>
      </c>
      <c r="D33" s="358">
        <f>VLOOKUP($C$22,LS3A!$A$3:$AY$30,24,0)</f>
        <v>46</v>
      </c>
      <c r="E33" s="358">
        <f t="shared" si="1"/>
        <v>81</v>
      </c>
      <c r="F33" s="357" t="str">
        <f>VLOOKUP($C$22,LS3A!$A$3:$AY$30,26,0)</f>
        <v>A</v>
      </c>
      <c r="G33" s="357">
        <f>RANK(E33,LS3A!$Y$5:$Y$27)</f>
        <v>5</v>
      </c>
      <c r="H33" s="281">
        <f>LS3A!Y31</f>
        <v>66.86956522</v>
      </c>
      <c r="I33" s="283"/>
    </row>
    <row r="34" ht="33.75" customHeight="1">
      <c r="A34" s="280"/>
      <c r="B34" s="390" t="s">
        <v>29</v>
      </c>
      <c r="C34" s="358">
        <f>VLOOKUP($C$22,LS3A!$A$3:$AY$30,27,0)</f>
        <v>38</v>
      </c>
      <c r="D34" s="358">
        <f>VLOOKUP($C$22,LS3A!$A$3:$AY$30,28,0)</f>
        <v>57</v>
      </c>
      <c r="E34" s="358">
        <f t="shared" si="1"/>
        <v>95</v>
      </c>
      <c r="F34" s="357" t="str">
        <f>VLOOKUP($C$22,LS3A!$A$3:$AY$30,30,0)</f>
        <v>A*</v>
      </c>
      <c r="G34" s="357">
        <f>RANK(E34,LS3A!$AC$5:$AC$27)</f>
        <v>1</v>
      </c>
      <c r="H34" s="281">
        <f>LS3A!AC31</f>
        <v>64.47826087</v>
      </c>
      <c r="I34" s="283"/>
    </row>
    <row r="35" ht="36.75" customHeight="1">
      <c r="A35" s="280"/>
      <c r="B35" s="390" t="s">
        <v>625</v>
      </c>
      <c r="C35" s="358">
        <f>VLOOKUP($C$22,LS3A!$A$3:$AY$30,31,0)</f>
        <v>37</v>
      </c>
      <c r="D35" s="358">
        <f>VLOOKUP($C$22,LS3A!$A$3:$AY$30,32,0)</f>
        <v>56</v>
      </c>
      <c r="E35" s="358">
        <f t="shared" si="1"/>
        <v>93</v>
      </c>
      <c r="F35" s="357" t="str">
        <f>VLOOKUP($C$22,LS3A!$A$3:$AY$30,34,0)</f>
        <v>A*</v>
      </c>
      <c r="G35" s="357">
        <f>RANK(E35,LS3A!$AG$5:$AG$27)</f>
        <v>2</v>
      </c>
      <c r="H35" s="281">
        <f>LS3A!AG31</f>
        <v>73.86956522</v>
      </c>
      <c r="I35" s="283"/>
    </row>
    <row r="36" ht="30.0" customHeight="1">
      <c r="A36" s="280"/>
      <c r="B36" s="390" t="s">
        <v>31</v>
      </c>
      <c r="C36" s="358">
        <f>VLOOKUP($C$22,LS3A!$A$3:$AY$30,35,0)</f>
        <v>38</v>
      </c>
      <c r="D36" s="358">
        <f>VLOOKUP($C$22,LS3A!$A$3:$AY$30,36,0)</f>
        <v>54</v>
      </c>
      <c r="E36" s="358">
        <f t="shared" si="1"/>
        <v>92</v>
      </c>
      <c r="F36" s="357" t="str">
        <f>VLOOKUP($C$22,LS3A!$A$3:$AY$30,38,0)</f>
        <v>A*</v>
      </c>
      <c r="G36" s="357">
        <f>RANK(E36,LS3A!$AK$5:$AK$27)</f>
        <v>1</v>
      </c>
      <c r="H36" s="281">
        <f>LS3A!AK31</f>
        <v>78.56521739</v>
      </c>
      <c r="I36" s="283"/>
    </row>
    <row r="37" ht="35.25" customHeight="1">
      <c r="A37" s="280"/>
      <c r="B37" s="390" t="s">
        <v>32</v>
      </c>
      <c r="C37" s="358">
        <f>VLOOKUP($C$22,LS3A!$A$3:$AY$30,39,0)</f>
        <v>20</v>
      </c>
      <c r="D37" s="358">
        <f>VLOOKUP($C$22,LS3A!$A$3:$AY$30,40,0)</f>
        <v>41</v>
      </c>
      <c r="E37" s="358">
        <f t="shared" si="1"/>
        <v>61</v>
      </c>
      <c r="F37" s="357" t="str">
        <f>VLOOKUP($C$22,LS3A!$A$3:$AY$30,42,0)</f>
        <v>C</v>
      </c>
      <c r="G37" s="357">
        <f>RANK(E37,LS3A!$AO$5:$AO$27)</f>
        <v>14</v>
      </c>
      <c r="H37" s="281">
        <f>LS3A!AO31</f>
        <v>61.47826087</v>
      </c>
      <c r="I37" s="283"/>
    </row>
    <row r="38" ht="21.75" customHeight="1">
      <c r="A38" s="280"/>
      <c r="B38" s="260"/>
      <c r="C38" s="130"/>
      <c r="D38" s="312"/>
      <c r="E38" s="312"/>
      <c r="F38" s="313"/>
      <c r="G38" s="313"/>
      <c r="H38" s="313"/>
      <c r="I38" s="283"/>
    </row>
    <row r="39" ht="21.75" customHeight="1">
      <c r="A39" s="2"/>
      <c r="B39" s="260"/>
      <c r="C39" s="130"/>
      <c r="D39" s="285"/>
      <c r="E39" s="285"/>
      <c r="F39" s="284"/>
      <c r="G39" s="284"/>
      <c r="H39" s="284"/>
      <c r="I39" s="2"/>
    </row>
    <row r="40" ht="21.75" customHeight="1">
      <c r="A40" s="280"/>
      <c r="B40" s="388" t="s">
        <v>655</v>
      </c>
      <c r="C40" s="46"/>
      <c r="D40" s="333"/>
      <c r="E40" s="262"/>
      <c r="F40" s="391" t="s">
        <v>627</v>
      </c>
      <c r="G40" s="46"/>
      <c r="H40" s="273"/>
      <c r="I40" s="2"/>
    </row>
    <row r="41" ht="28.5" customHeight="1">
      <c r="A41" s="280"/>
      <c r="B41" s="360" t="s">
        <v>74</v>
      </c>
      <c r="C41" s="292" t="str">
        <f>VLOOKUP($C$22,LS3A!$A$3:$AY$30,46,0)</f>
        <v>A</v>
      </c>
      <c r="D41" s="130"/>
      <c r="E41" s="288"/>
      <c r="F41" s="392" t="s">
        <v>628</v>
      </c>
      <c r="G41" s="294">
        <f>AVERAGE(E28:E37)</f>
        <v>78.84</v>
      </c>
      <c r="I41" s="283"/>
    </row>
    <row r="42" ht="26.25" customHeight="1">
      <c r="A42" s="280"/>
      <c r="B42" s="360" t="s">
        <v>75</v>
      </c>
      <c r="C42" s="292" t="str">
        <f>VLOOKUP($C$22,LS3A!$A$3:$AY$30,47,0)</f>
        <v>A</v>
      </c>
      <c r="D42" s="130"/>
      <c r="E42" s="288"/>
      <c r="F42" s="392" t="s">
        <v>629</v>
      </c>
      <c r="G42" s="295">
        <f>COUNTIF(E28:E37,"&gt;=50")</f>
        <v>10</v>
      </c>
      <c r="I42" s="283"/>
    </row>
    <row r="43" ht="24.0" customHeight="1">
      <c r="A43" s="280"/>
      <c r="B43" s="360" t="s">
        <v>76</v>
      </c>
      <c r="C43" s="292" t="str">
        <f>VLOOKUP($C$22,LS3A!$A$3:$AY$30,48,0)</f>
        <v>B</v>
      </c>
      <c r="D43" s="130"/>
      <c r="E43" s="288"/>
      <c r="F43" s="392" t="s">
        <v>630</v>
      </c>
      <c r="G43" s="295">
        <f>COUNTIF(E28:E37,"&lt;=50")</f>
        <v>0</v>
      </c>
      <c r="I43" s="296"/>
    </row>
    <row r="44" ht="28.5" customHeight="1">
      <c r="A44" s="280"/>
      <c r="B44" s="360" t="s">
        <v>77</v>
      </c>
      <c r="C44" s="292" t="str">
        <f>VLOOKUP($C$22,LS3A!$A$3:$AY$30,49,0)</f>
        <v>B</v>
      </c>
      <c r="D44" s="130"/>
      <c r="E44" s="288"/>
      <c r="F44" s="392" t="s">
        <v>631</v>
      </c>
      <c r="G44" s="297">
        <f>RANK(G41,LS3A!$AR$5:$AR$27)</f>
        <v>1</v>
      </c>
      <c r="I44" s="296"/>
    </row>
    <row r="45" ht="19.5" customHeight="1">
      <c r="A45" s="280"/>
      <c r="B45" s="363" t="s">
        <v>78</v>
      </c>
      <c r="C45" s="292" t="str">
        <f>VLOOKUP($C$22,LS3A!$A$3:$AY$30,50,0)</f>
        <v>B</v>
      </c>
      <c r="D45" s="130"/>
      <c r="E45" s="288"/>
      <c r="F45" s="392" t="s">
        <v>632</v>
      </c>
      <c r="G45" s="299">
        <f>COUNT(LS3A!A5:A27)</f>
        <v>23</v>
      </c>
      <c r="I45" s="296"/>
    </row>
    <row r="46" ht="8.25" customHeight="1">
      <c r="A46" s="2"/>
      <c r="B46" s="300"/>
      <c r="C46" s="285"/>
      <c r="D46" s="262"/>
      <c r="E46" s="262"/>
      <c r="F46" s="301" t="s">
        <v>633</v>
      </c>
      <c r="G46" s="284"/>
      <c r="H46" s="284"/>
      <c r="I46" s="261"/>
    </row>
    <row r="47" ht="12.0" customHeight="1">
      <c r="A47" s="2"/>
      <c r="B47" s="261"/>
      <c r="C47" s="262"/>
      <c r="D47" s="262"/>
      <c r="E47" s="262"/>
      <c r="F47" s="2"/>
      <c r="G47" s="2"/>
      <c r="H47" s="2"/>
      <c r="I47" s="261"/>
    </row>
    <row r="48" ht="12.0" customHeight="1">
      <c r="A48" s="2"/>
      <c r="B48" s="261"/>
      <c r="C48" s="262"/>
      <c r="D48" s="262"/>
      <c r="E48" s="262"/>
      <c r="F48" s="2"/>
      <c r="G48" s="2"/>
      <c r="H48" s="2"/>
      <c r="I48" s="261"/>
    </row>
    <row r="49" ht="27.75" customHeight="1">
      <c r="A49" s="2"/>
      <c r="B49" s="383" t="s">
        <v>634</v>
      </c>
      <c r="C49" s="10"/>
      <c r="D49" s="262"/>
      <c r="E49" s="262"/>
      <c r="F49" s="2"/>
      <c r="G49" s="2"/>
      <c r="H49" s="2"/>
      <c r="I49" s="261"/>
    </row>
    <row r="50" ht="12.0" customHeight="1">
      <c r="A50" s="2"/>
      <c r="B50" s="271"/>
      <c r="C50" s="272"/>
      <c r="D50" s="272"/>
      <c r="E50" s="272"/>
      <c r="F50" s="273"/>
      <c r="G50" s="273"/>
      <c r="H50" s="273"/>
      <c r="I50" s="261"/>
    </row>
    <row r="51" ht="12.75" customHeight="1">
      <c r="A51" s="280"/>
      <c r="B51" s="393" t="str">
        <f>VLOOKUP($C$22,LS3A!$A$3:$AY$32,51,0)</f>
        <v>Aadhya, is a cooperative team player who readily collaborates and helps her classmates. She performs well in practical and expressive subjects. I recommend structured revision, practice exercises and closer follow up at home.</v>
      </c>
      <c r="C51" s="304"/>
      <c r="D51" s="304"/>
      <c r="E51" s="304"/>
      <c r="F51" s="304"/>
      <c r="G51" s="304"/>
      <c r="H51" s="305"/>
      <c r="I51" s="296"/>
    </row>
    <row r="52" ht="24.75" customHeight="1">
      <c r="A52" s="280"/>
      <c r="B52" s="306"/>
      <c r="H52" s="307"/>
      <c r="I52" s="296"/>
    </row>
    <row r="53" ht="22.5" customHeight="1">
      <c r="A53" s="280"/>
      <c r="B53" s="306"/>
      <c r="H53" s="307"/>
      <c r="I53" s="296"/>
    </row>
    <row r="54" ht="19.5" customHeight="1">
      <c r="A54" s="280"/>
      <c r="B54" s="308"/>
      <c r="C54" s="309"/>
      <c r="D54" s="309"/>
      <c r="E54" s="309"/>
      <c r="F54" s="309"/>
      <c r="G54" s="309"/>
      <c r="H54" s="310"/>
      <c r="I54" s="283"/>
    </row>
    <row r="55" ht="12.0" customHeight="1">
      <c r="A55" s="280"/>
      <c r="B55" s="311"/>
      <c r="C55" s="312"/>
      <c r="D55" s="312"/>
      <c r="E55" s="312"/>
      <c r="F55" s="313"/>
      <c r="G55" s="313"/>
      <c r="H55" s="313"/>
      <c r="I55" s="283"/>
    </row>
    <row r="56" ht="12.0" customHeight="1">
      <c r="A56" s="280"/>
      <c r="B56" s="314"/>
      <c r="C56" s="315"/>
      <c r="D56" s="315"/>
      <c r="E56" s="285"/>
      <c r="F56" s="286"/>
      <c r="G56" s="286"/>
      <c r="H56" s="286"/>
      <c r="I56" s="283"/>
    </row>
    <row r="57" ht="20.25" customHeight="1">
      <c r="A57" s="280"/>
      <c r="B57" s="317" t="s">
        <v>635</v>
      </c>
      <c r="C57" s="45"/>
      <c r="D57" s="46"/>
      <c r="E57" s="318"/>
      <c r="F57" s="319" t="s">
        <v>636</v>
      </c>
      <c r="G57" s="45"/>
      <c r="H57" s="46"/>
      <c r="I57" s="283"/>
    </row>
    <row r="58" ht="21.0" customHeight="1">
      <c r="A58" s="280"/>
      <c r="B58" s="320" t="s">
        <v>637</v>
      </c>
      <c r="C58" s="321" t="s">
        <v>638</v>
      </c>
      <c r="D58" s="321" t="s">
        <v>639</v>
      </c>
      <c r="E58" s="318"/>
      <c r="F58" s="323" t="s">
        <v>637</v>
      </c>
      <c r="G58" s="324" t="s">
        <v>638</v>
      </c>
      <c r="H58" s="325"/>
      <c r="I58" s="283"/>
    </row>
    <row r="59" ht="21.75" customHeight="1">
      <c r="A59" s="280"/>
      <c r="B59" s="371" t="s">
        <v>151</v>
      </c>
      <c r="C59" s="385" t="s">
        <v>86</v>
      </c>
      <c r="D59" s="385" t="s">
        <v>640</v>
      </c>
      <c r="E59" s="318"/>
      <c r="F59" s="327" t="s">
        <v>641</v>
      </c>
      <c r="G59" s="328" t="s">
        <v>86</v>
      </c>
      <c r="H59" s="325"/>
      <c r="I59" s="283"/>
    </row>
    <row r="60" ht="21.75" customHeight="1">
      <c r="A60" s="280"/>
      <c r="B60" s="371" t="s">
        <v>150</v>
      </c>
      <c r="C60" s="385" t="s">
        <v>85</v>
      </c>
      <c r="D60" s="385" t="s">
        <v>640</v>
      </c>
      <c r="E60" s="318"/>
      <c r="F60" s="327" t="s">
        <v>149</v>
      </c>
      <c r="G60" s="328" t="s">
        <v>85</v>
      </c>
      <c r="H60" s="325"/>
      <c r="I60" s="283"/>
    </row>
    <row r="61" ht="17.25" customHeight="1">
      <c r="A61" s="280"/>
      <c r="B61" s="371" t="s">
        <v>149</v>
      </c>
      <c r="C61" s="385" t="s">
        <v>87</v>
      </c>
      <c r="D61" s="385" t="s">
        <v>642</v>
      </c>
      <c r="E61" s="318"/>
      <c r="F61" s="327" t="s">
        <v>148</v>
      </c>
      <c r="G61" s="328" t="s">
        <v>87</v>
      </c>
      <c r="H61" s="325"/>
      <c r="I61" s="283"/>
    </row>
    <row r="62" ht="17.25" customHeight="1">
      <c r="A62" s="280"/>
      <c r="B62" s="371" t="s">
        <v>148</v>
      </c>
      <c r="C62" s="385" t="s">
        <v>90</v>
      </c>
      <c r="D62" s="385" t="s">
        <v>643</v>
      </c>
      <c r="E62" s="318"/>
      <c r="F62" s="327" t="s">
        <v>147</v>
      </c>
      <c r="G62" s="328" t="s">
        <v>90</v>
      </c>
      <c r="H62" s="325"/>
      <c r="I62" s="283"/>
    </row>
    <row r="63" ht="13.5" customHeight="1">
      <c r="A63" s="280"/>
      <c r="B63" s="371" t="s">
        <v>147</v>
      </c>
      <c r="C63" s="385" t="s">
        <v>93</v>
      </c>
      <c r="D63" s="385" t="s">
        <v>644</v>
      </c>
      <c r="E63" s="318"/>
      <c r="F63" s="386" t="s">
        <v>645</v>
      </c>
      <c r="G63" s="372" t="s">
        <v>93</v>
      </c>
      <c r="H63" s="343"/>
      <c r="I63" s="283"/>
    </row>
    <row r="64" ht="20.25" customHeight="1">
      <c r="A64" s="280"/>
      <c r="B64" s="371" t="s">
        <v>145</v>
      </c>
      <c r="C64" s="385" t="s">
        <v>146</v>
      </c>
      <c r="D64" s="385" t="s">
        <v>644</v>
      </c>
      <c r="E64" s="318"/>
      <c r="F64" s="372"/>
      <c r="G64" s="372"/>
      <c r="I64" s="283"/>
    </row>
    <row r="65" ht="18.0" customHeight="1">
      <c r="A65" s="280"/>
      <c r="B65" s="371" t="s">
        <v>143</v>
      </c>
      <c r="C65" s="385" t="s">
        <v>144</v>
      </c>
      <c r="D65" s="385" t="s">
        <v>646</v>
      </c>
      <c r="E65" s="333"/>
      <c r="F65" s="286"/>
      <c r="G65" s="286"/>
      <c r="H65" s="284"/>
      <c r="I65" s="2"/>
    </row>
    <row r="66" ht="22.5" customHeight="1">
      <c r="A66" s="280"/>
      <c r="B66" s="371" t="s">
        <v>141</v>
      </c>
      <c r="C66" s="385" t="s">
        <v>142</v>
      </c>
      <c r="D66" s="385" t="s">
        <v>646</v>
      </c>
      <c r="E66" s="318"/>
      <c r="F66" s="334" t="s">
        <v>647</v>
      </c>
      <c r="G66" s="334"/>
      <c r="H66" s="283"/>
      <c r="I66" s="2"/>
    </row>
    <row r="67" ht="19.5" customHeight="1">
      <c r="A67" s="280"/>
      <c r="B67" s="371" t="s">
        <v>139</v>
      </c>
      <c r="C67" s="385" t="s">
        <v>140</v>
      </c>
      <c r="D67" s="385" t="s">
        <v>646</v>
      </c>
      <c r="E67" s="318"/>
      <c r="F67" s="334" t="s">
        <v>648</v>
      </c>
      <c r="G67" s="334"/>
      <c r="H67" s="283"/>
      <c r="I67" s="2"/>
    </row>
    <row r="68" ht="12.0" customHeight="1">
      <c r="A68" s="2"/>
      <c r="B68" s="300"/>
      <c r="C68" s="285"/>
      <c r="D68" s="285"/>
      <c r="E68" s="262"/>
      <c r="F68" s="284"/>
      <c r="G68" s="284"/>
      <c r="H68" s="2"/>
      <c r="I68" s="2"/>
    </row>
    <row r="69" ht="12.0" customHeight="1">
      <c r="B69" s="260"/>
      <c r="C69" s="130"/>
      <c r="D69" s="130"/>
      <c r="E69" s="130"/>
    </row>
    <row r="70" ht="12.0" customHeight="1">
      <c r="B70" s="335" t="s">
        <v>659</v>
      </c>
      <c r="C70" s="336"/>
      <c r="D70" s="337"/>
      <c r="E70" s="338"/>
      <c r="F70" s="339"/>
      <c r="G70" s="340"/>
      <c r="H70" s="341"/>
    </row>
    <row r="71" ht="12.0" customHeight="1">
      <c r="B71" s="342"/>
      <c r="D71" s="343"/>
      <c r="F71" s="344"/>
      <c r="H71" s="343"/>
    </row>
    <row r="72" ht="12.0" customHeight="1">
      <c r="B72" s="345"/>
      <c r="C72" s="346"/>
      <c r="D72" s="325"/>
      <c r="E72" s="346"/>
      <c r="F72" s="347"/>
      <c r="G72" s="346"/>
      <c r="H72" s="325"/>
    </row>
    <row r="73" ht="18.0" customHeight="1">
      <c r="B73" s="348" t="s">
        <v>650</v>
      </c>
      <c r="C73" s="346"/>
      <c r="D73" s="325"/>
      <c r="E73" s="349" t="s">
        <v>651</v>
      </c>
      <c r="F73" s="325"/>
      <c r="G73" s="350" t="s">
        <v>652</v>
      </c>
      <c r="H73" s="325"/>
    </row>
    <row r="74" ht="12.0" customHeight="1">
      <c r="C74" s="130"/>
      <c r="D74" s="130"/>
      <c r="E74" s="130"/>
    </row>
    <row r="75" ht="12.0" customHeight="1">
      <c r="C75" s="130"/>
      <c r="D75" s="130"/>
      <c r="E75" s="130"/>
    </row>
    <row r="76" ht="12.0" customHeight="1">
      <c r="C76" s="130"/>
      <c r="D76" s="130"/>
      <c r="E76" s="130"/>
    </row>
    <row r="77" ht="12.0" customHeight="1">
      <c r="C77" s="130"/>
      <c r="D77" s="130"/>
      <c r="E77" s="130"/>
    </row>
    <row r="78" ht="12.0" customHeight="1">
      <c r="C78" s="130"/>
      <c r="D78" s="130"/>
      <c r="E78" s="130"/>
    </row>
    <row r="79" ht="12.0" customHeight="1">
      <c r="C79" s="130"/>
      <c r="D79" s="130"/>
      <c r="E79" s="130"/>
    </row>
    <row r="80" ht="12.0" customHeight="1">
      <c r="C80" s="130"/>
      <c r="D80" s="130"/>
      <c r="E80" s="130"/>
    </row>
    <row r="81" ht="12.0" customHeight="1">
      <c r="C81" s="130"/>
      <c r="D81" s="130"/>
      <c r="E81" s="130"/>
    </row>
    <row r="82" ht="12.0" customHeight="1">
      <c r="C82" s="130"/>
      <c r="D82" s="130"/>
      <c r="E82" s="130"/>
    </row>
    <row r="83" ht="12.0" customHeight="1">
      <c r="C83" s="130"/>
      <c r="D83" s="130"/>
      <c r="E83" s="130"/>
    </row>
    <row r="84" ht="12.0" customHeight="1">
      <c r="C84" s="130"/>
      <c r="D84" s="130"/>
      <c r="E84" s="130"/>
    </row>
    <row r="85" ht="12.0" customHeight="1">
      <c r="C85" s="130"/>
      <c r="D85" s="130"/>
      <c r="E85" s="130"/>
    </row>
    <row r="86" ht="12.0" customHeight="1">
      <c r="C86" s="130"/>
      <c r="D86" s="130"/>
      <c r="E86" s="130"/>
    </row>
    <row r="87" ht="12.0" customHeight="1">
      <c r="C87" s="130"/>
      <c r="D87" s="130"/>
      <c r="E87" s="130"/>
    </row>
    <row r="88" ht="12.0" customHeight="1">
      <c r="C88" s="130"/>
      <c r="D88" s="130"/>
      <c r="E88" s="130"/>
    </row>
    <row r="89" ht="12.0" customHeight="1">
      <c r="C89" s="130"/>
      <c r="D89" s="130"/>
      <c r="E89" s="130"/>
    </row>
    <row r="90" ht="12.0" customHeight="1">
      <c r="C90" s="130"/>
      <c r="D90" s="130"/>
      <c r="E90" s="130"/>
    </row>
    <row r="91" ht="12.0" customHeight="1">
      <c r="C91" s="130"/>
      <c r="D91" s="130"/>
      <c r="E91" s="130"/>
    </row>
    <row r="92" ht="12.0" customHeight="1">
      <c r="C92" s="130"/>
      <c r="D92" s="130"/>
      <c r="E92" s="130"/>
    </row>
    <row r="93" ht="12.0" customHeight="1">
      <c r="C93" s="130"/>
      <c r="D93" s="130"/>
      <c r="E93" s="130"/>
    </row>
    <row r="94" ht="12.0" customHeight="1">
      <c r="C94" s="130"/>
      <c r="D94" s="130"/>
      <c r="E94" s="130"/>
    </row>
    <row r="95" ht="12.0" customHeight="1">
      <c r="C95" s="130"/>
      <c r="D95" s="130"/>
      <c r="E95" s="130"/>
    </row>
    <row r="96" ht="12.0" customHeight="1">
      <c r="C96" s="130"/>
      <c r="D96" s="130"/>
      <c r="E96" s="130"/>
    </row>
    <row r="97" ht="12.0" customHeight="1">
      <c r="C97" s="130"/>
      <c r="D97" s="130"/>
      <c r="E97" s="130"/>
    </row>
    <row r="98" ht="12.0" customHeight="1">
      <c r="C98" s="130"/>
      <c r="D98" s="130"/>
      <c r="E98" s="130"/>
    </row>
    <row r="99" ht="12.0" customHeight="1">
      <c r="C99" s="130"/>
      <c r="D99" s="130"/>
      <c r="E99" s="130"/>
    </row>
    <row r="100" ht="12.0" customHeight="1">
      <c r="B100" s="260"/>
      <c r="C100" s="130"/>
      <c r="D100" s="130"/>
      <c r="E100" s="130"/>
    </row>
    <row r="101" ht="12.0" customHeight="1">
      <c r="B101" s="260"/>
      <c r="C101" s="130"/>
      <c r="D101" s="130"/>
      <c r="E101" s="130"/>
    </row>
    <row r="102" ht="12.0" customHeight="1">
      <c r="B102" s="260"/>
      <c r="C102" s="130"/>
      <c r="D102" s="130"/>
      <c r="E102" s="130"/>
    </row>
    <row r="103" ht="12.0" customHeight="1">
      <c r="B103" s="260"/>
      <c r="C103" s="130"/>
      <c r="D103" s="130"/>
      <c r="E103" s="130"/>
    </row>
    <row r="104" ht="12.0" customHeight="1">
      <c r="B104" s="260"/>
      <c r="C104" s="130"/>
      <c r="D104" s="130"/>
      <c r="E104" s="130"/>
    </row>
    <row r="105" ht="12.0" customHeight="1">
      <c r="B105" s="260"/>
      <c r="C105" s="130"/>
      <c r="D105" s="130"/>
      <c r="E105" s="130"/>
    </row>
    <row r="106" ht="12.0" customHeight="1">
      <c r="B106" s="260"/>
      <c r="C106" s="130"/>
      <c r="D106" s="130"/>
      <c r="E106" s="130"/>
    </row>
    <row r="107" ht="12.0" customHeight="1">
      <c r="B107" s="260"/>
      <c r="C107" s="130"/>
      <c r="D107" s="130"/>
      <c r="E107" s="130"/>
    </row>
    <row r="108" ht="12.0" customHeight="1">
      <c r="B108" s="260"/>
      <c r="C108" s="130"/>
      <c r="D108" s="130"/>
      <c r="E108" s="130"/>
    </row>
    <row r="109" ht="12.0" customHeight="1">
      <c r="B109" s="260"/>
      <c r="C109" s="130"/>
      <c r="D109" s="130"/>
      <c r="E109" s="130"/>
    </row>
    <row r="110" ht="12.0" customHeight="1">
      <c r="B110" s="260"/>
      <c r="C110" s="130"/>
      <c r="D110" s="130"/>
      <c r="E110" s="130"/>
    </row>
    <row r="111" ht="12.0" customHeight="1">
      <c r="B111" s="260"/>
      <c r="C111" s="130"/>
      <c r="D111" s="130"/>
      <c r="E111" s="130"/>
    </row>
    <row r="112" ht="12.0" customHeight="1">
      <c r="B112" s="260"/>
      <c r="C112" s="130"/>
      <c r="D112" s="130"/>
      <c r="E112" s="130"/>
    </row>
    <row r="113" ht="12.0" customHeight="1">
      <c r="B113" s="260"/>
      <c r="C113" s="130"/>
      <c r="D113" s="130"/>
      <c r="E113" s="130"/>
    </row>
    <row r="114" ht="12.0" customHeight="1">
      <c r="B114" s="260"/>
      <c r="C114" s="130"/>
      <c r="D114" s="130"/>
      <c r="E114" s="130"/>
    </row>
    <row r="115" ht="12.0" customHeight="1">
      <c r="B115" s="260"/>
      <c r="C115" s="130"/>
      <c r="D115" s="130"/>
      <c r="E115" s="130"/>
    </row>
    <row r="116" ht="12.0" customHeight="1">
      <c r="B116" s="260"/>
      <c r="C116" s="130"/>
      <c r="D116" s="130"/>
      <c r="E116" s="130"/>
    </row>
    <row r="117" ht="12.0" customHeight="1">
      <c r="B117" s="260"/>
      <c r="C117" s="130"/>
      <c r="D117" s="130"/>
      <c r="E117" s="130"/>
    </row>
    <row r="118" ht="12.0" customHeight="1">
      <c r="B118" s="260"/>
      <c r="C118" s="130"/>
      <c r="D118" s="130"/>
      <c r="E118" s="130"/>
    </row>
    <row r="119" ht="12.0" customHeight="1">
      <c r="B119" s="260"/>
      <c r="C119" s="130"/>
      <c r="D119" s="130"/>
      <c r="E119" s="130"/>
    </row>
    <row r="120" ht="12.0" customHeight="1">
      <c r="B120" s="260"/>
      <c r="C120" s="130"/>
      <c r="D120" s="130"/>
      <c r="E120" s="130"/>
    </row>
    <row r="121" ht="12.0" customHeight="1">
      <c r="B121" s="260"/>
      <c r="C121" s="130"/>
      <c r="D121" s="130"/>
      <c r="E121" s="130"/>
    </row>
    <row r="122" ht="12.0" customHeight="1">
      <c r="B122" s="260"/>
      <c r="C122" s="130"/>
      <c r="D122" s="130"/>
      <c r="E122" s="130"/>
    </row>
    <row r="123" ht="12.0" customHeight="1">
      <c r="B123" s="260"/>
      <c r="C123" s="130"/>
      <c r="D123" s="130"/>
      <c r="E123" s="130"/>
    </row>
    <row r="124" ht="12.0" customHeight="1">
      <c r="B124" s="260"/>
      <c r="C124" s="130"/>
      <c r="D124" s="130"/>
      <c r="E124" s="130"/>
    </row>
    <row r="125" ht="12.0" customHeight="1">
      <c r="B125" s="260"/>
      <c r="C125" s="130"/>
      <c r="D125" s="130"/>
      <c r="E125" s="130"/>
    </row>
    <row r="126" ht="12.0" customHeight="1">
      <c r="B126" s="260"/>
      <c r="C126" s="130"/>
      <c r="D126" s="130"/>
      <c r="E126" s="130"/>
    </row>
    <row r="127" ht="12.0" customHeight="1">
      <c r="B127" s="260"/>
      <c r="C127" s="130"/>
      <c r="D127" s="130"/>
      <c r="E127" s="130"/>
    </row>
    <row r="128" ht="12.0" customHeight="1">
      <c r="B128" s="260"/>
      <c r="C128" s="130"/>
      <c r="D128" s="130"/>
      <c r="E128" s="130"/>
    </row>
    <row r="129" ht="12.0" customHeight="1">
      <c r="B129" s="260"/>
      <c r="C129" s="130"/>
      <c r="D129" s="130"/>
      <c r="E129" s="130"/>
    </row>
    <row r="130" ht="12.0" customHeight="1">
      <c r="B130" s="260"/>
      <c r="C130" s="130"/>
      <c r="D130" s="130"/>
      <c r="E130" s="130"/>
    </row>
    <row r="131" ht="12.0" customHeight="1">
      <c r="B131" s="260"/>
      <c r="C131" s="130"/>
      <c r="D131" s="130"/>
      <c r="E131" s="130"/>
    </row>
    <row r="132" ht="12.0" customHeight="1">
      <c r="B132" s="260"/>
      <c r="C132" s="130"/>
      <c r="D132" s="130"/>
      <c r="E132" s="130"/>
    </row>
    <row r="133" ht="12.0" customHeight="1">
      <c r="B133" s="260"/>
      <c r="C133" s="130"/>
      <c r="D133" s="130"/>
      <c r="E133" s="130"/>
    </row>
    <row r="134" ht="12.0" customHeight="1">
      <c r="B134" s="260"/>
      <c r="C134" s="130"/>
      <c r="D134" s="130"/>
      <c r="E134" s="130"/>
    </row>
    <row r="135" ht="12.0" customHeight="1">
      <c r="B135" s="260"/>
      <c r="C135" s="130"/>
      <c r="D135" s="130"/>
      <c r="E135" s="130"/>
    </row>
    <row r="136" ht="12.0" customHeight="1">
      <c r="B136" s="260"/>
      <c r="C136" s="130"/>
      <c r="D136" s="130"/>
      <c r="E136" s="130"/>
    </row>
    <row r="137" ht="12.0" customHeight="1">
      <c r="B137" s="260"/>
      <c r="C137" s="130"/>
      <c r="D137" s="130"/>
      <c r="E137" s="130"/>
    </row>
    <row r="138" ht="12.0" customHeight="1">
      <c r="B138" s="260"/>
      <c r="C138" s="130"/>
      <c r="D138" s="130"/>
      <c r="E138" s="130"/>
    </row>
    <row r="139" ht="12.0" customHeight="1">
      <c r="B139" s="260"/>
      <c r="C139" s="130"/>
      <c r="D139" s="130"/>
      <c r="E139" s="130"/>
    </row>
    <row r="140" ht="12.0" customHeight="1">
      <c r="B140" s="260"/>
      <c r="C140" s="130"/>
      <c r="D140" s="130"/>
      <c r="E140" s="130"/>
    </row>
    <row r="141" ht="12.0" customHeight="1">
      <c r="B141" s="260"/>
      <c r="C141" s="130"/>
      <c r="D141" s="130"/>
      <c r="E141" s="130"/>
    </row>
    <row r="142" ht="12.0" customHeight="1">
      <c r="B142" s="260"/>
      <c r="C142" s="130"/>
      <c r="D142" s="130"/>
      <c r="E142" s="130"/>
    </row>
    <row r="143" ht="12.0" customHeight="1">
      <c r="B143" s="260"/>
      <c r="C143" s="130"/>
      <c r="D143" s="130"/>
      <c r="E143" s="130"/>
    </row>
    <row r="144" ht="12.0" customHeight="1">
      <c r="B144" s="260"/>
      <c r="C144" s="130"/>
      <c r="D144" s="130"/>
      <c r="E144" s="130"/>
    </row>
    <row r="145" ht="12.0" customHeight="1">
      <c r="B145" s="260"/>
      <c r="C145" s="130"/>
      <c r="D145" s="130"/>
      <c r="E145" s="130"/>
    </row>
    <row r="146" ht="12.0" customHeight="1">
      <c r="B146" s="260"/>
      <c r="C146" s="130"/>
      <c r="D146" s="130"/>
      <c r="E146" s="130"/>
    </row>
    <row r="147" ht="12.0" customHeight="1">
      <c r="B147" s="260"/>
      <c r="C147" s="130"/>
      <c r="D147" s="130"/>
      <c r="E147" s="130"/>
    </row>
    <row r="148" ht="12.0" customHeight="1">
      <c r="B148" s="260"/>
      <c r="C148" s="130"/>
      <c r="D148" s="130"/>
      <c r="E148" s="130"/>
    </row>
    <row r="149" ht="12.0" customHeight="1">
      <c r="B149" s="260"/>
      <c r="C149" s="130"/>
      <c r="D149" s="130"/>
      <c r="E149" s="130"/>
    </row>
    <row r="150" ht="12.0" customHeight="1">
      <c r="B150" s="260"/>
      <c r="C150" s="130"/>
      <c r="D150" s="130"/>
      <c r="E150" s="130"/>
    </row>
    <row r="151" ht="12.0" customHeight="1">
      <c r="B151" s="260"/>
      <c r="C151" s="130"/>
      <c r="D151" s="130"/>
      <c r="E151" s="130"/>
    </row>
    <row r="152" ht="12.0" customHeight="1">
      <c r="B152" s="260"/>
      <c r="C152" s="130"/>
      <c r="D152" s="130"/>
      <c r="E152" s="130"/>
    </row>
    <row r="153" ht="12.0" customHeight="1">
      <c r="B153" s="260"/>
      <c r="C153" s="130"/>
      <c r="D153" s="130"/>
      <c r="E153" s="130"/>
    </row>
    <row r="154" ht="12.0" customHeight="1">
      <c r="B154" s="260"/>
      <c r="C154" s="130"/>
      <c r="D154" s="130"/>
      <c r="E154" s="130"/>
    </row>
    <row r="155" ht="12.0" customHeight="1">
      <c r="B155" s="260"/>
      <c r="C155" s="130"/>
      <c r="D155" s="130"/>
      <c r="E155" s="130"/>
    </row>
    <row r="156" ht="12.0" customHeight="1">
      <c r="B156" s="260"/>
      <c r="C156" s="130"/>
      <c r="D156" s="130"/>
      <c r="E156" s="130"/>
    </row>
    <row r="157" ht="12.0" customHeight="1">
      <c r="B157" s="260"/>
      <c r="C157" s="130"/>
      <c r="D157" s="130"/>
      <c r="E157" s="130"/>
    </row>
    <row r="158" ht="12.0" customHeight="1">
      <c r="B158" s="260"/>
      <c r="C158" s="130"/>
      <c r="D158" s="130"/>
      <c r="E158" s="130"/>
    </row>
    <row r="159" ht="12.0" customHeight="1">
      <c r="B159" s="260"/>
      <c r="C159" s="130"/>
      <c r="D159" s="130"/>
      <c r="E159" s="130"/>
    </row>
    <row r="160" ht="12.0" customHeight="1">
      <c r="B160" s="260"/>
      <c r="C160" s="130"/>
      <c r="D160" s="130"/>
      <c r="E160" s="130"/>
    </row>
    <row r="161" ht="12.0" customHeight="1">
      <c r="B161" s="260"/>
      <c r="C161" s="130"/>
      <c r="D161" s="130"/>
      <c r="E161" s="130"/>
    </row>
    <row r="162" ht="12.0" customHeight="1">
      <c r="B162" s="260"/>
      <c r="C162" s="130"/>
      <c r="D162" s="130"/>
      <c r="E162" s="130"/>
    </row>
    <row r="163" ht="12.0" customHeight="1">
      <c r="B163" s="260"/>
      <c r="C163" s="130"/>
      <c r="D163" s="130"/>
      <c r="E163" s="130"/>
    </row>
    <row r="164" ht="12.0" customHeight="1">
      <c r="B164" s="260"/>
      <c r="C164" s="130"/>
      <c r="D164" s="130"/>
      <c r="E164" s="130"/>
    </row>
    <row r="165" ht="12.0" customHeight="1">
      <c r="B165" s="260"/>
      <c r="C165" s="130"/>
      <c r="D165" s="130"/>
      <c r="E165" s="130"/>
    </row>
    <row r="166" ht="12.0" customHeight="1">
      <c r="B166" s="260"/>
      <c r="C166" s="130"/>
      <c r="D166" s="130"/>
      <c r="E166" s="130"/>
    </row>
    <row r="167" ht="12.0" customHeight="1">
      <c r="B167" s="260"/>
      <c r="C167" s="130"/>
      <c r="D167" s="130"/>
      <c r="E167" s="130"/>
    </row>
    <row r="168" ht="12.0" customHeight="1">
      <c r="B168" s="260"/>
      <c r="C168" s="130"/>
      <c r="D168" s="130"/>
      <c r="E168" s="130"/>
    </row>
    <row r="169" ht="12.0" customHeight="1">
      <c r="B169" s="260"/>
      <c r="C169" s="130"/>
      <c r="D169" s="130"/>
      <c r="E169" s="130"/>
    </row>
    <row r="170" ht="12.0" customHeight="1">
      <c r="B170" s="260"/>
      <c r="C170" s="130"/>
      <c r="D170" s="130"/>
      <c r="E170" s="130"/>
    </row>
    <row r="171" ht="12.0" customHeight="1">
      <c r="B171" s="260"/>
      <c r="C171" s="130"/>
      <c r="D171" s="130"/>
      <c r="E171" s="130"/>
    </row>
    <row r="172" ht="12.0" customHeight="1">
      <c r="B172" s="260"/>
      <c r="C172" s="130"/>
      <c r="D172" s="130"/>
      <c r="E172" s="130"/>
    </row>
    <row r="173" ht="12.0" customHeight="1">
      <c r="B173" s="260"/>
      <c r="C173" s="130"/>
      <c r="D173" s="130"/>
      <c r="E173" s="130"/>
    </row>
    <row r="174" ht="12.0" customHeight="1">
      <c r="B174" s="260"/>
      <c r="C174" s="130"/>
      <c r="D174" s="130"/>
      <c r="E174" s="130"/>
    </row>
    <row r="175" ht="12.0" customHeight="1">
      <c r="B175" s="260"/>
      <c r="C175" s="130"/>
      <c r="D175" s="130"/>
      <c r="E175" s="130"/>
    </row>
    <row r="176" ht="12.0" customHeight="1">
      <c r="B176" s="260"/>
      <c r="C176" s="130"/>
      <c r="D176" s="130"/>
      <c r="E176" s="130"/>
    </row>
    <row r="177" ht="12.0" customHeight="1">
      <c r="B177" s="260"/>
      <c r="C177" s="130"/>
      <c r="D177" s="130"/>
      <c r="E177" s="130"/>
    </row>
    <row r="178" ht="12.0" customHeight="1">
      <c r="B178" s="260"/>
      <c r="C178" s="130"/>
      <c r="D178" s="130"/>
      <c r="E178" s="130"/>
    </row>
    <row r="179" ht="12.0" customHeight="1">
      <c r="B179" s="260"/>
      <c r="C179" s="130"/>
      <c r="D179" s="130"/>
      <c r="E179" s="130"/>
    </row>
    <row r="180" ht="12.0" customHeight="1">
      <c r="B180" s="260"/>
      <c r="C180" s="130"/>
      <c r="D180" s="130"/>
      <c r="E180" s="130"/>
    </row>
    <row r="181" ht="12.0" customHeight="1">
      <c r="B181" s="260"/>
      <c r="C181" s="130"/>
      <c r="D181" s="130"/>
      <c r="E181" s="130"/>
    </row>
    <row r="182" ht="12.0" customHeight="1">
      <c r="B182" s="260"/>
      <c r="C182" s="130"/>
      <c r="D182" s="130"/>
      <c r="E182" s="130"/>
    </row>
    <row r="183" ht="12.0" customHeight="1">
      <c r="B183" s="260"/>
      <c r="C183" s="130"/>
      <c r="D183" s="130"/>
      <c r="E183" s="130"/>
    </row>
    <row r="184" ht="12.0" customHeight="1">
      <c r="B184" s="260"/>
      <c r="C184" s="130"/>
      <c r="D184" s="130"/>
      <c r="E184" s="130"/>
    </row>
    <row r="185" ht="12.0" customHeight="1">
      <c r="B185" s="260"/>
      <c r="C185" s="130"/>
      <c r="D185" s="130"/>
      <c r="E185" s="130"/>
    </row>
    <row r="186" ht="12.0" customHeight="1">
      <c r="B186" s="260"/>
      <c r="C186" s="130"/>
      <c r="D186" s="130"/>
      <c r="E186" s="130"/>
    </row>
    <row r="187" ht="12.0" customHeight="1">
      <c r="B187" s="260"/>
      <c r="C187" s="130"/>
      <c r="D187" s="130"/>
      <c r="E187" s="130"/>
    </row>
    <row r="188" ht="12.0" customHeight="1">
      <c r="B188" s="260"/>
      <c r="C188" s="130"/>
      <c r="D188" s="130"/>
      <c r="E188" s="130"/>
    </row>
    <row r="189" ht="12.0" customHeight="1">
      <c r="B189" s="260"/>
      <c r="C189" s="130"/>
      <c r="D189" s="130"/>
      <c r="E189" s="130"/>
    </row>
    <row r="190" ht="12.0" customHeight="1">
      <c r="B190" s="260"/>
      <c r="C190" s="130"/>
      <c r="D190" s="130"/>
      <c r="E190" s="130"/>
    </row>
    <row r="191" ht="12.0" customHeight="1">
      <c r="B191" s="260"/>
      <c r="C191" s="130"/>
      <c r="D191" s="130"/>
      <c r="E191" s="130"/>
    </row>
    <row r="192" ht="12.0" customHeight="1">
      <c r="B192" s="260"/>
      <c r="C192" s="130"/>
      <c r="D192" s="130"/>
      <c r="E192" s="130"/>
    </row>
    <row r="193" ht="12.0" customHeight="1">
      <c r="B193" s="260"/>
      <c r="C193" s="130"/>
      <c r="D193" s="130"/>
      <c r="E193" s="130"/>
    </row>
    <row r="194" ht="12.0" customHeight="1">
      <c r="B194" s="260"/>
      <c r="C194" s="130"/>
      <c r="D194" s="130"/>
      <c r="E194" s="130"/>
    </row>
    <row r="195" ht="12.0" customHeight="1">
      <c r="B195" s="260"/>
      <c r="C195" s="130"/>
      <c r="D195" s="130"/>
      <c r="E195" s="130"/>
    </row>
    <row r="196" ht="12.0" customHeight="1">
      <c r="B196" s="260"/>
      <c r="C196" s="130"/>
      <c r="D196" s="130"/>
      <c r="E196" s="130"/>
    </row>
    <row r="197" ht="12.0" customHeight="1">
      <c r="B197" s="260"/>
      <c r="C197" s="130"/>
      <c r="D197" s="130"/>
      <c r="E197" s="130"/>
    </row>
    <row r="198" ht="12.0" customHeight="1">
      <c r="B198" s="260"/>
      <c r="C198" s="130"/>
      <c r="D198" s="130"/>
      <c r="E198" s="130"/>
    </row>
    <row r="199" ht="12.0" customHeight="1">
      <c r="B199" s="260"/>
      <c r="C199" s="130"/>
      <c r="D199" s="130"/>
      <c r="E199" s="130"/>
    </row>
    <row r="200" ht="12.0" customHeight="1">
      <c r="B200" s="260"/>
      <c r="C200" s="130"/>
      <c r="D200" s="130"/>
      <c r="E200" s="130"/>
    </row>
    <row r="201" ht="12.0" customHeight="1">
      <c r="B201" s="260"/>
      <c r="C201" s="130"/>
      <c r="D201" s="130"/>
      <c r="E201" s="130"/>
    </row>
    <row r="202" ht="12.0" customHeight="1">
      <c r="B202" s="260"/>
      <c r="C202" s="130"/>
      <c r="D202" s="130"/>
      <c r="E202" s="130"/>
    </row>
    <row r="203" ht="12.0" customHeight="1">
      <c r="B203" s="260"/>
      <c r="C203" s="130"/>
      <c r="D203" s="130"/>
      <c r="E203" s="130"/>
    </row>
    <row r="204" ht="12.0" customHeight="1">
      <c r="B204" s="260"/>
      <c r="C204" s="130"/>
      <c r="D204" s="130"/>
      <c r="E204" s="130"/>
    </row>
    <row r="205" ht="12.0" customHeight="1">
      <c r="B205" s="260"/>
      <c r="C205" s="130"/>
      <c r="D205" s="130"/>
      <c r="E205" s="130"/>
    </row>
    <row r="206" ht="12.0" customHeight="1">
      <c r="B206" s="260"/>
      <c r="C206" s="130"/>
      <c r="D206" s="130"/>
      <c r="E206" s="130"/>
    </row>
    <row r="207" ht="12.0" customHeight="1">
      <c r="B207" s="260"/>
      <c r="C207" s="130"/>
      <c r="D207" s="130"/>
      <c r="E207" s="130"/>
    </row>
    <row r="208" ht="12.0" customHeight="1">
      <c r="B208" s="260"/>
      <c r="C208" s="130"/>
      <c r="D208" s="130"/>
      <c r="E208" s="130"/>
    </row>
    <row r="209" ht="12.0" customHeight="1">
      <c r="B209" s="260"/>
      <c r="C209" s="130"/>
      <c r="D209" s="130"/>
      <c r="E209" s="130"/>
    </row>
    <row r="210" ht="12.0" customHeight="1">
      <c r="B210" s="260"/>
      <c r="C210" s="130"/>
      <c r="D210" s="130"/>
      <c r="E210" s="130"/>
    </row>
    <row r="211" ht="12.0" customHeight="1">
      <c r="B211" s="260"/>
      <c r="C211" s="130"/>
      <c r="D211" s="130"/>
      <c r="E211" s="130"/>
    </row>
    <row r="212" ht="12.0" customHeight="1">
      <c r="B212" s="260"/>
      <c r="C212" s="130"/>
      <c r="D212" s="130"/>
      <c r="E212" s="130"/>
    </row>
    <row r="213" ht="12.0" customHeight="1">
      <c r="B213" s="260"/>
      <c r="C213" s="130"/>
      <c r="D213" s="130"/>
      <c r="E213" s="130"/>
    </row>
    <row r="214" ht="12.0" customHeight="1">
      <c r="B214" s="260"/>
      <c r="C214" s="130"/>
      <c r="D214" s="130"/>
      <c r="E214" s="130"/>
    </row>
    <row r="215" ht="12.0" customHeight="1">
      <c r="B215" s="260"/>
      <c r="C215" s="130"/>
      <c r="D215" s="130"/>
      <c r="E215" s="130"/>
    </row>
    <row r="216" ht="12.0" customHeight="1">
      <c r="B216" s="260"/>
      <c r="C216" s="130"/>
      <c r="D216" s="130"/>
      <c r="E216" s="130"/>
    </row>
    <row r="217" ht="12.0" customHeight="1">
      <c r="B217" s="260"/>
      <c r="C217" s="130"/>
      <c r="D217" s="130"/>
      <c r="E217" s="130"/>
    </row>
    <row r="218" ht="12.0" customHeight="1">
      <c r="B218" s="260"/>
      <c r="C218" s="130"/>
      <c r="D218" s="130"/>
      <c r="E218" s="130"/>
    </row>
    <row r="219" ht="12.0" customHeight="1">
      <c r="B219" s="260"/>
      <c r="C219" s="130"/>
      <c r="D219" s="130"/>
      <c r="E219" s="130"/>
    </row>
    <row r="220" ht="12.0" customHeight="1">
      <c r="B220" s="260"/>
      <c r="C220" s="130"/>
      <c r="D220" s="130"/>
      <c r="E220" s="130"/>
    </row>
    <row r="221" ht="12.0" customHeight="1">
      <c r="B221" s="260"/>
      <c r="C221" s="130"/>
      <c r="D221" s="130"/>
      <c r="E221" s="130"/>
    </row>
    <row r="222" ht="12.0" customHeight="1">
      <c r="B222" s="260"/>
      <c r="C222" s="130"/>
      <c r="D222" s="130"/>
      <c r="E222" s="130"/>
    </row>
    <row r="223" ht="12.0" customHeight="1">
      <c r="B223" s="260"/>
      <c r="C223" s="130"/>
      <c r="D223" s="130"/>
      <c r="E223" s="130"/>
    </row>
    <row r="224" ht="12.0" customHeight="1">
      <c r="B224" s="260"/>
      <c r="C224" s="130"/>
      <c r="D224" s="130"/>
      <c r="E224" s="130"/>
    </row>
    <row r="225" ht="12.0" customHeight="1">
      <c r="B225" s="260"/>
      <c r="C225" s="130"/>
      <c r="D225" s="130"/>
      <c r="E225" s="130"/>
    </row>
    <row r="226" ht="12.0" customHeight="1">
      <c r="B226" s="260"/>
      <c r="C226" s="130"/>
      <c r="D226" s="130"/>
      <c r="E226" s="130"/>
    </row>
    <row r="227" ht="12.0" customHeight="1">
      <c r="B227" s="260"/>
      <c r="C227" s="130"/>
      <c r="D227" s="130"/>
      <c r="E227" s="130"/>
    </row>
    <row r="228" ht="12.0" customHeight="1">
      <c r="B228" s="260"/>
      <c r="C228" s="130"/>
      <c r="D228" s="130"/>
      <c r="E228" s="130"/>
    </row>
    <row r="229" ht="12.0" customHeight="1">
      <c r="B229" s="260"/>
      <c r="C229" s="130"/>
      <c r="D229" s="130"/>
      <c r="E229" s="130"/>
    </row>
    <row r="230" ht="12.0" customHeight="1">
      <c r="B230" s="260"/>
      <c r="C230" s="130"/>
      <c r="D230" s="130"/>
      <c r="E230" s="130"/>
    </row>
    <row r="231" ht="12.0" customHeight="1">
      <c r="B231" s="260"/>
      <c r="C231" s="130"/>
      <c r="D231" s="130"/>
      <c r="E231" s="130"/>
    </row>
    <row r="232" ht="12.0" customHeight="1">
      <c r="B232" s="260"/>
      <c r="C232" s="130"/>
      <c r="D232" s="130"/>
      <c r="E232" s="130"/>
    </row>
    <row r="233" ht="12.0" customHeight="1">
      <c r="B233" s="260"/>
      <c r="C233" s="130"/>
      <c r="D233" s="130"/>
      <c r="E233" s="130"/>
    </row>
    <row r="234" ht="12.0" customHeight="1">
      <c r="B234" s="260"/>
      <c r="C234" s="130"/>
      <c r="D234" s="130"/>
      <c r="E234" s="130"/>
    </row>
    <row r="235" ht="12.0" customHeight="1">
      <c r="B235" s="260"/>
      <c r="C235" s="130"/>
      <c r="D235" s="130"/>
      <c r="E235" s="130"/>
    </row>
    <row r="236" ht="12.0" customHeight="1">
      <c r="B236" s="260"/>
      <c r="C236" s="130"/>
      <c r="D236" s="130"/>
      <c r="E236" s="130"/>
    </row>
    <row r="237" ht="12.0" customHeight="1">
      <c r="B237" s="260"/>
      <c r="C237" s="130"/>
      <c r="D237" s="130"/>
      <c r="E237" s="130"/>
    </row>
    <row r="238" ht="12.0" customHeight="1">
      <c r="B238" s="260"/>
      <c r="C238" s="130"/>
      <c r="D238" s="130"/>
      <c r="E238" s="130"/>
    </row>
    <row r="239" ht="12.0" customHeight="1">
      <c r="B239" s="260"/>
      <c r="C239" s="130"/>
      <c r="D239" s="130"/>
      <c r="E239" s="130"/>
    </row>
    <row r="240" ht="12.0" customHeight="1">
      <c r="B240" s="260"/>
      <c r="C240" s="130"/>
      <c r="D240" s="130"/>
      <c r="E240" s="130"/>
    </row>
    <row r="241" ht="12.0" customHeight="1">
      <c r="B241" s="260"/>
      <c r="C241" s="130"/>
      <c r="D241" s="130"/>
      <c r="E241" s="130"/>
    </row>
    <row r="242" ht="12.0" customHeight="1">
      <c r="B242" s="260"/>
      <c r="C242" s="130"/>
      <c r="D242" s="130"/>
      <c r="E242" s="130"/>
    </row>
    <row r="243" ht="12.0" customHeight="1">
      <c r="B243" s="260"/>
      <c r="C243" s="130"/>
      <c r="D243" s="130"/>
      <c r="E243" s="130"/>
    </row>
    <row r="244" ht="12.0" customHeight="1">
      <c r="B244" s="260"/>
      <c r="C244" s="130"/>
      <c r="D244" s="130"/>
      <c r="E244" s="130"/>
    </row>
    <row r="245" ht="12.0" customHeight="1">
      <c r="B245" s="260"/>
      <c r="C245" s="130"/>
      <c r="D245" s="130"/>
      <c r="E245" s="130"/>
    </row>
    <row r="246" ht="12.0" customHeight="1">
      <c r="B246" s="260"/>
      <c r="C246" s="130"/>
      <c r="D246" s="130"/>
      <c r="E246" s="130"/>
    </row>
    <row r="247" ht="12.0" customHeight="1">
      <c r="B247" s="260"/>
      <c r="C247" s="130"/>
      <c r="D247" s="130"/>
      <c r="E247" s="130"/>
    </row>
    <row r="248" ht="12.0" customHeight="1">
      <c r="B248" s="260"/>
      <c r="C248" s="130"/>
      <c r="D248" s="130"/>
      <c r="E248" s="130"/>
    </row>
    <row r="249" ht="12.0" customHeight="1">
      <c r="B249" s="260"/>
      <c r="C249" s="130"/>
      <c r="D249" s="130"/>
      <c r="E249" s="130"/>
    </row>
    <row r="250" ht="12.0" customHeight="1">
      <c r="B250" s="260"/>
      <c r="C250" s="130"/>
      <c r="D250" s="130"/>
      <c r="E250" s="130"/>
    </row>
    <row r="251" ht="12.0" customHeight="1">
      <c r="B251" s="260"/>
      <c r="C251" s="130"/>
      <c r="D251" s="130"/>
      <c r="E251" s="130"/>
    </row>
    <row r="252" ht="12.0" customHeight="1">
      <c r="B252" s="260"/>
      <c r="C252" s="130"/>
      <c r="D252" s="130"/>
      <c r="E252" s="130"/>
    </row>
    <row r="253" ht="12.0" customHeight="1">
      <c r="B253" s="260"/>
      <c r="C253" s="130"/>
      <c r="D253" s="130"/>
      <c r="E253" s="130"/>
    </row>
    <row r="254" ht="12.0" customHeight="1">
      <c r="B254" s="260"/>
      <c r="C254" s="130"/>
      <c r="D254" s="130"/>
      <c r="E254" s="130"/>
    </row>
    <row r="255" ht="12.0" customHeight="1">
      <c r="B255" s="260"/>
      <c r="C255" s="130"/>
      <c r="D255" s="130"/>
      <c r="E255" s="130"/>
    </row>
    <row r="256" ht="12.0" customHeight="1">
      <c r="B256" s="260"/>
      <c r="C256" s="130"/>
      <c r="D256" s="130"/>
      <c r="E256" s="130"/>
    </row>
    <row r="257" ht="12.0" customHeight="1">
      <c r="B257" s="260"/>
      <c r="C257" s="130"/>
      <c r="D257" s="130"/>
      <c r="E257" s="130"/>
    </row>
    <row r="258" ht="12.0" customHeight="1">
      <c r="B258" s="260"/>
      <c r="C258" s="130"/>
      <c r="D258" s="130"/>
      <c r="E258" s="130"/>
    </row>
    <row r="259" ht="12.0" customHeight="1">
      <c r="B259" s="260"/>
      <c r="C259" s="130"/>
      <c r="D259" s="130"/>
      <c r="E259" s="130"/>
    </row>
    <row r="260" ht="12.0" customHeight="1">
      <c r="B260" s="260"/>
      <c r="C260" s="130"/>
      <c r="D260" s="130"/>
      <c r="E260" s="130"/>
    </row>
    <row r="261" ht="12.0" customHeight="1">
      <c r="B261" s="260"/>
      <c r="C261" s="130"/>
      <c r="D261" s="130"/>
      <c r="E261" s="130"/>
    </row>
    <row r="262" ht="12.0" customHeight="1">
      <c r="B262" s="260"/>
      <c r="C262" s="130"/>
      <c r="D262" s="130"/>
      <c r="E262" s="130"/>
    </row>
    <row r="263" ht="12.0" customHeight="1">
      <c r="B263" s="260"/>
      <c r="C263" s="130"/>
      <c r="D263" s="130"/>
      <c r="E263" s="130"/>
    </row>
    <row r="264" ht="12.0" customHeight="1">
      <c r="B264" s="260"/>
      <c r="C264" s="130"/>
      <c r="D264" s="130"/>
      <c r="E264" s="130"/>
    </row>
    <row r="265" ht="12.0" customHeight="1">
      <c r="B265" s="260"/>
      <c r="C265" s="130"/>
      <c r="D265" s="130"/>
      <c r="E265" s="130"/>
    </row>
    <row r="266" ht="12.0" customHeight="1">
      <c r="B266" s="260"/>
      <c r="C266" s="130"/>
      <c r="D266" s="130"/>
      <c r="E266" s="130"/>
    </row>
    <row r="267" ht="12.0" customHeight="1">
      <c r="B267" s="260"/>
      <c r="C267" s="130"/>
      <c r="D267" s="130"/>
      <c r="E267" s="130"/>
    </row>
    <row r="268" ht="12.0" customHeight="1">
      <c r="B268" s="260"/>
      <c r="C268" s="130"/>
      <c r="D268" s="130"/>
      <c r="E268" s="130"/>
    </row>
    <row r="269" ht="12.0" customHeight="1">
      <c r="B269" s="260"/>
      <c r="C269" s="130"/>
      <c r="D269" s="130"/>
      <c r="E269" s="130"/>
    </row>
    <row r="270" ht="12.0" customHeight="1">
      <c r="B270" s="260"/>
      <c r="C270" s="130"/>
      <c r="D270" s="130"/>
      <c r="E270" s="130"/>
    </row>
    <row r="271" ht="12.0" customHeight="1">
      <c r="B271" s="260"/>
      <c r="C271" s="130"/>
      <c r="D271" s="130"/>
      <c r="E271" s="130"/>
    </row>
    <row r="272" ht="12.0" customHeight="1">
      <c r="B272" s="260"/>
      <c r="C272" s="130"/>
      <c r="D272" s="130"/>
      <c r="E272" s="130"/>
    </row>
    <row r="273" ht="12.0" customHeight="1">
      <c r="B273" s="260"/>
      <c r="C273" s="130"/>
      <c r="D273" s="130"/>
      <c r="E273" s="130"/>
    </row>
    <row r="274" ht="12.0" customHeight="1">
      <c r="B274" s="260"/>
      <c r="C274" s="130"/>
      <c r="D274" s="130"/>
      <c r="E274" s="130"/>
    </row>
    <row r="275" ht="12.0" customHeight="1">
      <c r="B275" s="260"/>
      <c r="C275" s="130"/>
      <c r="D275" s="130"/>
      <c r="E275" s="130"/>
    </row>
    <row r="276" ht="12.0" customHeight="1">
      <c r="B276" s="260"/>
      <c r="C276" s="130"/>
      <c r="D276" s="130"/>
      <c r="E276" s="130"/>
    </row>
    <row r="277" ht="12.0" customHeight="1">
      <c r="B277" s="260"/>
      <c r="C277" s="130"/>
      <c r="D277" s="130"/>
      <c r="E277" s="130"/>
    </row>
    <row r="278" ht="12.0" customHeight="1">
      <c r="B278" s="260"/>
      <c r="C278" s="130"/>
      <c r="D278" s="130"/>
      <c r="E278" s="130"/>
    </row>
    <row r="279" ht="12.0" customHeight="1">
      <c r="B279" s="260"/>
      <c r="C279" s="130"/>
      <c r="D279" s="130"/>
      <c r="E279" s="130"/>
    </row>
    <row r="280" ht="12.0" customHeight="1">
      <c r="B280" s="260"/>
      <c r="C280" s="130"/>
      <c r="D280" s="130"/>
      <c r="E280" s="130"/>
    </row>
    <row r="281" ht="12.0" customHeight="1">
      <c r="B281" s="260"/>
      <c r="C281" s="130"/>
      <c r="D281" s="130"/>
      <c r="E281" s="130"/>
    </row>
    <row r="282" ht="12.0" customHeight="1">
      <c r="B282" s="260"/>
      <c r="C282" s="130"/>
      <c r="D282" s="130"/>
      <c r="E282" s="130"/>
    </row>
    <row r="283" ht="12.0" customHeight="1">
      <c r="B283" s="260"/>
      <c r="C283" s="130"/>
      <c r="D283" s="130"/>
      <c r="E283" s="130"/>
    </row>
    <row r="284" ht="12.0" customHeight="1">
      <c r="B284" s="260"/>
      <c r="C284" s="130"/>
      <c r="D284" s="130"/>
      <c r="E284" s="130"/>
    </row>
    <row r="285" ht="12.0" customHeight="1">
      <c r="B285" s="260"/>
      <c r="C285" s="130"/>
      <c r="D285" s="130"/>
      <c r="E285" s="130"/>
    </row>
    <row r="286" ht="12.0" customHeight="1">
      <c r="B286" s="260"/>
      <c r="C286" s="130"/>
      <c r="D286" s="130"/>
      <c r="E286" s="130"/>
    </row>
    <row r="287" ht="12.0" customHeight="1">
      <c r="B287" s="260"/>
      <c r="C287" s="130"/>
      <c r="D287" s="130"/>
      <c r="E287" s="130"/>
    </row>
    <row r="288" ht="12.0" customHeight="1">
      <c r="B288" s="260"/>
      <c r="C288" s="130"/>
      <c r="D288" s="130"/>
      <c r="E288" s="130"/>
    </row>
    <row r="289" ht="12.0" customHeight="1">
      <c r="B289" s="260"/>
      <c r="C289" s="130"/>
      <c r="D289" s="130"/>
      <c r="E289" s="130"/>
    </row>
    <row r="290" ht="12.0" customHeight="1">
      <c r="B290" s="260"/>
      <c r="C290" s="130"/>
      <c r="D290" s="130"/>
      <c r="E290" s="130"/>
    </row>
    <row r="291" ht="12.0" customHeight="1">
      <c r="B291" s="260"/>
      <c r="C291" s="130"/>
      <c r="D291" s="130"/>
      <c r="E291" s="130"/>
    </row>
    <row r="292" ht="12.0" customHeight="1">
      <c r="B292" s="260"/>
      <c r="C292" s="130"/>
      <c r="D292" s="130"/>
      <c r="E292" s="130"/>
    </row>
    <row r="293" ht="12.0" customHeight="1">
      <c r="B293" s="260"/>
      <c r="C293" s="130"/>
      <c r="D293" s="130"/>
      <c r="E293" s="130"/>
    </row>
    <row r="294" ht="12.0" customHeight="1">
      <c r="B294" s="260"/>
      <c r="C294" s="130"/>
      <c r="D294" s="130"/>
      <c r="E294" s="130"/>
    </row>
    <row r="295" ht="12.0" customHeight="1">
      <c r="B295" s="260"/>
      <c r="C295" s="130"/>
      <c r="D295" s="130"/>
      <c r="E295" s="130"/>
    </row>
    <row r="296" ht="12.0" customHeight="1">
      <c r="B296" s="260"/>
      <c r="C296" s="130"/>
      <c r="D296" s="130"/>
      <c r="E296" s="130"/>
    </row>
    <row r="297" ht="12.0" customHeight="1">
      <c r="B297" s="260"/>
      <c r="C297" s="130"/>
      <c r="D297" s="130"/>
      <c r="E297" s="130"/>
    </row>
    <row r="298" ht="12.0" customHeight="1">
      <c r="B298" s="260"/>
      <c r="C298" s="130"/>
      <c r="D298" s="130"/>
      <c r="E298" s="130"/>
    </row>
    <row r="299" ht="12.0" customHeight="1">
      <c r="B299" s="260"/>
      <c r="C299" s="130"/>
      <c r="D299" s="130"/>
      <c r="E299" s="130"/>
    </row>
    <row r="300" ht="12.0" customHeight="1">
      <c r="B300" s="260"/>
      <c r="C300" s="130"/>
      <c r="D300" s="130"/>
      <c r="E300" s="130"/>
    </row>
    <row r="301" ht="12.0" customHeight="1">
      <c r="B301" s="260"/>
      <c r="C301" s="130"/>
      <c r="D301" s="130"/>
      <c r="E301" s="130"/>
    </row>
    <row r="302" ht="12.0" customHeight="1">
      <c r="B302" s="260"/>
      <c r="C302" s="130"/>
      <c r="D302" s="130"/>
      <c r="E302" s="130"/>
    </row>
    <row r="303" ht="12.0" customHeight="1">
      <c r="B303" s="260"/>
      <c r="C303" s="130"/>
      <c r="D303" s="130"/>
      <c r="E303" s="130"/>
    </row>
    <row r="304" ht="12.0" customHeight="1">
      <c r="B304" s="260"/>
      <c r="C304" s="130"/>
      <c r="D304" s="130"/>
      <c r="E304" s="130"/>
    </row>
    <row r="305" ht="12.0" customHeight="1">
      <c r="B305" s="260"/>
      <c r="C305" s="130"/>
      <c r="D305" s="130"/>
      <c r="E305" s="130"/>
    </row>
    <row r="306" ht="12.0" customHeight="1">
      <c r="B306" s="260"/>
      <c r="C306" s="130"/>
      <c r="D306" s="130"/>
      <c r="E306" s="130"/>
    </row>
    <row r="307" ht="12.0" customHeight="1">
      <c r="B307" s="260"/>
      <c r="C307" s="130"/>
      <c r="D307" s="130"/>
      <c r="E307" s="130"/>
    </row>
    <row r="308" ht="12.0" customHeight="1">
      <c r="B308" s="260"/>
      <c r="C308" s="130"/>
      <c r="D308" s="130"/>
      <c r="E308" s="130"/>
    </row>
    <row r="309" ht="12.0" customHeight="1">
      <c r="B309" s="260"/>
      <c r="C309" s="130"/>
      <c r="D309" s="130"/>
      <c r="E309" s="130"/>
    </row>
    <row r="310" ht="12.0" customHeight="1">
      <c r="B310" s="260"/>
      <c r="C310" s="130"/>
      <c r="D310" s="130"/>
      <c r="E310" s="130"/>
    </row>
    <row r="311" ht="12.0" customHeight="1">
      <c r="B311" s="260"/>
      <c r="C311" s="130"/>
      <c r="D311" s="130"/>
      <c r="E311" s="130"/>
    </row>
    <row r="312" ht="12.0" customHeight="1">
      <c r="B312" s="260"/>
      <c r="C312" s="130"/>
      <c r="D312" s="130"/>
      <c r="E312" s="130"/>
    </row>
    <row r="313" ht="12.0" customHeight="1">
      <c r="B313" s="260"/>
      <c r="C313" s="130"/>
      <c r="D313" s="130"/>
      <c r="E313" s="130"/>
    </row>
    <row r="314" ht="12.0" customHeight="1">
      <c r="B314" s="260"/>
      <c r="C314" s="130"/>
      <c r="D314" s="130"/>
      <c r="E314" s="130"/>
    </row>
    <row r="315" ht="12.0" customHeight="1">
      <c r="B315" s="260"/>
      <c r="C315" s="130"/>
      <c r="D315" s="130"/>
      <c r="E315" s="130"/>
    </row>
    <row r="316" ht="12.0" customHeight="1">
      <c r="B316" s="260"/>
      <c r="C316" s="130"/>
      <c r="D316" s="130"/>
      <c r="E316" s="130"/>
    </row>
    <row r="317" ht="12.0" customHeight="1">
      <c r="B317" s="260"/>
      <c r="C317" s="130"/>
      <c r="D317" s="130"/>
      <c r="E317" s="130"/>
    </row>
    <row r="318" ht="12.0" customHeight="1">
      <c r="B318" s="260"/>
      <c r="C318" s="130"/>
      <c r="D318" s="130"/>
      <c r="E318" s="130"/>
    </row>
    <row r="319" ht="12.0" customHeight="1">
      <c r="B319" s="260"/>
      <c r="C319" s="130"/>
      <c r="D319" s="130"/>
      <c r="E319" s="130"/>
    </row>
    <row r="320" ht="12.0" customHeight="1">
      <c r="B320" s="260"/>
      <c r="C320" s="130"/>
      <c r="D320" s="130"/>
      <c r="E320" s="130"/>
    </row>
    <row r="321" ht="12.0" customHeight="1">
      <c r="B321" s="260"/>
      <c r="C321" s="130"/>
      <c r="D321" s="130"/>
      <c r="E321" s="130"/>
    </row>
    <row r="322" ht="12.0" customHeight="1">
      <c r="B322" s="260"/>
      <c r="C322" s="130"/>
      <c r="D322" s="130"/>
      <c r="E322" s="130"/>
    </row>
    <row r="323" ht="12.0" customHeight="1">
      <c r="B323" s="260"/>
      <c r="C323" s="130"/>
      <c r="D323" s="130"/>
      <c r="E323" s="130"/>
    </row>
    <row r="324" ht="12.0" customHeight="1">
      <c r="B324" s="260"/>
      <c r="C324" s="130"/>
      <c r="D324" s="130"/>
      <c r="E324" s="130"/>
    </row>
    <row r="325" ht="12.0" customHeight="1">
      <c r="B325" s="260"/>
      <c r="C325" s="130"/>
      <c r="D325" s="130"/>
      <c r="E325" s="130"/>
    </row>
    <row r="326" ht="12.0" customHeight="1">
      <c r="B326" s="260"/>
      <c r="C326" s="130"/>
      <c r="D326" s="130"/>
      <c r="E326" s="130"/>
    </row>
    <row r="327" ht="12.0" customHeight="1">
      <c r="B327" s="260"/>
      <c r="C327" s="130"/>
      <c r="D327" s="130"/>
      <c r="E327" s="130"/>
    </row>
    <row r="328" ht="12.0" customHeight="1">
      <c r="B328" s="260"/>
      <c r="C328" s="130"/>
      <c r="D328" s="130"/>
      <c r="E328" s="130"/>
    </row>
    <row r="329" ht="12.0" customHeight="1">
      <c r="B329" s="260"/>
      <c r="C329" s="130"/>
      <c r="D329" s="130"/>
      <c r="E329" s="130"/>
    </row>
    <row r="330" ht="12.0" customHeight="1">
      <c r="B330" s="260"/>
      <c r="C330" s="130"/>
      <c r="D330" s="130"/>
      <c r="E330" s="130"/>
    </row>
    <row r="331" ht="12.0" customHeight="1">
      <c r="B331" s="260"/>
      <c r="C331" s="130"/>
      <c r="D331" s="130"/>
      <c r="E331" s="130"/>
    </row>
    <row r="332" ht="12.0" customHeight="1">
      <c r="B332" s="260"/>
      <c r="C332" s="130"/>
      <c r="D332" s="130"/>
      <c r="E332" s="130"/>
    </row>
    <row r="333" ht="12.0" customHeight="1">
      <c r="B333" s="260"/>
      <c r="C333" s="130"/>
      <c r="D333" s="130"/>
      <c r="E333" s="130"/>
    </row>
    <row r="334" ht="12.0" customHeight="1">
      <c r="B334" s="260"/>
      <c r="C334" s="130"/>
      <c r="D334" s="130"/>
      <c r="E334" s="130"/>
    </row>
    <row r="335" ht="12.0" customHeight="1">
      <c r="B335" s="260"/>
      <c r="C335" s="130"/>
      <c r="D335" s="130"/>
      <c r="E335" s="130"/>
    </row>
    <row r="336" ht="12.0" customHeight="1">
      <c r="B336" s="260"/>
      <c r="C336" s="130"/>
      <c r="D336" s="130"/>
      <c r="E336" s="130"/>
    </row>
    <row r="337" ht="12.0" customHeight="1">
      <c r="B337" s="260"/>
      <c r="C337" s="130"/>
      <c r="D337" s="130"/>
      <c r="E337" s="130"/>
    </row>
    <row r="338" ht="12.0" customHeight="1">
      <c r="B338" s="260"/>
      <c r="C338" s="130"/>
      <c r="D338" s="130"/>
      <c r="E338" s="130"/>
    </row>
    <row r="339" ht="12.0" customHeight="1">
      <c r="B339" s="260"/>
      <c r="C339" s="130"/>
      <c r="D339" s="130"/>
      <c r="E339" s="130"/>
    </row>
    <row r="340" ht="12.0" customHeight="1">
      <c r="B340" s="260"/>
      <c r="C340" s="130"/>
      <c r="D340" s="130"/>
      <c r="E340" s="130"/>
    </row>
    <row r="341" ht="12.0" customHeight="1">
      <c r="B341" s="260"/>
      <c r="C341" s="130"/>
      <c r="D341" s="130"/>
      <c r="E341" s="130"/>
    </row>
    <row r="342" ht="12.0" customHeight="1">
      <c r="B342" s="260"/>
      <c r="C342" s="130"/>
      <c r="D342" s="130"/>
      <c r="E342" s="130"/>
    </row>
    <row r="343" ht="12.0" customHeight="1">
      <c r="B343" s="260"/>
      <c r="C343" s="130"/>
      <c r="D343" s="130"/>
      <c r="E343" s="130"/>
    </row>
    <row r="344" ht="12.0" customHeight="1">
      <c r="B344" s="260"/>
      <c r="C344" s="130"/>
      <c r="D344" s="130"/>
      <c r="E344" s="130"/>
    </row>
    <row r="345" ht="12.0" customHeight="1">
      <c r="B345" s="260"/>
      <c r="C345" s="130"/>
      <c r="D345" s="130"/>
      <c r="E345" s="130"/>
    </row>
    <row r="346" ht="12.0" customHeight="1">
      <c r="B346" s="260"/>
      <c r="C346" s="130"/>
      <c r="D346" s="130"/>
      <c r="E346" s="130"/>
    </row>
    <row r="347" ht="12.0" customHeight="1">
      <c r="B347" s="260"/>
      <c r="C347" s="130"/>
      <c r="D347" s="130"/>
      <c r="E347" s="130"/>
    </row>
    <row r="348" ht="12.0" customHeight="1">
      <c r="B348" s="260"/>
      <c r="C348" s="130"/>
      <c r="D348" s="130"/>
      <c r="E348" s="130"/>
    </row>
    <row r="349" ht="12.0" customHeight="1">
      <c r="B349" s="260"/>
      <c r="C349" s="130"/>
      <c r="D349" s="130"/>
      <c r="E349" s="130"/>
    </row>
    <row r="350" ht="12.0" customHeight="1">
      <c r="B350" s="260"/>
      <c r="C350" s="130"/>
      <c r="D350" s="130"/>
      <c r="E350" s="130"/>
    </row>
    <row r="351" ht="12.0" customHeight="1">
      <c r="B351" s="260"/>
      <c r="C351" s="130"/>
      <c r="D351" s="130"/>
      <c r="E351" s="130"/>
    </row>
    <row r="352" ht="12.0" customHeight="1">
      <c r="B352" s="260"/>
      <c r="C352" s="130"/>
      <c r="D352" s="130"/>
      <c r="E352" s="130"/>
    </row>
    <row r="353" ht="12.0" customHeight="1">
      <c r="B353" s="260"/>
      <c r="C353" s="130"/>
      <c r="D353" s="130"/>
      <c r="E353" s="130"/>
    </row>
    <row r="354" ht="12.0" customHeight="1">
      <c r="B354" s="260"/>
      <c r="C354" s="130"/>
      <c r="D354" s="130"/>
      <c r="E354" s="130"/>
    </row>
    <row r="355" ht="12.0" customHeight="1">
      <c r="B355" s="260"/>
      <c r="C355" s="130"/>
      <c r="D355" s="130"/>
      <c r="E355" s="130"/>
    </row>
    <row r="356" ht="12.0" customHeight="1">
      <c r="B356" s="260"/>
      <c r="C356" s="130"/>
      <c r="D356" s="130"/>
      <c r="E356" s="130"/>
    </row>
    <row r="357" ht="12.0" customHeight="1">
      <c r="B357" s="260"/>
      <c r="C357" s="130"/>
      <c r="D357" s="130"/>
      <c r="E357" s="130"/>
    </row>
    <row r="358" ht="12.0" customHeight="1">
      <c r="B358" s="260"/>
      <c r="C358" s="130"/>
      <c r="D358" s="130"/>
      <c r="E358" s="130"/>
    </row>
    <row r="359" ht="12.0" customHeight="1">
      <c r="B359" s="260"/>
      <c r="C359" s="130"/>
      <c r="D359" s="130"/>
      <c r="E359" s="130"/>
    </row>
    <row r="360" ht="12.0" customHeight="1">
      <c r="B360" s="260"/>
      <c r="C360" s="130"/>
      <c r="D360" s="130"/>
      <c r="E360" s="130"/>
    </row>
    <row r="361" ht="12.0" customHeight="1">
      <c r="B361" s="260"/>
      <c r="C361" s="130"/>
      <c r="D361" s="130"/>
      <c r="E361" s="130"/>
    </row>
    <row r="362" ht="12.0" customHeight="1">
      <c r="B362" s="260"/>
      <c r="C362" s="130"/>
      <c r="D362" s="130"/>
      <c r="E362" s="130"/>
    </row>
    <row r="363" ht="12.0" customHeight="1">
      <c r="B363" s="260"/>
      <c r="C363" s="130"/>
      <c r="D363" s="130"/>
      <c r="E363" s="130"/>
    </row>
    <row r="364" ht="12.0" customHeight="1">
      <c r="B364" s="260"/>
      <c r="C364" s="130"/>
      <c r="D364" s="130"/>
      <c r="E364" s="130"/>
    </row>
    <row r="365" ht="12.0" customHeight="1">
      <c r="B365" s="260"/>
      <c r="C365" s="130"/>
      <c r="D365" s="130"/>
      <c r="E365" s="130"/>
    </row>
    <row r="366" ht="12.0" customHeight="1">
      <c r="B366" s="260"/>
      <c r="C366" s="130"/>
      <c r="D366" s="130"/>
      <c r="E366" s="130"/>
    </row>
    <row r="367" ht="12.0" customHeight="1">
      <c r="B367" s="260"/>
      <c r="C367" s="130"/>
      <c r="D367" s="130"/>
      <c r="E367" s="130"/>
    </row>
    <row r="368" ht="12.0" customHeight="1">
      <c r="B368" s="260"/>
      <c r="C368" s="130"/>
      <c r="D368" s="130"/>
      <c r="E368" s="130"/>
    </row>
    <row r="369" ht="12.0" customHeight="1">
      <c r="B369" s="260"/>
      <c r="C369" s="130"/>
      <c r="D369" s="130"/>
      <c r="E369" s="130"/>
    </row>
    <row r="370" ht="12.0" customHeight="1">
      <c r="B370" s="260"/>
      <c r="C370" s="130"/>
      <c r="D370" s="130"/>
      <c r="E370" s="130"/>
    </row>
    <row r="371" ht="12.0" customHeight="1">
      <c r="B371" s="260"/>
      <c r="C371" s="130"/>
      <c r="D371" s="130"/>
      <c r="E371" s="130"/>
    </row>
    <row r="372" ht="12.0" customHeight="1">
      <c r="B372" s="260"/>
      <c r="C372" s="130"/>
      <c r="D372" s="130"/>
      <c r="E372" s="130"/>
    </row>
    <row r="373" ht="12.0" customHeight="1">
      <c r="B373" s="260"/>
      <c r="C373" s="130"/>
      <c r="D373" s="130"/>
      <c r="E373" s="130"/>
    </row>
    <row r="374" ht="12.0" customHeight="1">
      <c r="B374" s="260"/>
      <c r="C374" s="130"/>
      <c r="D374" s="130"/>
      <c r="E374" s="130"/>
    </row>
    <row r="375" ht="12.0" customHeight="1">
      <c r="B375" s="260"/>
      <c r="C375" s="130"/>
      <c r="D375" s="130"/>
      <c r="E375" s="130"/>
    </row>
    <row r="376" ht="12.0" customHeight="1">
      <c r="B376" s="260"/>
      <c r="C376" s="130"/>
      <c r="D376" s="130"/>
      <c r="E376" s="130"/>
    </row>
    <row r="377" ht="12.0" customHeight="1">
      <c r="B377" s="260"/>
      <c r="C377" s="130"/>
      <c r="D377" s="130"/>
      <c r="E377" s="130"/>
    </row>
    <row r="378" ht="12.0" customHeight="1">
      <c r="B378" s="260"/>
      <c r="C378" s="130"/>
      <c r="D378" s="130"/>
      <c r="E378" s="130"/>
    </row>
    <row r="379" ht="12.0" customHeight="1">
      <c r="B379" s="260"/>
      <c r="C379" s="130"/>
      <c r="D379" s="130"/>
      <c r="E379" s="130"/>
    </row>
    <row r="380" ht="12.0" customHeight="1">
      <c r="B380" s="260"/>
      <c r="C380" s="130"/>
      <c r="D380" s="130"/>
      <c r="E380" s="130"/>
    </row>
    <row r="381" ht="12.0" customHeight="1">
      <c r="B381" s="260"/>
      <c r="C381" s="130"/>
      <c r="D381" s="130"/>
      <c r="E381" s="130"/>
    </row>
    <row r="382" ht="12.0" customHeight="1">
      <c r="B382" s="260"/>
      <c r="C382" s="130"/>
      <c r="D382" s="130"/>
      <c r="E382" s="130"/>
    </row>
    <row r="383" ht="12.0" customHeight="1">
      <c r="B383" s="260"/>
      <c r="C383" s="130"/>
      <c r="D383" s="130"/>
      <c r="E383" s="130"/>
    </row>
    <row r="384" ht="12.0" customHeight="1">
      <c r="B384" s="260"/>
      <c r="C384" s="130"/>
      <c r="D384" s="130"/>
      <c r="E384" s="130"/>
    </row>
    <row r="385" ht="12.0" customHeight="1">
      <c r="B385" s="260"/>
      <c r="C385" s="130"/>
      <c r="D385" s="130"/>
      <c r="E385" s="130"/>
    </row>
    <row r="386" ht="12.0" customHeight="1">
      <c r="B386" s="260"/>
      <c r="C386" s="130"/>
      <c r="D386" s="130"/>
      <c r="E386" s="130"/>
    </row>
    <row r="387" ht="12.0" customHeight="1">
      <c r="B387" s="260"/>
      <c r="C387" s="130"/>
      <c r="D387" s="130"/>
      <c r="E387" s="130"/>
    </row>
    <row r="388" ht="12.0" customHeight="1">
      <c r="B388" s="260"/>
      <c r="C388" s="130"/>
      <c r="D388" s="130"/>
      <c r="E388" s="130"/>
    </row>
    <row r="389" ht="12.0" customHeight="1">
      <c r="B389" s="260"/>
      <c r="C389" s="130"/>
      <c r="D389" s="130"/>
      <c r="E389" s="130"/>
    </row>
    <row r="390" ht="12.0" customHeight="1">
      <c r="B390" s="260"/>
      <c r="C390" s="130"/>
      <c r="D390" s="130"/>
      <c r="E390" s="130"/>
    </row>
    <row r="391" ht="12.0" customHeight="1">
      <c r="B391" s="260"/>
      <c r="C391" s="130"/>
      <c r="D391" s="130"/>
      <c r="E391" s="130"/>
    </row>
    <row r="392" ht="12.0" customHeight="1">
      <c r="B392" s="260"/>
      <c r="C392" s="130"/>
      <c r="D392" s="130"/>
      <c r="E392" s="130"/>
    </row>
    <row r="393" ht="12.0" customHeight="1">
      <c r="B393" s="260"/>
      <c r="C393" s="130"/>
      <c r="D393" s="130"/>
      <c r="E393" s="130"/>
    </row>
    <row r="394" ht="12.0" customHeight="1">
      <c r="B394" s="260"/>
      <c r="C394" s="130"/>
      <c r="D394" s="130"/>
      <c r="E394" s="130"/>
    </row>
    <row r="395" ht="12.0" customHeight="1">
      <c r="B395" s="260"/>
      <c r="C395" s="130"/>
      <c r="D395" s="130"/>
      <c r="E395" s="130"/>
    </row>
    <row r="396" ht="12.0" customHeight="1">
      <c r="B396" s="260"/>
      <c r="C396" s="130"/>
      <c r="D396" s="130"/>
      <c r="E396" s="130"/>
    </row>
    <row r="397" ht="12.0" customHeight="1">
      <c r="B397" s="260"/>
      <c r="C397" s="130"/>
      <c r="D397" s="130"/>
      <c r="E397" s="130"/>
    </row>
    <row r="398" ht="12.0" customHeight="1">
      <c r="B398" s="260"/>
      <c r="C398" s="130"/>
      <c r="D398" s="130"/>
      <c r="E398" s="130"/>
    </row>
    <row r="399" ht="12.0" customHeight="1">
      <c r="B399" s="260"/>
      <c r="C399" s="130"/>
      <c r="D399" s="130"/>
      <c r="E399" s="130"/>
    </row>
    <row r="400" ht="12.0" customHeight="1">
      <c r="B400" s="260"/>
      <c r="C400" s="130"/>
      <c r="D400" s="130"/>
      <c r="E400" s="130"/>
    </row>
    <row r="401" ht="12.0" customHeight="1">
      <c r="B401" s="260"/>
      <c r="C401" s="130"/>
      <c r="D401" s="130"/>
      <c r="E401" s="130"/>
    </row>
    <row r="402" ht="12.0" customHeight="1">
      <c r="B402" s="260"/>
      <c r="C402" s="130"/>
      <c r="D402" s="130"/>
      <c r="E402" s="130"/>
    </row>
    <row r="403" ht="12.0" customHeight="1">
      <c r="B403" s="260"/>
      <c r="C403" s="130"/>
      <c r="D403" s="130"/>
      <c r="E403" s="130"/>
    </row>
    <row r="404" ht="12.0" customHeight="1">
      <c r="B404" s="260"/>
      <c r="C404" s="130"/>
      <c r="D404" s="130"/>
      <c r="E404" s="130"/>
    </row>
    <row r="405" ht="12.0" customHeight="1">
      <c r="B405" s="260"/>
      <c r="C405" s="130"/>
      <c r="D405" s="130"/>
      <c r="E405" s="130"/>
    </row>
    <row r="406" ht="12.0" customHeight="1">
      <c r="B406" s="260"/>
      <c r="C406" s="130"/>
      <c r="D406" s="130"/>
      <c r="E406" s="130"/>
    </row>
    <row r="407" ht="12.0" customHeight="1">
      <c r="B407" s="260"/>
      <c r="C407" s="130"/>
      <c r="D407" s="130"/>
      <c r="E407" s="130"/>
    </row>
    <row r="408" ht="12.0" customHeight="1">
      <c r="B408" s="260"/>
      <c r="C408" s="130"/>
      <c r="D408" s="130"/>
      <c r="E408" s="130"/>
    </row>
    <row r="409" ht="12.0" customHeight="1">
      <c r="B409" s="260"/>
      <c r="C409" s="130"/>
      <c r="D409" s="130"/>
      <c r="E409" s="130"/>
    </row>
    <row r="410" ht="12.0" customHeight="1">
      <c r="B410" s="260"/>
      <c r="C410" s="130"/>
      <c r="D410" s="130"/>
      <c r="E410" s="130"/>
    </row>
    <row r="411" ht="12.0" customHeight="1">
      <c r="B411" s="260"/>
      <c r="C411" s="130"/>
      <c r="D411" s="130"/>
      <c r="E411" s="130"/>
    </row>
    <row r="412" ht="12.0" customHeight="1">
      <c r="B412" s="260"/>
      <c r="C412" s="130"/>
      <c r="D412" s="130"/>
      <c r="E412" s="130"/>
    </row>
    <row r="413" ht="12.0" customHeight="1">
      <c r="B413" s="260"/>
      <c r="C413" s="130"/>
      <c r="D413" s="130"/>
      <c r="E413" s="130"/>
    </row>
    <row r="414" ht="12.0" customHeight="1">
      <c r="B414" s="260"/>
      <c r="C414" s="130"/>
      <c r="D414" s="130"/>
      <c r="E414" s="130"/>
    </row>
    <row r="415" ht="12.0" customHeight="1">
      <c r="B415" s="260"/>
      <c r="C415" s="130"/>
      <c r="D415" s="130"/>
      <c r="E415" s="130"/>
    </row>
    <row r="416" ht="12.0" customHeight="1">
      <c r="B416" s="260"/>
      <c r="C416" s="130"/>
      <c r="D416" s="130"/>
      <c r="E416" s="130"/>
    </row>
    <row r="417" ht="12.0" customHeight="1">
      <c r="B417" s="260"/>
      <c r="C417" s="130"/>
      <c r="D417" s="130"/>
      <c r="E417" s="130"/>
    </row>
    <row r="418" ht="12.0" customHeight="1">
      <c r="B418" s="260"/>
      <c r="C418" s="130"/>
      <c r="D418" s="130"/>
      <c r="E418" s="130"/>
    </row>
    <row r="419" ht="12.0" customHeight="1">
      <c r="B419" s="260"/>
      <c r="C419" s="130"/>
      <c r="D419" s="130"/>
      <c r="E419" s="130"/>
    </row>
    <row r="420" ht="12.0" customHeight="1">
      <c r="B420" s="260"/>
      <c r="C420" s="130"/>
      <c r="D420" s="130"/>
      <c r="E420" s="130"/>
    </row>
    <row r="421" ht="12.0" customHeight="1">
      <c r="B421" s="260"/>
      <c r="C421" s="130"/>
      <c r="D421" s="130"/>
      <c r="E421" s="130"/>
    </row>
    <row r="422" ht="12.0" customHeight="1">
      <c r="B422" s="260"/>
      <c r="C422" s="130"/>
      <c r="D422" s="130"/>
      <c r="E422" s="130"/>
    </row>
    <row r="423" ht="12.0" customHeight="1">
      <c r="B423" s="260"/>
      <c r="C423" s="130"/>
      <c r="D423" s="130"/>
      <c r="E423" s="130"/>
    </row>
    <row r="424" ht="12.0" customHeight="1">
      <c r="B424" s="260"/>
      <c r="C424" s="130"/>
      <c r="D424" s="130"/>
      <c r="E424" s="130"/>
    </row>
    <row r="425" ht="12.0" customHeight="1">
      <c r="B425" s="260"/>
      <c r="C425" s="130"/>
      <c r="D425" s="130"/>
      <c r="E425" s="130"/>
    </row>
    <row r="426" ht="12.0" customHeight="1">
      <c r="B426" s="260"/>
      <c r="C426" s="130"/>
      <c r="D426" s="130"/>
      <c r="E426" s="130"/>
    </row>
    <row r="427" ht="12.0" customHeight="1">
      <c r="B427" s="260"/>
      <c r="C427" s="130"/>
      <c r="D427" s="130"/>
      <c r="E427" s="130"/>
    </row>
    <row r="428" ht="12.0" customHeight="1">
      <c r="B428" s="260"/>
      <c r="C428" s="130"/>
      <c r="D428" s="130"/>
      <c r="E428" s="130"/>
    </row>
    <row r="429" ht="12.0" customHeight="1">
      <c r="B429" s="260"/>
      <c r="C429" s="130"/>
      <c r="D429" s="130"/>
      <c r="E429" s="130"/>
    </row>
    <row r="430" ht="12.0" customHeight="1">
      <c r="B430" s="260"/>
      <c r="C430" s="130"/>
      <c r="D430" s="130"/>
      <c r="E430" s="130"/>
    </row>
    <row r="431" ht="12.0" customHeight="1">
      <c r="B431" s="260"/>
      <c r="C431" s="130"/>
      <c r="D431" s="130"/>
      <c r="E431" s="130"/>
    </row>
    <row r="432" ht="12.0" customHeight="1">
      <c r="B432" s="260"/>
      <c r="C432" s="130"/>
      <c r="D432" s="130"/>
      <c r="E432" s="130"/>
    </row>
    <row r="433" ht="12.0" customHeight="1">
      <c r="B433" s="260"/>
      <c r="C433" s="130"/>
      <c r="D433" s="130"/>
      <c r="E433" s="130"/>
    </row>
    <row r="434" ht="12.0" customHeight="1">
      <c r="B434" s="260"/>
      <c r="C434" s="130"/>
      <c r="D434" s="130"/>
      <c r="E434" s="130"/>
    </row>
    <row r="435" ht="12.0" customHeight="1">
      <c r="B435" s="260"/>
      <c r="C435" s="130"/>
      <c r="D435" s="130"/>
      <c r="E435" s="130"/>
    </row>
    <row r="436" ht="12.0" customHeight="1">
      <c r="B436" s="260"/>
      <c r="C436" s="130"/>
      <c r="D436" s="130"/>
      <c r="E436" s="130"/>
    </row>
    <row r="437" ht="12.0" customHeight="1">
      <c r="B437" s="260"/>
      <c r="C437" s="130"/>
      <c r="D437" s="130"/>
      <c r="E437" s="130"/>
    </row>
    <row r="438" ht="12.0" customHeight="1">
      <c r="B438" s="260"/>
      <c r="C438" s="130"/>
      <c r="D438" s="130"/>
      <c r="E438" s="130"/>
    </row>
    <row r="439" ht="12.0" customHeight="1">
      <c r="B439" s="260"/>
      <c r="C439" s="130"/>
      <c r="D439" s="130"/>
      <c r="E439" s="130"/>
    </row>
    <row r="440" ht="12.0" customHeight="1">
      <c r="B440" s="260"/>
      <c r="C440" s="130"/>
      <c r="D440" s="130"/>
      <c r="E440" s="130"/>
    </row>
    <row r="441" ht="12.0" customHeight="1">
      <c r="B441" s="260"/>
      <c r="C441" s="130"/>
      <c r="D441" s="130"/>
      <c r="E441" s="130"/>
    </row>
    <row r="442" ht="12.0" customHeight="1">
      <c r="B442" s="260"/>
      <c r="C442" s="130"/>
      <c r="D442" s="130"/>
      <c r="E442" s="130"/>
    </row>
    <row r="443" ht="12.0" customHeight="1">
      <c r="B443" s="260"/>
      <c r="C443" s="130"/>
      <c r="D443" s="130"/>
      <c r="E443" s="130"/>
    </row>
    <row r="444" ht="12.0" customHeight="1">
      <c r="B444" s="260"/>
      <c r="C444" s="130"/>
      <c r="D444" s="130"/>
      <c r="E444" s="130"/>
    </row>
    <row r="445" ht="12.0" customHeight="1">
      <c r="B445" s="260"/>
      <c r="C445" s="130"/>
      <c r="D445" s="130"/>
      <c r="E445" s="130"/>
    </row>
    <row r="446" ht="12.0" customHeight="1">
      <c r="B446" s="260"/>
      <c r="C446" s="130"/>
      <c r="D446" s="130"/>
      <c r="E446" s="130"/>
    </row>
    <row r="447" ht="12.0" customHeight="1">
      <c r="B447" s="260"/>
      <c r="C447" s="130"/>
      <c r="D447" s="130"/>
      <c r="E447" s="130"/>
    </row>
    <row r="448" ht="12.0" customHeight="1">
      <c r="B448" s="260"/>
      <c r="C448" s="130"/>
      <c r="D448" s="130"/>
      <c r="E448" s="130"/>
    </row>
    <row r="449" ht="12.0" customHeight="1">
      <c r="B449" s="260"/>
      <c r="C449" s="130"/>
      <c r="D449" s="130"/>
      <c r="E449" s="130"/>
    </row>
    <row r="450" ht="12.0" customHeight="1">
      <c r="B450" s="260"/>
      <c r="C450" s="130"/>
      <c r="D450" s="130"/>
      <c r="E450" s="130"/>
    </row>
    <row r="451" ht="12.0" customHeight="1">
      <c r="B451" s="260"/>
      <c r="C451" s="130"/>
      <c r="D451" s="130"/>
      <c r="E451" s="130"/>
    </row>
    <row r="452" ht="12.0" customHeight="1">
      <c r="B452" s="260"/>
      <c r="C452" s="130"/>
      <c r="D452" s="130"/>
      <c r="E452" s="130"/>
    </row>
    <row r="453" ht="12.0" customHeight="1">
      <c r="B453" s="260"/>
      <c r="C453" s="130"/>
      <c r="D453" s="130"/>
      <c r="E453" s="130"/>
    </row>
    <row r="454" ht="12.0" customHeight="1">
      <c r="B454" s="260"/>
      <c r="C454" s="130"/>
      <c r="D454" s="130"/>
      <c r="E454" s="130"/>
    </row>
    <row r="455" ht="12.0" customHeight="1">
      <c r="B455" s="260"/>
      <c r="C455" s="130"/>
      <c r="D455" s="130"/>
      <c r="E455" s="130"/>
    </row>
    <row r="456" ht="12.0" customHeight="1">
      <c r="B456" s="260"/>
      <c r="C456" s="130"/>
      <c r="D456" s="130"/>
      <c r="E456" s="130"/>
    </row>
    <row r="457" ht="12.0" customHeight="1">
      <c r="B457" s="260"/>
      <c r="C457" s="130"/>
      <c r="D457" s="130"/>
      <c r="E457" s="130"/>
    </row>
    <row r="458" ht="12.0" customHeight="1">
      <c r="B458" s="260"/>
      <c r="C458" s="130"/>
      <c r="D458" s="130"/>
      <c r="E458" s="130"/>
    </row>
    <row r="459" ht="12.0" customHeight="1">
      <c r="B459" s="260"/>
      <c r="C459" s="130"/>
      <c r="D459" s="130"/>
      <c r="E459" s="130"/>
    </row>
    <row r="460" ht="12.0" customHeight="1">
      <c r="B460" s="260"/>
      <c r="C460" s="130"/>
      <c r="D460" s="130"/>
      <c r="E460" s="130"/>
    </row>
    <row r="461" ht="12.0" customHeight="1">
      <c r="B461" s="260"/>
      <c r="C461" s="130"/>
      <c r="D461" s="130"/>
      <c r="E461" s="130"/>
    </row>
    <row r="462" ht="12.0" customHeight="1">
      <c r="B462" s="260"/>
      <c r="C462" s="130"/>
      <c r="D462" s="130"/>
      <c r="E462" s="130"/>
    </row>
    <row r="463" ht="12.0" customHeight="1">
      <c r="B463" s="260"/>
      <c r="C463" s="130"/>
      <c r="D463" s="130"/>
      <c r="E463" s="130"/>
    </row>
    <row r="464" ht="12.0" customHeight="1">
      <c r="B464" s="260"/>
      <c r="C464" s="130"/>
      <c r="D464" s="130"/>
      <c r="E464" s="130"/>
    </row>
    <row r="465" ht="12.0" customHeight="1">
      <c r="B465" s="260"/>
      <c r="C465" s="130"/>
      <c r="D465" s="130"/>
      <c r="E465" s="130"/>
    </row>
    <row r="466" ht="12.0" customHeight="1">
      <c r="B466" s="260"/>
      <c r="C466" s="130"/>
      <c r="D466" s="130"/>
      <c r="E466" s="130"/>
    </row>
    <row r="467" ht="12.0" customHeight="1">
      <c r="B467" s="260"/>
      <c r="C467" s="130"/>
      <c r="D467" s="130"/>
      <c r="E467" s="130"/>
    </row>
    <row r="468" ht="12.0" customHeight="1">
      <c r="B468" s="260"/>
      <c r="C468" s="130"/>
      <c r="D468" s="130"/>
      <c r="E468" s="130"/>
    </row>
    <row r="469" ht="12.0" customHeight="1">
      <c r="B469" s="260"/>
      <c r="C469" s="130"/>
      <c r="D469" s="130"/>
      <c r="E469" s="130"/>
    </row>
    <row r="470" ht="12.0" customHeight="1">
      <c r="B470" s="260"/>
      <c r="C470" s="130"/>
      <c r="D470" s="130"/>
      <c r="E470" s="130"/>
    </row>
    <row r="471" ht="12.0" customHeight="1">
      <c r="B471" s="260"/>
      <c r="C471" s="130"/>
      <c r="D471" s="130"/>
      <c r="E471" s="130"/>
    </row>
    <row r="472" ht="12.0" customHeight="1">
      <c r="B472" s="260"/>
      <c r="C472" s="130"/>
      <c r="D472" s="130"/>
      <c r="E472" s="130"/>
    </row>
    <row r="473" ht="12.0" customHeight="1">
      <c r="B473" s="260"/>
      <c r="C473" s="130"/>
      <c r="D473" s="130"/>
      <c r="E473" s="130"/>
    </row>
    <row r="474" ht="12.0" customHeight="1">
      <c r="B474" s="260"/>
      <c r="C474" s="130"/>
      <c r="D474" s="130"/>
      <c r="E474" s="130"/>
    </row>
    <row r="475" ht="12.0" customHeight="1">
      <c r="B475" s="260"/>
      <c r="C475" s="130"/>
      <c r="D475" s="130"/>
      <c r="E475" s="130"/>
    </row>
    <row r="476" ht="12.0" customHeight="1">
      <c r="B476" s="260"/>
      <c r="C476" s="130"/>
      <c r="D476" s="130"/>
      <c r="E476" s="130"/>
    </row>
    <row r="477" ht="12.0" customHeight="1">
      <c r="B477" s="260"/>
      <c r="C477" s="130"/>
      <c r="D477" s="130"/>
      <c r="E477" s="130"/>
    </row>
    <row r="478" ht="12.0" customHeight="1">
      <c r="B478" s="260"/>
      <c r="C478" s="130"/>
      <c r="D478" s="130"/>
      <c r="E478" s="130"/>
    </row>
    <row r="479" ht="12.0" customHeight="1">
      <c r="B479" s="260"/>
      <c r="C479" s="130"/>
      <c r="D479" s="130"/>
      <c r="E479" s="130"/>
    </row>
    <row r="480" ht="12.0" customHeight="1">
      <c r="B480" s="260"/>
      <c r="C480" s="130"/>
      <c r="D480" s="130"/>
      <c r="E480" s="130"/>
    </row>
    <row r="481" ht="12.0" customHeight="1">
      <c r="B481" s="260"/>
      <c r="C481" s="130"/>
      <c r="D481" s="130"/>
      <c r="E481" s="130"/>
    </row>
    <row r="482" ht="12.0" customHeight="1">
      <c r="B482" s="260"/>
      <c r="C482" s="130"/>
      <c r="D482" s="130"/>
      <c r="E482" s="130"/>
    </row>
    <row r="483" ht="12.0" customHeight="1">
      <c r="B483" s="260"/>
      <c r="C483" s="130"/>
      <c r="D483" s="130"/>
      <c r="E483" s="130"/>
    </row>
    <row r="484" ht="12.0" customHeight="1">
      <c r="B484" s="260"/>
      <c r="C484" s="130"/>
      <c r="D484" s="130"/>
      <c r="E484" s="130"/>
    </row>
    <row r="485" ht="12.0" customHeight="1">
      <c r="B485" s="260"/>
      <c r="C485" s="130"/>
      <c r="D485" s="130"/>
      <c r="E485" s="130"/>
    </row>
    <row r="486" ht="12.0" customHeight="1">
      <c r="B486" s="260"/>
      <c r="C486" s="130"/>
      <c r="D486" s="130"/>
      <c r="E486" s="130"/>
    </row>
    <row r="487" ht="12.0" customHeight="1">
      <c r="B487" s="260"/>
      <c r="C487" s="130"/>
      <c r="D487" s="130"/>
      <c r="E487" s="130"/>
    </row>
    <row r="488" ht="12.0" customHeight="1">
      <c r="B488" s="260"/>
      <c r="C488" s="130"/>
      <c r="D488" s="130"/>
      <c r="E488" s="130"/>
    </row>
    <row r="489" ht="12.0" customHeight="1">
      <c r="B489" s="260"/>
      <c r="C489" s="130"/>
      <c r="D489" s="130"/>
      <c r="E489" s="130"/>
    </row>
    <row r="490" ht="12.0" customHeight="1">
      <c r="B490" s="260"/>
      <c r="C490" s="130"/>
      <c r="D490" s="130"/>
      <c r="E490" s="130"/>
    </row>
    <row r="491" ht="12.0" customHeight="1">
      <c r="B491" s="260"/>
      <c r="C491" s="130"/>
      <c r="D491" s="130"/>
      <c r="E491" s="130"/>
    </row>
    <row r="492" ht="12.0" customHeight="1">
      <c r="B492" s="260"/>
      <c r="C492" s="130"/>
      <c r="D492" s="130"/>
      <c r="E492" s="130"/>
    </row>
    <row r="493" ht="12.0" customHeight="1">
      <c r="B493" s="260"/>
      <c r="C493" s="130"/>
      <c r="D493" s="130"/>
      <c r="E493" s="130"/>
    </row>
    <row r="494" ht="12.0" customHeight="1">
      <c r="B494" s="260"/>
      <c r="C494" s="130"/>
      <c r="D494" s="130"/>
      <c r="E494" s="130"/>
    </row>
    <row r="495" ht="12.0" customHeight="1">
      <c r="B495" s="260"/>
      <c r="C495" s="130"/>
      <c r="D495" s="130"/>
      <c r="E495" s="130"/>
    </row>
    <row r="496" ht="12.0" customHeight="1">
      <c r="B496" s="260"/>
      <c r="C496" s="130"/>
      <c r="D496" s="130"/>
      <c r="E496" s="130"/>
    </row>
    <row r="497" ht="12.0" customHeight="1">
      <c r="B497" s="260"/>
      <c r="C497" s="130"/>
      <c r="D497" s="130"/>
      <c r="E497" s="130"/>
    </row>
    <row r="498" ht="12.0" customHeight="1">
      <c r="B498" s="260"/>
      <c r="C498" s="130"/>
      <c r="D498" s="130"/>
      <c r="E498" s="130"/>
    </row>
    <row r="499" ht="12.0" customHeight="1">
      <c r="B499" s="260"/>
      <c r="C499" s="130"/>
      <c r="D499" s="130"/>
      <c r="E499" s="130"/>
    </row>
    <row r="500" ht="12.0" customHeight="1">
      <c r="B500" s="260"/>
      <c r="C500" s="130"/>
      <c r="D500" s="130"/>
      <c r="E500" s="130"/>
    </row>
    <row r="501" ht="12.0" customHeight="1">
      <c r="B501" s="260"/>
      <c r="C501" s="130"/>
      <c r="D501" s="130"/>
      <c r="E501" s="130"/>
    </row>
    <row r="502" ht="12.0" customHeight="1">
      <c r="B502" s="260"/>
      <c r="C502" s="130"/>
      <c r="D502" s="130"/>
      <c r="E502" s="130"/>
    </row>
    <row r="503" ht="12.0" customHeight="1">
      <c r="B503" s="260"/>
      <c r="C503" s="130"/>
      <c r="D503" s="130"/>
      <c r="E503" s="130"/>
    </row>
    <row r="504" ht="12.0" customHeight="1">
      <c r="B504" s="260"/>
      <c r="C504" s="130"/>
      <c r="D504" s="130"/>
      <c r="E504" s="130"/>
    </row>
    <row r="505" ht="12.0" customHeight="1">
      <c r="B505" s="260"/>
      <c r="C505" s="130"/>
      <c r="D505" s="130"/>
      <c r="E505" s="130"/>
    </row>
    <row r="506" ht="12.0" customHeight="1">
      <c r="B506" s="260"/>
      <c r="C506" s="130"/>
      <c r="D506" s="130"/>
      <c r="E506" s="130"/>
    </row>
    <row r="507" ht="12.0" customHeight="1">
      <c r="B507" s="260"/>
      <c r="C507" s="130"/>
      <c r="D507" s="130"/>
      <c r="E507" s="130"/>
    </row>
    <row r="508" ht="12.0" customHeight="1">
      <c r="B508" s="260"/>
      <c r="C508" s="130"/>
      <c r="D508" s="130"/>
      <c r="E508" s="130"/>
    </row>
    <row r="509" ht="12.0" customHeight="1">
      <c r="B509" s="260"/>
      <c r="C509" s="130"/>
      <c r="D509" s="130"/>
      <c r="E509" s="130"/>
    </row>
    <row r="510" ht="12.0" customHeight="1">
      <c r="B510" s="260"/>
      <c r="C510" s="130"/>
      <c r="D510" s="130"/>
      <c r="E510" s="130"/>
    </row>
    <row r="511" ht="12.0" customHeight="1">
      <c r="B511" s="260"/>
      <c r="C511" s="130"/>
      <c r="D511" s="130"/>
      <c r="E511" s="130"/>
    </row>
    <row r="512" ht="12.0" customHeight="1">
      <c r="B512" s="260"/>
      <c r="C512" s="130"/>
      <c r="D512" s="130"/>
      <c r="E512" s="130"/>
    </row>
    <row r="513" ht="12.0" customHeight="1">
      <c r="B513" s="260"/>
      <c r="C513" s="130"/>
      <c r="D513" s="130"/>
      <c r="E513" s="130"/>
    </row>
    <row r="514" ht="12.0" customHeight="1">
      <c r="B514" s="260"/>
      <c r="C514" s="130"/>
      <c r="D514" s="130"/>
      <c r="E514" s="130"/>
    </row>
    <row r="515" ht="12.0" customHeight="1">
      <c r="B515" s="260"/>
      <c r="C515" s="130"/>
      <c r="D515" s="130"/>
      <c r="E515" s="130"/>
    </row>
    <row r="516" ht="12.0" customHeight="1">
      <c r="B516" s="260"/>
      <c r="C516" s="130"/>
      <c r="D516" s="130"/>
      <c r="E516" s="130"/>
    </row>
    <row r="517" ht="12.0" customHeight="1">
      <c r="B517" s="260"/>
      <c r="C517" s="130"/>
      <c r="D517" s="130"/>
      <c r="E517" s="130"/>
    </row>
    <row r="518" ht="12.0" customHeight="1">
      <c r="B518" s="260"/>
      <c r="C518" s="130"/>
      <c r="D518" s="130"/>
      <c r="E518" s="130"/>
    </row>
    <row r="519" ht="12.0" customHeight="1">
      <c r="B519" s="260"/>
      <c r="C519" s="130"/>
      <c r="D519" s="130"/>
      <c r="E519" s="130"/>
    </row>
    <row r="520" ht="12.0" customHeight="1">
      <c r="B520" s="260"/>
      <c r="C520" s="130"/>
      <c r="D520" s="130"/>
      <c r="E520" s="130"/>
    </row>
    <row r="521" ht="12.0" customHeight="1">
      <c r="B521" s="260"/>
      <c r="C521" s="130"/>
      <c r="D521" s="130"/>
      <c r="E521" s="130"/>
    </row>
    <row r="522" ht="12.0" customHeight="1">
      <c r="B522" s="260"/>
      <c r="C522" s="130"/>
      <c r="D522" s="130"/>
      <c r="E522" s="130"/>
    </row>
    <row r="523" ht="12.0" customHeight="1">
      <c r="B523" s="260"/>
      <c r="C523" s="130"/>
      <c r="D523" s="130"/>
      <c r="E523" s="130"/>
    </row>
    <row r="524" ht="12.0" customHeight="1">
      <c r="B524" s="260"/>
      <c r="C524" s="130"/>
      <c r="D524" s="130"/>
      <c r="E524" s="130"/>
    </row>
    <row r="525" ht="12.0" customHeight="1">
      <c r="B525" s="260"/>
      <c r="C525" s="130"/>
      <c r="D525" s="130"/>
      <c r="E525" s="130"/>
    </row>
    <row r="526" ht="12.0" customHeight="1">
      <c r="B526" s="260"/>
      <c r="C526" s="130"/>
      <c r="D526" s="130"/>
      <c r="E526" s="130"/>
    </row>
    <row r="527" ht="12.0" customHeight="1">
      <c r="B527" s="260"/>
      <c r="C527" s="130"/>
      <c r="D527" s="130"/>
      <c r="E527" s="130"/>
    </row>
    <row r="528" ht="12.0" customHeight="1">
      <c r="B528" s="260"/>
      <c r="C528" s="130"/>
      <c r="D528" s="130"/>
      <c r="E528" s="130"/>
    </row>
    <row r="529" ht="12.0" customHeight="1">
      <c r="B529" s="260"/>
      <c r="C529" s="130"/>
      <c r="D529" s="130"/>
      <c r="E529" s="130"/>
    </row>
    <row r="530" ht="12.0" customHeight="1">
      <c r="B530" s="260"/>
      <c r="C530" s="130"/>
      <c r="D530" s="130"/>
      <c r="E530" s="130"/>
    </row>
    <row r="531" ht="12.0" customHeight="1">
      <c r="B531" s="260"/>
      <c r="C531" s="130"/>
      <c r="D531" s="130"/>
      <c r="E531" s="130"/>
    </row>
    <row r="532" ht="12.0" customHeight="1">
      <c r="B532" s="260"/>
      <c r="C532" s="130"/>
      <c r="D532" s="130"/>
      <c r="E532" s="130"/>
    </row>
    <row r="533" ht="12.0" customHeight="1">
      <c r="B533" s="260"/>
      <c r="C533" s="130"/>
      <c r="D533" s="130"/>
      <c r="E533" s="130"/>
    </row>
    <row r="534" ht="12.0" customHeight="1">
      <c r="B534" s="260"/>
      <c r="C534" s="130"/>
      <c r="D534" s="130"/>
      <c r="E534" s="130"/>
    </row>
    <row r="535" ht="12.0" customHeight="1">
      <c r="B535" s="260"/>
      <c r="C535" s="130"/>
      <c r="D535" s="130"/>
      <c r="E535" s="130"/>
    </row>
    <row r="536" ht="12.0" customHeight="1">
      <c r="B536" s="260"/>
      <c r="C536" s="130"/>
      <c r="D536" s="130"/>
      <c r="E536" s="130"/>
    </row>
    <row r="537" ht="12.0" customHeight="1">
      <c r="B537" s="260"/>
      <c r="C537" s="130"/>
      <c r="D537" s="130"/>
      <c r="E537" s="130"/>
    </row>
    <row r="538" ht="12.0" customHeight="1">
      <c r="B538" s="260"/>
      <c r="C538" s="130"/>
      <c r="D538" s="130"/>
      <c r="E538" s="130"/>
    </row>
    <row r="539" ht="12.0" customHeight="1">
      <c r="B539" s="260"/>
      <c r="C539" s="130"/>
      <c r="D539" s="130"/>
      <c r="E539" s="130"/>
    </row>
    <row r="540" ht="12.0" customHeight="1">
      <c r="B540" s="260"/>
      <c r="C540" s="130"/>
      <c r="D540" s="130"/>
      <c r="E540" s="130"/>
    </row>
    <row r="541" ht="12.0" customHeight="1">
      <c r="B541" s="260"/>
      <c r="C541" s="130"/>
      <c r="D541" s="130"/>
      <c r="E541" s="130"/>
    </row>
    <row r="542" ht="12.0" customHeight="1">
      <c r="B542" s="260"/>
      <c r="C542" s="130"/>
      <c r="D542" s="130"/>
      <c r="E542" s="130"/>
    </row>
    <row r="543" ht="12.0" customHeight="1">
      <c r="B543" s="260"/>
      <c r="C543" s="130"/>
      <c r="D543" s="130"/>
      <c r="E543" s="130"/>
    </row>
    <row r="544" ht="12.0" customHeight="1">
      <c r="B544" s="260"/>
      <c r="C544" s="130"/>
      <c r="D544" s="130"/>
      <c r="E544" s="130"/>
    </row>
    <row r="545" ht="12.0" customHeight="1">
      <c r="B545" s="260"/>
      <c r="C545" s="130"/>
      <c r="D545" s="130"/>
      <c r="E545" s="130"/>
    </row>
    <row r="546" ht="12.0" customHeight="1">
      <c r="B546" s="260"/>
      <c r="C546" s="130"/>
      <c r="D546" s="130"/>
      <c r="E546" s="130"/>
    </row>
    <row r="547" ht="12.0" customHeight="1">
      <c r="B547" s="260"/>
      <c r="C547" s="130"/>
      <c r="D547" s="130"/>
      <c r="E547" s="130"/>
    </row>
    <row r="548" ht="12.0" customHeight="1">
      <c r="B548" s="260"/>
      <c r="C548" s="130"/>
      <c r="D548" s="130"/>
      <c r="E548" s="130"/>
    </row>
    <row r="549" ht="12.0" customHeight="1">
      <c r="B549" s="260"/>
      <c r="C549" s="130"/>
      <c r="D549" s="130"/>
      <c r="E549" s="130"/>
    </row>
    <row r="550" ht="12.0" customHeight="1">
      <c r="B550" s="260"/>
      <c r="C550" s="130"/>
      <c r="D550" s="130"/>
      <c r="E550" s="130"/>
    </row>
    <row r="551" ht="12.0" customHeight="1">
      <c r="B551" s="260"/>
      <c r="C551" s="130"/>
      <c r="D551" s="130"/>
      <c r="E551" s="130"/>
    </row>
    <row r="552" ht="12.0" customHeight="1">
      <c r="B552" s="260"/>
      <c r="C552" s="130"/>
      <c r="D552" s="130"/>
      <c r="E552" s="130"/>
    </row>
    <row r="553" ht="12.0" customHeight="1">
      <c r="B553" s="260"/>
      <c r="C553" s="130"/>
      <c r="D553" s="130"/>
      <c r="E553" s="130"/>
    </row>
    <row r="554" ht="12.0" customHeight="1">
      <c r="B554" s="260"/>
      <c r="C554" s="130"/>
      <c r="D554" s="130"/>
      <c r="E554" s="130"/>
    </row>
    <row r="555" ht="12.0" customHeight="1">
      <c r="B555" s="260"/>
      <c r="C555" s="130"/>
      <c r="D555" s="130"/>
      <c r="E555" s="130"/>
    </row>
    <row r="556" ht="12.0" customHeight="1">
      <c r="B556" s="260"/>
      <c r="C556" s="130"/>
      <c r="D556" s="130"/>
      <c r="E556" s="130"/>
    </row>
    <row r="557" ht="12.0" customHeight="1">
      <c r="B557" s="260"/>
      <c r="C557" s="130"/>
      <c r="D557" s="130"/>
      <c r="E557" s="130"/>
    </row>
    <row r="558" ht="12.0" customHeight="1">
      <c r="B558" s="260"/>
      <c r="C558" s="130"/>
      <c r="D558" s="130"/>
      <c r="E558" s="130"/>
    </row>
    <row r="559" ht="12.0" customHeight="1">
      <c r="B559" s="260"/>
      <c r="C559" s="130"/>
      <c r="D559" s="130"/>
      <c r="E559" s="130"/>
    </row>
    <row r="560" ht="12.0" customHeight="1">
      <c r="B560" s="260"/>
      <c r="C560" s="130"/>
      <c r="D560" s="130"/>
      <c r="E560" s="130"/>
    </row>
    <row r="561" ht="12.0" customHeight="1">
      <c r="B561" s="260"/>
      <c r="C561" s="130"/>
      <c r="D561" s="130"/>
      <c r="E561" s="130"/>
    </row>
    <row r="562" ht="12.0" customHeight="1">
      <c r="B562" s="260"/>
      <c r="C562" s="130"/>
      <c r="D562" s="130"/>
      <c r="E562" s="130"/>
    </row>
    <row r="563" ht="12.0" customHeight="1">
      <c r="B563" s="260"/>
      <c r="C563" s="130"/>
      <c r="D563" s="130"/>
      <c r="E563" s="130"/>
    </row>
    <row r="564" ht="12.0" customHeight="1">
      <c r="B564" s="260"/>
      <c r="C564" s="130"/>
      <c r="D564" s="130"/>
      <c r="E564" s="130"/>
    </row>
    <row r="565" ht="12.0" customHeight="1">
      <c r="B565" s="260"/>
      <c r="C565" s="130"/>
      <c r="D565" s="130"/>
      <c r="E565" s="130"/>
    </row>
    <row r="566" ht="12.0" customHeight="1">
      <c r="B566" s="260"/>
      <c r="C566" s="130"/>
      <c r="D566" s="130"/>
      <c r="E566" s="130"/>
    </row>
    <row r="567" ht="12.0" customHeight="1">
      <c r="B567" s="260"/>
      <c r="C567" s="130"/>
      <c r="D567" s="130"/>
      <c r="E567" s="130"/>
    </row>
    <row r="568" ht="12.0" customHeight="1">
      <c r="B568" s="260"/>
      <c r="C568" s="130"/>
      <c r="D568" s="130"/>
      <c r="E568" s="130"/>
    </row>
    <row r="569" ht="12.0" customHeight="1">
      <c r="B569" s="260"/>
      <c r="C569" s="130"/>
      <c r="D569" s="130"/>
      <c r="E569" s="130"/>
    </row>
    <row r="570" ht="12.0" customHeight="1">
      <c r="B570" s="260"/>
      <c r="C570" s="130"/>
      <c r="D570" s="130"/>
      <c r="E570" s="130"/>
    </row>
    <row r="571" ht="12.0" customHeight="1">
      <c r="B571" s="260"/>
      <c r="C571" s="130"/>
      <c r="D571" s="130"/>
      <c r="E571" s="130"/>
    </row>
    <row r="572" ht="12.0" customHeight="1">
      <c r="B572" s="260"/>
      <c r="C572" s="130"/>
      <c r="D572" s="130"/>
      <c r="E572" s="130"/>
    </row>
    <row r="573" ht="12.0" customHeight="1">
      <c r="B573" s="260"/>
      <c r="C573" s="130"/>
      <c r="D573" s="130"/>
      <c r="E573" s="130"/>
    </row>
    <row r="574" ht="12.0" customHeight="1">
      <c r="B574" s="260"/>
      <c r="C574" s="130"/>
      <c r="D574" s="130"/>
      <c r="E574" s="130"/>
    </row>
    <row r="575" ht="12.0" customHeight="1">
      <c r="B575" s="260"/>
      <c r="C575" s="130"/>
      <c r="D575" s="130"/>
      <c r="E575" s="130"/>
    </row>
    <row r="576" ht="12.0" customHeight="1">
      <c r="B576" s="260"/>
      <c r="C576" s="130"/>
      <c r="D576" s="130"/>
      <c r="E576" s="130"/>
    </row>
    <row r="577" ht="12.0" customHeight="1">
      <c r="B577" s="260"/>
      <c r="C577" s="130"/>
      <c r="D577" s="130"/>
      <c r="E577" s="130"/>
    </row>
    <row r="578" ht="12.0" customHeight="1">
      <c r="B578" s="260"/>
      <c r="C578" s="130"/>
      <c r="D578" s="130"/>
      <c r="E578" s="130"/>
    </row>
    <row r="579" ht="12.0" customHeight="1">
      <c r="B579" s="260"/>
      <c r="C579" s="130"/>
      <c r="D579" s="130"/>
      <c r="E579" s="130"/>
    </row>
    <row r="580" ht="12.0" customHeight="1">
      <c r="B580" s="260"/>
      <c r="C580" s="130"/>
      <c r="D580" s="130"/>
      <c r="E580" s="130"/>
    </row>
    <row r="581" ht="12.0" customHeight="1">
      <c r="B581" s="260"/>
      <c r="C581" s="130"/>
      <c r="D581" s="130"/>
      <c r="E581" s="130"/>
    </row>
    <row r="582" ht="12.0" customHeight="1">
      <c r="B582" s="260"/>
      <c r="C582" s="130"/>
      <c r="D582" s="130"/>
      <c r="E582" s="130"/>
    </row>
    <row r="583" ht="12.0" customHeight="1">
      <c r="B583" s="260"/>
      <c r="C583" s="130"/>
      <c r="D583" s="130"/>
      <c r="E583" s="130"/>
    </row>
    <row r="584" ht="12.0" customHeight="1">
      <c r="B584" s="260"/>
      <c r="C584" s="130"/>
      <c r="D584" s="130"/>
      <c r="E584" s="130"/>
    </row>
    <row r="585" ht="12.0" customHeight="1">
      <c r="B585" s="260"/>
      <c r="C585" s="130"/>
      <c r="D585" s="130"/>
      <c r="E585" s="130"/>
    </row>
    <row r="586" ht="12.0" customHeight="1">
      <c r="B586" s="260"/>
      <c r="C586" s="130"/>
      <c r="D586" s="130"/>
      <c r="E586" s="130"/>
    </row>
    <row r="587" ht="12.0" customHeight="1">
      <c r="B587" s="260"/>
      <c r="C587" s="130"/>
      <c r="D587" s="130"/>
      <c r="E587" s="130"/>
    </row>
    <row r="588" ht="12.0" customHeight="1">
      <c r="B588" s="260"/>
      <c r="C588" s="130"/>
      <c r="D588" s="130"/>
      <c r="E588" s="130"/>
    </row>
    <row r="589" ht="12.0" customHeight="1">
      <c r="B589" s="260"/>
      <c r="C589" s="130"/>
      <c r="D589" s="130"/>
      <c r="E589" s="130"/>
    </row>
    <row r="590" ht="12.0" customHeight="1">
      <c r="B590" s="260"/>
      <c r="C590" s="130"/>
      <c r="D590" s="130"/>
      <c r="E590" s="130"/>
    </row>
    <row r="591" ht="12.0" customHeight="1">
      <c r="B591" s="260"/>
      <c r="C591" s="130"/>
      <c r="D591" s="130"/>
      <c r="E591" s="130"/>
    </row>
    <row r="592" ht="12.0" customHeight="1">
      <c r="B592" s="260"/>
      <c r="C592" s="130"/>
      <c r="D592" s="130"/>
      <c r="E592" s="130"/>
    </row>
    <row r="593" ht="12.0" customHeight="1">
      <c r="B593" s="260"/>
      <c r="C593" s="130"/>
      <c r="D593" s="130"/>
      <c r="E593" s="130"/>
    </row>
    <row r="594" ht="12.0" customHeight="1">
      <c r="B594" s="260"/>
      <c r="C594" s="130"/>
      <c r="D594" s="130"/>
      <c r="E594" s="130"/>
    </row>
    <row r="595" ht="12.0" customHeight="1">
      <c r="B595" s="260"/>
      <c r="C595" s="130"/>
      <c r="D595" s="130"/>
      <c r="E595" s="130"/>
    </row>
    <row r="596" ht="12.0" customHeight="1">
      <c r="B596" s="260"/>
      <c r="C596" s="130"/>
      <c r="D596" s="130"/>
      <c r="E596" s="130"/>
    </row>
    <row r="597" ht="12.0" customHeight="1">
      <c r="B597" s="260"/>
      <c r="C597" s="130"/>
      <c r="D597" s="130"/>
      <c r="E597" s="130"/>
    </row>
    <row r="598" ht="12.0" customHeight="1">
      <c r="B598" s="260"/>
      <c r="C598" s="130"/>
      <c r="D598" s="130"/>
      <c r="E598" s="130"/>
    </row>
    <row r="599" ht="12.0" customHeight="1">
      <c r="B599" s="260"/>
      <c r="C599" s="130"/>
      <c r="D599" s="130"/>
      <c r="E599" s="130"/>
    </row>
    <row r="600" ht="12.0" customHeight="1">
      <c r="B600" s="260"/>
      <c r="C600" s="130"/>
      <c r="D600" s="130"/>
      <c r="E600" s="130"/>
    </row>
    <row r="601" ht="12.0" customHeight="1">
      <c r="B601" s="260"/>
      <c r="C601" s="130"/>
      <c r="D601" s="130"/>
      <c r="E601" s="130"/>
    </row>
    <row r="602" ht="12.0" customHeight="1">
      <c r="B602" s="260"/>
      <c r="C602" s="130"/>
      <c r="D602" s="130"/>
      <c r="E602" s="130"/>
    </row>
    <row r="603" ht="12.0" customHeight="1">
      <c r="B603" s="260"/>
      <c r="C603" s="130"/>
      <c r="D603" s="130"/>
      <c r="E603" s="130"/>
    </row>
    <row r="604" ht="12.0" customHeight="1">
      <c r="B604" s="260"/>
      <c r="C604" s="130"/>
      <c r="D604" s="130"/>
      <c r="E604" s="130"/>
    </row>
    <row r="605" ht="12.0" customHeight="1">
      <c r="B605" s="260"/>
      <c r="C605" s="130"/>
      <c r="D605" s="130"/>
      <c r="E605" s="130"/>
    </row>
    <row r="606" ht="12.0" customHeight="1">
      <c r="B606" s="260"/>
      <c r="C606" s="130"/>
      <c r="D606" s="130"/>
      <c r="E606" s="130"/>
    </row>
    <row r="607" ht="12.0" customHeight="1">
      <c r="B607" s="260"/>
      <c r="C607" s="130"/>
      <c r="D607" s="130"/>
      <c r="E607" s="130"/>
    </row>
    <row r="608" ht="12.0" customHeight="1">
      <c r="B608" s="260"/>
      <c r="C608" s="130"/>
      <c r="D608" s="130"/>
      <c r="E608" s="130"/>
    </row>
    <row r="609" ht="12.0" customHeight="1">
      <c r="B609" s="260"/>
      <c r="C609" s="130"/>
      <c r="D609" s="130"/>
      <c r="E609" s="130"/>
    </row>
    <row r="610" ht="12.0" customHeight="1">
      <c r="B610" s="260"/>
      <c r="C610" s="130"/>
      <c r="D610" s="130"/>
      <c r="E610" s="130"/>
    </row>
    <row r="611" ht="12.0" customHeight="1">
      <c r="B611" s="260"/>
      <c r="C611" s="130"/>
      <c r="D611" s="130"/>
      <c r="E611" s="130"/>
    </row>
    <row r="612" ht="12.0" customHeight="1">
      <c r="B612" s="260"/>
      <c r="C612" s="130"/>
      <c r="D612" s="130"/>
      <c r="E612" s="130"/>
    </row>
    <row r="613" ht="12.0" customHeight="1">
      <c r="B613" s="260"/>
      <c r="C613" s="130"/>
      <c r="D613" s="130"/>
      <c r="E613" s="130"/>
    </row>
    <row r="614" ht="12.0" customHeight="1">
      <c r="B614" s="260"/>
      <c r="C614" s="130"/>
      <c r="D614" s="130"/>
      <c r="E614" s="130"/>
    </row>
    <row r="615" ht="12.0" customHeight="1">
      <c r="B615" s="260"/>
      <c r="C615" s="130"/>
      <c r="D615" s="130"/>
      <c r="E615" s="130"/>
    </row>
    <row r="616" ht="12.0" customHeight="1">
      <c r="B616" s="260"/>
      <c r="C616" s="130"/>
      <c r="D616" s="130"/>
      <c r="E616" s="130"/>
    </row>
    <row r="617" ht="12.0" customHeight="1">
      <c r="B617" s="260"/>
      <c r="C617" s="130"/>
      <c r="D617" s="130"/>
      <c r="E617" s="130"/>
    </row>
    <row r="618" ht="12.0" customHeight="1">
      <c r="B618" s="260"/>
      <c r="C618" s="130"/>
      <c r="D618" s="130"/>
      <c r="E618" s="130"/>
    </row>
    <row r="619" ht="12.0" customHeight="1">
      <c r="B619" s="260"/>
      <c r="C619" s="130"/>
      <c r="D619" s="130"/>
      <c r="E619" s="130"/>
    </row>
    <row r="620" ht="12.0" customHeight="1">
      <c r="B620" s="260"/>
      <c r="C620" s="130"/>
      <c r="D620" s="130"/>
      <c r="E620" s="130"/>
    </row>
    <row r="621" ht="12.0" customHeight="1">
      <c r="B621" s="260"/>
      <c r="C621" s="130"/>
      <c r="D621" s="130"/>
      <c r="E621" s="130"/>
    </row>
    <row r="622" ht="12.0" customHeight="1">
      <c r="B622" s="260"/>
      <c r="C622" s="130"/>
      <c r="D622" s="130"/>
      <c r="E622" s="130"/>
    </row>
    <row r="623" ht="12.0" customHeight="1">
      <c r="B623" s="260"/>
      <c r="C623" s="130"/>
      <c r="D623" s="130"/>
      <c r="E623" s="130"/>
    </row>
    <row r="624" ht="12.0" customHeight="1">
      <c r="B624" s="260"/>
      <c r="C624" s="130"/>
      <c r="D624" s="130"/>
      <c r="E624" s="130"/>
    </row>
    <row r="625" ht="12.0" customHeight="1">
      <c r="B625" s="260"/>
      <c r="C625" s="130"/>
      <c r="D625" s="130"/>
      <c r="E625" s="130"/>
    </row>
    <row r="626" ht="12.0" customHeight="1">
      <c r="B626" s="260"/>
      <c r="C626" s="130"/>
      <c r="D626" s="130"/>
      <c r="E626" s="130"/>
    </row>
    <row r="627" ht="12.0" customHeight="1">
      <c r="B627" s="260"/>
      <c r="C627" s="130"/>
      <c r="D627" s="130"/>
      <c r="E627" s="130"/>
    </row>
    <row r="628" ht="12.0" customHeight="1">
      <c r="B628" s="260"/>
      <c r="C628" s="130"/>
      <c r="D628" s="130"/>
      <c r="E628" s="130"/>
    </row>
    <row r="629" ht="12.0" customHeight="1">
      <c r="B629" s="260"/>
      <c r="C629" s="130"/>
      <c r="D629" s="130"/>
      <c r="E629" s="130"/>
    </row>
    <row r="630" ht="12.0" customHeight="1">
      <c r="B630" s="260"/>
      <c r="C630" s="130"/>
      <c r="D630" s="130"/>
      <c r="E630" s="130"/>
    </row>
    <row r="631" ht="12.0" customHeight="1">
      <c r="B631" s="260"/>
      <c r="C631" s="130"/>
      <c r="D631" s="130"/>
      <c r="E631" s="130"/>
    </row>
    <row r="632" ht="12.0" customHeight="1">
      <c r="B632" s="260"/>
      <c r="C632" s="130"/>
      <c r="D632" s="130"/>
      <c r="E632" s="130"/>
    </row>
    <row r="633" ht="12.0" customHeight="1">
      <c r="B633" s="260"/>
      <c r="C633" s="130"/>
      <c r="D633" s="130"/>
      <c r="E633" s="130"/>
    </row>
    <row r="634" ht="12.0" customHeight="1">
      <c r="B634" s="260"/>
      <c r="C634" s="130"/>
      <c r="D634" s="130"/>
      <c r="E634" s="130"/>
    </row>
    <row r="635" ht="12.0" customHeight="1">
      <c r="B635" s="260"/>
      <c r="C635" s="130"/>
      <c r="D635" s="130"/>
      <c r="E635" s="130"/>
    </row>
    <row r="636" ht="12.0" customHeight="1">
      <c r="B636" s="260"/>
      <c r="C636" s="130"/>
      <c r="D636" s="130"/>
      <c r="E636" s="130"/>
    </row>
    <row r="637" ht="12.0" customHeight="1">
      <c r="B637" s="260"/>
      <c r="C637" s="130"/>
      <c r="D637" s="130"/>
      <c r="E637" s="130"/>
    </row>
    <row r="638" ht="12.0" customHeight="1">
      <c r="B638" s="260"/>
      <c r="C638" s="130"/>
      <c r="D638" s="130"/>
      <c r="E638" s="130"/>
    </row>
    <row r="639" ht="12.0" customHeight="1">
      <c r="B639" s="260"/>
      <c r="C639" s="130"/>
      <c r="D639" s="130"/>
      <c r="E639" s="130"/>
    </row>
    <row r="640" ht="12.0" customHeight="1">
      <c r="B640" s="260"/>
      <c r="C640" s="130"/>
      <c r="D640" s="130"/>
      <c r="E640" s="130"/>
    </row>
    <row r="641" ht="12.0" customHeight="1">
      <c r="B641" s="260"/>
      <c r="C641" s="130"/>
      <c r="D641" s="130"/>
      <c r="E641" s="130"/>
    </row>
    <row r="642" ht="12.0" customHeight="1">
      <c r="B642" s="260"/>
      <c r="C642" s="130"/>
      <c r="D642" s="130"/>
      <c r="E642" s="130"/>
    </row>
    <row r="643" ht="12.0" customHeight="1">
      <c r="B643" s="260"/>
      <c r="C643" s="130"/>
      <c r="D643" s="130"/>
      <c r="E643" s="130"/>
    </row>
    <row r="644" ht="12.0" customHeight="1">
      <c r="B644" s="260"/>
      <c r="C644" s="130"/>
      <c r="D644" s="130"/>
      <c r="E644" s="130"/>
    </row>
    <row r="645" ht="12.0" customHeight="1">
      <c r="B645" s="260"/>
      <c r="C645" s="130"/>
      <c r="D645" s="130"/>
      <c r="E645" s="130"/>
    </row>
    <row r="646" ht="12.0" customHeight="1">
      <c r="B646" s="260"/>
      <c r="C646" s="130"/>
      <c r="D646" s="130"/>
      <c r="E646" s="130"/>
    </row>
    <row r="647" ht="12.0" customHeight="1">
      <c r="B647" s="260"/>
      <c r="C647" s="130"/>
      <c r="D647" s="130"/>
      <c r="E647" s="130"/>
    </row>
    <row r="648" ht="12.0" customHeight="1">
      <c r="B648" s="260"/>
      <c r="C648" s="130"/>
      <c r="D648" s="130"/>
      <c r="E648" s="130"/>
    </row>
    <row r="649" ht="12.0" customHeight="1">
      <c r="B649" s="260"/>
      <c r="C649" s="130"/>
      <c r="D649" s="130"/>
      <c r="E649" s="130"/>
    </row>
    <row r="650" ht="12.0" customHeight="1">
      <c r="B650" s="260"/>
      <c r="C650" s="130"/>
      <c r="D650" s="130"/>
      <c r="E650" s="130"/>
    </row>
    <row r="651" ht="12.0" customHeight="1">
      <c r="B651" s="260"/>
      <c r="C651" s="130"/>
      <c r="D651" s="130"/>
      <c r="E651" s="130"/>
    </row>
    <row r="652" ht="12.0" customHeight="1">
      <c r="B652" s="260"/>
      <c r="C652" s="130"/>
      <c r="D652" s="130"/>
      <c r="E652" s="130"/>
    </row>
    <row r="653" ht="12.0" customHeight="1">
      <c r="B653" s="260"/>
      <c r="C653" s="130"/>
      <c r="D653" s="130"/>
      <c r="E653" s="130"/>
    </row>
    <row r="654" ht="12.0" customHeight="1">
      <c r="B654" s="260"/>
      <c r="C654" s="130"/>
      <c r="D654" s="130"/>
      <c r="E654" s="130"/>
    </row>
    <row r="655" ht="12.0" customHeight="1">
      <c r="B655" s="260"/>
      <c r="C655" s="130"/>
      <c r="D655" s="130"/>
      <c r="E655" s="130"/>
    </row>
    <row r="656" ht="12.0" customHeight="1">
      <c r="B656" s="260"/>
      <c r="C656" s="130"/>
      <c r="D656" s="130"/>
      <c r="E656" s="130"/>
    </row>
    <row r="657" ht="12.0" customHeight="1">
      <c r="B657" s="260"/>
      <c r="C657" s="130"/>
      <c r="D657" s="130"/>
      <c r="E657" s="130"/>
    </row>
    <row r="658" ht="12.0" customHeight="1">
      <c r="B658" s="260"/>
      <c r="C658" s="130"/>
      <c r="D658" s="130"/>
      <c r="E658" s="130"/>
    </row>
    <row r="659" ht="12.0" customHeight="1">
      <c r="B659" s="260"/>
      <c r="C659" s="130"/>
      <c r="D659" s="130"/>
      <c r="E659" s="130"/>
    </row>
    <row r="660" ht="12.0" customHeight="1">
      <c r="B660" s="260"/>
      <c r="C660" s="130"/>
      <c r="D660" s="130"/>
      <c r="E660" s="130"/>
    </row>
    <row r="661" ht="12.0" customHeight="1">
      <c r="B661" s="260"/>
      <c r="C661" s="130"/>
      <c r="D661" s="130"/>
      <c r="E661" s="130"/>
    </row>
    <row r="662" ht="12.0" customHeight="1">
      <c r="B662" s="260"/>
      <c r="C662" s="130"/>
      <c r="D662" s="130"/>
      <c r="E662" s="130"/>
    </row>
    <row r="663" ht="12.0" customHeight="1">
      <c r="B663" s="260"/>
      <c r="C663" s="130"/>
      <c r="D663" s="130"/>
      <c r="E663" s="130"/>
    </row>
    <row r="664" ht="12.0" customHeight="1">
      <c r="B664" s="260"/>
      <c r="C664" s="130"/>
      <c r="D664" s="130"/>
      <c r="E664" s="130"/>
    </row>
    <row r="665" ht="12.0" customHeight="1">
      <c r="B665" s="260"/>
      <c r="C665" s="130"/>
      <c r="D665" s="130"/>
      <c r="E665" s="130"/>
    </row>
    <row r="666" ht="12.0" customHeight="1">
      <c r="B666" s="260"/>
      <c r="C666" s="130"/>
      <c r="D666" s="130"/>
      <c r="E666" s="130"/>
    </row>
    <row r="667" ht="12.0" customHeight="1">
      <c r="B667" s="260"/>
      <c r="C667" s="130"/>
      <c r="D667" s="130"/>
      <c r="E667" s="130"/>
    </row>
    <row r="668" ht="12.0" customHeight="1">
      <c r="B668" s="260"/>
      <c r="C668" s="130"/>
      <c r="D668" s="130"/>
      <c r="E668" s="130"/>
    </row>
    <row r="669" ht="12.0" customHeight="1">
      <c r="B669" s="260"/>
      <c r="C669" s="130"/>
      <c r="D669" s="130"/>
      <c r="E669" s="130"/>
    </row>
    <row r="670" ht="12.0" customHeight="1">
      <c r="B670" s="260"/>
      <c r="C670" s="130"/>
      <c r="D670" s="130"/>
      <c r="E670" s="130"/>
    </row>
    <row r="671" ht="12.0" customHeight="1">
      <c r="B671" s="260"/>
      <c r="C671" s="130"/>
      <c r="D671" s="130"/>
      <c r="E671" s="130"/>
    </row>
    <row r="672" ht="12.0" customHeight="1">
      <c r="B672" s="260"/>
      <c r="C672" s="130"/>
      <c r="D672" s="130"/>
      <c r="E672" s="130"/>
    </row>
    <row r="673" ht="12.0" customHeight="1">
      <c r="B673" s="260"/>
      <c r="C673" s="130"/>
      <c r="D673" s="130"/>
      <c r="E673" s="130"/>
    </row>
    <row r="674" ht="12.0" customHeight="1">
      <c r="B674" s="260"/>
      <c r="C674" s="130"/>
      <c r="D674" s="130"/>
      <c r="E674" s="130"/>
    </row>
    <row r="675" ht="12.0" customHeight="1">
      <c r="B675" s="260"/>
      <c r="C675" s="130"/>
      <c r="D675" s="130"/>
      <c r="E675" s="130"/>
    </row>
    <row r="676" ht="12.0" customHeight="1">
      <c r="B676" s="260"/>
      <c r="C676" s="130"/>
      <c r="D676" s="130"/>
      <c r="E676" s="130"/>
    </row>
    <row r="677" ht="12.0" customHeight="1">
      <c r="B677" s="260"/>
      <c r="C677" s="130"/>
      <c r="D677" s="130"/>
      <c r="E677" s="130"/>
    </row>
    <row r="678" ht="12.0" customHeight="1">
      <c r="B678" s="260"/>
      <c r="C678" s="130"/>
      <c r="D678" s="130"/>
      <c r="E678" s="130"/>
    </row>
    <row r="679" ht="12.0" customHeight="1">
      <c r="B679" s="260"/>
      <c r="C679" s="130"/>
      <c r="D679" s="130"/>
      <c r="E679" s="130"/>
    </row>
    <row r="680" ht="12.0" customHeight="1">
      <c r="B680" s="260"/>
      <c r="C680" s="130"/>
      <c r="D680" s="130"/>
      <c r="E680" s="130"/>
    </row>
    <row r="681" ht="12.0" customHeight="1">
      <c r="B681" s="260"/>
      <c r="C681" s="130"/>
      <c r="D681" s="130"/>
      <c r="E681" s="130"/>
    </row>
    <row r="682" ht="12.0" customHeight="1">
      <c r="B682" s="260"/>
      <c r="C682" s="130"/>
      <c r="D682" s="130"/>
      <c r="E682" s="130"/>
    </row>
    <row r="683" ht="12.0" customHeight="1">
      <c r="B683" s="260"/>
      <c r="C683" s="130"/>
      <c r="D683" s="130"/>
      <c r="E683" s="130"/>
    </row>
    <row r="684" ht="12.0" customHeight="1">
      <c r="B684" s="260"/>
      <c r="C684" s="130"/>
      <c r="D684" s="130"/>
      <c r="E684" s="130"/>
    </row>
    <row r="685" ht="12.0" customHeight="1">
      <c r="B685" s="260"/>
      <c r="C685" s="130"/>
      <c r="D685" s="130"/>
      <c r="E685" s="130"/>
    </row>
    <row r="686" ht="12.0" customHeight="1">
      <c r="B686" s="260"/>
      <c r="C686" s="130"/>
      <c r="D686" s="130"/>
      <c r="E686" s="130"/>
    </row>
    <row r="687" ht="12.0" customHeight="1">
      <c r="B687" s="260"/>
      <c r="C687" s="130"/>
      <c r="D687" s="130"/>
      <c r="E687" s="130"/>
    </row>
    <row r="688" ht="12.0" customHeight="1">
      <c r="B688" s="260"/>
      <c r="C688" s="130"/>
      <c r="D688" s="130"/>
      <c r="E688" s="130"/>
    </row>
    <row r="689" ht="12.0" customHeight="1">
      <c r="B689" s="260"/>
      <c r="C689" s="130"/>
      <c r="D689" s="130"/>
      <c r="E689" s="130"/>
    </row>
    <row r="690" ht="12.0" customHeight="1">
      <c r="B690" s="260"/>
      <c r="C690" s="130"/>
      <c r="D690" s="130"/>
      <c r="E690" s="130"/>
    </row>
    <row r="691" ht="12.0" customHeight="1">
      <c r="B691" s="260"/>
      <c r="C691" s="130"/>
      <c r="D691" s="130"/>
      <c r="E691" s="130"/>
    </row>
    <row r="692" ht="12.0" customHeight="1">
      <c r="B692" s="260"/>
      <c r="C692" s="130"/>
      <c r="D692" s="130"/>
      <c r="E692" s="130"/>
    </row>
    <row r="693" ht="12.0" customHeight="1">
      <c r="B693" s="260"/>
      <c r="C693" s="130"/>
      <c r="D693" s="130"/>
      <c r="E693" s="130"/>
    </row>
    <row r="694" ht="12.0" customHeight="1">
      <c r="B694" s="260"/>
      <c r="C694" s="130"/>
      <c r="D694" s="130"/>
      <c r="E694" s="130"/>
    </row>
    <row r="695" ht="12.0" customHeight="1">
      <c r="B695" s="260"/>
      <c r="C695" s="130"/>
      <c r="D695" s="130"/>
      <c r="E695" s="130"/>
    </row>
    <row r="696" ht="12.0" customHeight="1">
      <c r="B696" s="260"/>
      <c r="C696" s="130"/>
      <c r="D696" s="130"/>
      <c r="E696" s="130"/>
    </row>
    <row r="697" ht="12.0" customHeight="1">
      <c r="B697" s="260"/>
      <c r="C697" s="130"/>
      <c r="D697" s="130"/>
      <c r="E697" s="130"/>
    </row>
    <row r="698" ht="12.0" customHeight="1">
      <c r="B698" s="260"/>
      <c r="C698" s="130"/>
      <c r="D698" s="130"/>
      <c r="E698" s="130"/>
    </row>
    <row r="699" ht="12.0" customHeight="1">
      <c r="B699" s="260"/>
      <c r="C699" s="130"/>
      <c r="D699" s="130"/>
      <c r="E699" s="130"/>
    </row>
    <row r="700" ht="12.0" customHeight="1">
      <c r="B700" s="260"/>
      <c r="C700" s="130"/>
      <c r="D700" s="130"/>
      <c r="E700" s="130"/>
    </row>
    <row r="701" ht="12.0" customHeight="1">
      <c r="B701" s="260"/>
      <c r="C701" s="130"/>
      <c r="D701" s="130"/>
      <c r="E701" s="130"/>
    </row>
    <row r="702" ht="12.0" customHeight="1">
      <c r="B702" s="260"/>
      <c r="C702" s="130"/>
      <c r="D702" s="130"/>
      <c r="E702" s="130"/>
    </row>
    <row r="703" ht="12.0" customHeight="1">
      <c r="B703" s="260"/>
      <c r="C703" s="130"/>
      <c r="D703" s="130"/>
      <c r="E703" s="130"/>
    </row>
    <row r="704" ht="12.0" customHeight="1">
      <c r="B704" s="260"/>
      <c r="C704" s="130"/>
      <c r="D704" s="130"/>
      <c r="E704" s="130"/>
    </row>
    <row r="705" ht="12.0" customHeight="1">
      <c r="B705" s="260"/>
      <c r="C705" s="130"/>
      <c r="D705" s="130"/>
      <c r="E705" s="130"/>
    </row>
    <row r="706" ht="12.0" customHeight="1">
      <c r="B706" s="260"/>
      <c r="C706" s="130"/>
      <c r="D706" s="130"/>
      <c r="E706" s="130"/>
    </row>
    <row r="707" ht="12.0" customHeight="1">
      <c r="B707" s="260"/>
      <c r="C707" s="130"/>
      <c r="D707" s="130"/>
      <c r="E707" s="130"/>
    </row>
    <row r="708" ht="12.0" customHeight="1">
      <c r="B708" s="260"/>
      <c r="C708" s="130"/>
      <c r="D708" s="130"/>
      <c r="E708" s="130"/>
    </row>
    <row r="709" ht="12.0" customHeight="1">
      <c r="B709" s="260"/>
      <c r="C709" s="130"/>
      <c r="D709" s="130"/>
      <c r="E709" s="130"/>
    </row>
    <row r="710" ht="12.0" customHeight="1">
      <c r="B710" s="260"/>
      <c r="C710" s="130"/>
      <c r="D710" s="130"/>
      <c r="E710" s="130"/>
    </row>
    <row r="711" ht="12.0" customHeight="1">
      <c r="B711" s="260"/>
      <c r="C711" s="130"/>
      <c r="D711" s="130"/>
      <c r="E711" s="130"/>
    </row>
    <row r="712" ht="12.0" customHeight="1">
      <c r="B712" s="260"/>
      <c r="C712" s="130"/>
      <c r="D712" s="130"/>
      <c r="E712" s="130"/>
    </row>
    <row r="713" ht="12.0" customHeight="1">
      <c r="B713" s="260"/>
      <c r="C713" s="130"/>
      <c r="D713" s="130"/>
      <c r="E713" s="130"/>
    </row>
    <row r="714" ht="12.0" customHeight="1">
      <c r="B714" s="260"/>
      <c r="C714" s="130"/>
      <c r="D714" s="130"/>
      <c r="E714" s="130"/>
    </row>
    <row r="715" ht="12.0" customHeight="1">
      <c r="B715" s="260"/>
      <c r="C715" s="130"/>
      <c r="D715" s="130"/>
      <c r="E715" s="130"/>
    </row>
    <row r="716" ht="12.0" customHeight="1">
      <c r="B716" s="260"/>
      <c r="C716" s="130"/>
      <c r="D716" s="130"/>
      <c r="E716" s="130"/>
    </row>
    <row r="717" ht="12.0" customHeight="1">
      <c r="B717" s="260"/>
      <c r="C717" s="130"/>
      <c r="D717" s="130"/>
      <c r="E717" s="130"/>
    </row>
    <row r="718" ht="12.0" customHeight="1">
      <c r="B718" s="260"/>
      <c r="C718" s="130"/>
      <c r="D718" s="130"/>
      <c r="E718" s="130"/>
    </row>
    <row r="719" ht="12.0" customHeight="1">
      <c r="B719" s="260"/>
      <c r="C719" s="130"/>
      <c r="D719" s="130"/>
      <c r="E719" s="130"/>
    </row>
    <row r="720" ht="12.0" customHeight="1">
      <c r="B720" s="260"/>
      <c r="C720" s="130"/>
      <c r="D720" s="130"/>
      <c r="E720" s="130"/>
    </row>
    <row r="721" ht="12.0" customHeight="1">
      <c r="B721" s="260"/>
      <c r="C721" s="130"/>
      <c r="D721" s="130"/>
      <c r="E721" s="130"/>
    </row>
    <row r="722" ht="12.0" customHeight="1">
      <c r="B722" s="260"/>
      <c r="C722" s="130"/>
      <c r="D722" s="130"/>
      <c r="E722" s="130"/>
    </row>
    <row r="723" ht="12.0" customHeight="1">
      <c r="B723" s="260"/>
      <c r="C723" s="130"/>
      <c r="D723" s="130"/>
      <c r="E723" s="130"/>
    </row>
    <row r="724" ht="12.0" customHeight="1">
      <c r="B724" s="260"/>
      <c r="C724" s="130"/>
      <c r="D724" s="130"/>
      <c r="E724" s="130"/>
    </row>
    <row r="725" ht="12.0" customHeight="1">
      <c r="B725" s="260"/>
      <c r="C725" s="130"/>
      <c r="D725" s="130"/>
      <c r="E725" s="130"/>
    </row>
    <row r="726" ht="12.0" customHeight="1">
      <c r="B726" s="260"/>
      <c r="C726" s="130"/>
      <c r="D726" s="130"/>
      <c r="E726" s="130"/>
    </row>
    <row r="727" ht="12.0" customHeight="1">
      <c r="B727" s="260"/>
      <c r="C727" s="130"/>
      <c r="D727" s="130"/>
      <c r="E727" s="130"/>
    </row>
    <row r="728" ht="12.0" customHeight="1">
      <c r="B728" s="260"/>
      <c r="C728" s="130"/>
      <c r="D728" s="130"/>
      <c r="E728" s="130"/>
    </row>
    <row r="729" ht="12.0" customHeight="1">
      <c r="B729" s="260"/>
      <c r="C729" s="130"/>
      <c r="D729" s="130"/>
      <c r="E729" s="130"/>
    </row>
    <row r="730" ht="12.0" customHeight="1">
      <c r="B730" s="260"/>
      <c r="C730" s="130"/>
      <c r="D730" s="130"/>
      <c r="E730" s="130"/>
    </row>
    <row r="731" ht="12.0" customHeight="1">
      <c r="B731" s="260"/>
      <c r="C731" s="130"/>
      <c r="D731" s="130"/>
      <c r="E731" s="130"/>
    </row>
    <row r="732" ht="12.0" customHeight="1">
      <c r="B732" s="260"/>
      <c r="C732" s="130"/>
      <c r="D732" s="130"/>
      <c r="E732" s="130"/>
    </row>
    <row r="733" ht="12.0" customHeight="1">
      <c r="B733" s="260"/>
      <c r="C733" s="130"/>
      <c r="D733" s="130"/>
      <c r="E733" s="130"/>
    </row>
    <row r="734" ht="12.0" customHeight="1">
      <c r="B734" s="260"/>
      <c r="C734" s="130"/>
      <c r="D734" s="130"/>
      <c r="E734" s="130"/>
    </row>
    <row r="735" ht="12.0" customHeight="1">
      <c r="B735" s="260"/>
      <c r="C735" s="130"/>
      <c r="D735" s="130"/>
      <c r="E735" s="130"/>
    </row>
    <row r="736" ht="12.0" customHeight="1">
      <c r="B736" s="260"/>
      <c r="C736" s="130"/>
      <c r="D736" s="130"/>
      <c r="E736" s="130"/>
    </row>
    <row r="737" ht="12.0" customHeight="1">
      <c r="B737" s="260"/>
      <c r="C737" s="130"/>
      <c r="D737" s="130"/>
      <c r="E737" s="130"/>
    </row>
    <row r="738" ht="12.0" customHeight="1">
      <c r="B738" s="260"/>
      <c r="C738" s="130"/>
      <c r="D738" s="130"/>
      <c r="E738" s="130"/>
    </row>
    <row r="739" ht="12.0" customHeight="1">
      <c r="B739" s="260"/>
      <c r="C739" s="130"/>
      <c r="D739" s="130"/>
      <c r="E739" s="130"/>
    </row>
    <row r="740" ht="12.0" customHeight="1">
      <c r="B740" s="260"/>
      <c r="C740" s="130"/>
      <c r="D740" s="130"/>
      <c r="E740" s="130"/>
    </row>
    <row r="741" ht="12.0" customHeight="1">
      <c r="B741" s="260"/>
      <c r="C741" s="130"/>
      <c r="D741" s="130"/>
      <c r="E741" s="130"/>
    </row>
    <row r="742" ht="12.0" customHeight="1">
      <c r="B742" s="260"/>
      <c r="C742" s="130"/>
      <c r="D742" s="130"/>
      <c r="E742" s="130"/>
    </row>
    <row r="743" ht="12.0" customHeight="1">
      <c r="B743" s="260"/>
      <c r="C743" s="130"/>
      <c r="D743" s="130"/>
      <c r="E743" s="130"/>
    </row>
    <row r="744" ht="12.0" customHeight="1">
      <c r="B744" s="260"/>
      <c r="C744" s="130"/>
      <c r="D744" s="130"/>
      <c r="E744" s="130"/>
    </row>
    <row r="745" ht="12.0" customHeight="1">
      <c r="B745" s="260"/>
      <c r="C745" s="130"/>
      <c r="D745" s="130"/>
      <c r="E745" s="130"/>
    </row>
    <row r="746" ht="12.0" customHeight="1">
      <c r="B746" s="260"/>
      <c r="C746" s="130"/>
      <c r="D746" s="130"/>
      <c r="E746" s="130"/>
    </row>
    <row r="747" ht="12.0" customHeight="1">
      <c r="B747" s="260"/>
      <c r="C747" s="130"/>
      <c r="D747" s="130"/>
      <c r="E747" s="130"/>
    </row>
    <row r="748" ht="12.0" customHeight="1">
      <c r="B748" s="260"/>
      <c r="C748" s="130"/>
      <c r="D748" s="130"/>
      <c r="E748" s="130"/>
    </row>
    <row r="749" ht="12.0" customHeight="1">
      <c r="B749" s="260"/>
      <c r="C749" s="130"/>
      <c r="D749" s="130"/>
      <c r="E749" s="130"/>
    </row>
    <row r="750" ht="12.0" customHeight="1">
      <c r="B750" s="260"/>
      <c r="C750" s="130"/>
      <c r="D750" s="130"/>
      <c r="E750" s="130"/>
    </row>
    <row r="751" ht="12.0" customHeight="1">
      <c r="B751" s="260"/>
      <c r="C751" s="130"/>
      <c r="D751" s="130"/>
      <c r="E751" s="130"/>
    </row>
    <row r="752" ht="12.0" customHeight="1">
      <c r="B752" s="260"/>
      <c r="C752" s="130"/>
      <c r="D752" s="130"/>
      <c r="E752" s="130"/>
    </row>
    <row r="753" ht="12.0" customHeight="1">
      <c r="B753" s="260"/>
      <c r="C753" s="130"/>
      <c r="D753" s="130"/>
      <c r="E753" s="130"/>
    </row>
    <row r="754" ht="12.0" customHeight="1">
      <c r="B754" s="260"/>
      <c r="C754" s="130"/>
      <c r="D754" s="130"/>
      <c r="E754" s="130"/>
    </row>
    <row r="755" ht="12.0" customHeight="1">
      <c r="B755" s="260"/>
      <c r="C755" s="130"/>
      <c r="D755" s="130"/>
      <c r="E755" s="130"/>
    </row>
    <row r="756" ht="12.0" customHeight="1">
      <c r="B756" s="260"/>
      <c r="C756" s="130"/>
      <c r="D756" s="130"/>
      <c r="E756" s="130"/>
    </row>
    <row r="757" ht="12.0" customHeight="1">
      <c r="B757" s="260"/>
      <c r="C757" s="130"/>
      <c r="D757" s="130"/>
      <c r="E757" s="130"/>
    </row>
    <row r="758" ht="12.0" customHeight="1">
      <c r="B758" s="260"/>
      <c r="C758" s="130"/>
      <c r="D758" s="130"/>
      <c r="E758" s="130"/>
    </row>
    <row r="759" ht="12.0" customHeight="1">
      <c r="B759" s="260"/>
      <c r="C759" s="130"/>
      <c r="D759" s="130"/>
      <c r="E759" s="130"/>
    </row>
    <row r="760" ht="12.0" customHeight="1">
      <c r="B760" s="260"/>
      <c r="C760" s="130"/>
      <c r="D760" s="130"/>
      <c r="E760" s="130"/>
    </row>
    <row r="761" ht="12.0" customHeight="1">
      <c r="B761" s="260"/>
      <c r="C761" s="130"/>
      <c r="D761" s="130"/>
      <c r="E761" s="130"/>
    </row>
    <row r="762" ht="12.0" customHeight="1">
      <c r="B762" s="260"/>
      <c r="C762" s="130"/>
      <c r="D762" s="130"/>
      <c r="E762" s="130"/>
    </row>
    <row r="763" ht="12.0" customHeight="1">
      <c r="B763" s="260"/>
      <c r="C763" s="130"/>
      <c r="D763" s="130"/>
      <c r="E763" s="130"/>
    </row>
    <row r="764" ht="12.0" customHeight="1">
      <c r="B764" s="260"/>
      <c r="C764" s="130"/>
      <c r="D764" s="130"/>
      <c r="E764" s="130"/>
    </row>
    <row r="765" ht="12.0" customHeight="1">
      <c r="B765" s="260"/>
      <c r="C765" s="130"/>
      <c r="D765" s="130"/>
      <c r="E765" s="130"/>
    </row>
    <row r="766" ht="12.0" customHeight="1">
      <c r="B766" s="260"/>
      <c r="C766" s="130"/>
      <c r="D766" s="130"/>
      <c r="E766" s="130"/>
    </row>
    <row r="767" ht="12.0" customHeight="1">
      <c r="B767" s="260"/>
      <c r="C767" s="130"/>
      <c r="D767" s="130"/>
      <c r="E767" s="130"/>
    </row>
    <row r="768" ht="12.0" customHeight="1">
      <c r="B768" s="260"/>
      <c r="C768" s="130"/>
      <c r="D768" s="130"/>
      <c r="E768" s="130"/>
    </row>
    <row r="769" ht="12.0" customHeight="1">
      <c r="B769" s="260"/>
      <c r="C769" s="130"/>
      <c r="D769" s="130"/>
      <c r="E769" s="130"/>
    </row>
    <row r="770" ht="12.0" customHeight="1">
      <c r="B770" s="260"/>
      <c r="C770" s="130"/>
      <c r="D770" s="130"/>
      <c r="E770" s="130"/>
    </row>
    <row r="771" ht="12.0" customHeight="1">
      <c r="B771" s="260"/>
      <c r="C771" s="130"/>
      <c r="D771" s="130"/>
      <c r="E771" s="130"/>
    </row>
    <row r="772" ht="12.0" customHeight="1">
      <c r="B772" s="260"/>
      <c r="C772" s="130"/>
      <c r="D772" s="130"/>
      <c r="E772" s="130"/>
    </row>
    <row r="773" ht="12.0" customHeight="1">
      <c r="B773" s="260"/>
      <c r="C773" s="130"/>
      <c r="D773" s="130"/>
      <c r="E773" s="130"/>
    </row>
    <row r="774" ht="12.0" customHeight="1">
      <c r="B774" s="260"/>
      <c r="C774" s="130"/>
      <c r="D774" s="130"/>
      <c r="E774" s="130"/>
    </row>
    <row r="775" ht="12.0" customHeight="1">
      <c r="B775" s="260"/>
      <c r="C775" s="130"/>
      <c r="D775" s="130"/>
      <c r="E775" s="130"/>
    </row>
    <row r="776" ht="12.0" customHeight="1">
      <c r="B776" s="260"/>
      <c r="C776" s="130"/>
      <c r="D776" s="130"/>
      <c r="E776" s="130"/>
    </row>
    <row r="777" ht="12.0" customHeight="1">
      <c r="B777" s="260"/>
      <c r="C777" s="130"/>
      <c r="D777" s="130"/>
      <c r="E777" s="130"/>
    </row>
    <row r="778" ht="12.0" customHeight="1">
      <c r="B778" s="260"/>
      <c r="C778" s="130"/>
      <c r="D778" s="130"/>
      <c r="E778" s="130"/>
    </row>
    <row r="779" ht="12.0" customHeight="1">
      <c r="B779" s="260"/>
      <c r="C779" s="130"/>
      <c r="D779" s="130"/>
      <c r="E779" s="130"/>
    </row>
    <row r="780" ht="12.0" customHeight="1">
      <c r="B780" s="260"/>
      <c r="C780" s="130"/>
      <c r="D780" s="130"/>
      <c r="E780" s="130"/>
    </row>
    <row r="781" ht="12.0" customHeight="1">
      <c r="B781" s="260"/>
      <c r="C781" s="130"/>
      <c r="D781" s="130"/>
      <c r="E781" s="130"/>
    </row>
    <row r="782" ht="12.0" customHeight="1">
      <c r="B782" s="260"/>
      <c r="C782" s="130"/>
      <c r="D782" s="130"/>
      <c r="E782" s="130"/>
    </row>
    <row r="783" ht="12.0" customHeight="1">
      <c r="B783" s="260"/>
      <c r="C783" s="130"/>
      <c r="D783" s="130"/>
      <c r="E783" s="130"/>
    </row>
    <row r="784" ht="12.0" customHeight="1">
      <c r="B784" s="260"/>
      <c r="C784" s="130"/>
      <c r="D784" s="130"/>
      <c r="E784" s="130"/>
    </row>
    <row r="785" ht="12.0" customHeight="1">
      <c r="B785" s="260"/>
      <c r="C785" s="130"/>
      <c r="D785" s="130"/>
      <c r="E785" s="130"/>
    </row>
    <row r="786" ht="12.0" customHeight="1">
      <c r="B786" s="260"/>
      <c r="C786" s="130"/>
      <c r="D786" s="130"/>
      <c r="E786" s="130"/>
    </row>
    <row r="787" ht="12.0" customHeight="1">
      <c r="B787" s="260"/>
      <c r="C787" s="130"/>
      <c r="D787" s="130"/>
      <c r="E787" s="130"/>
    </row>
    <row r="788" ht="12.0" customHeight="1">
      <c r="B788" s="260"/>
      <c r="C788" s="130"/>
      <c r="D788" s="130"/>
      <c r="E788" s="130"/>
    </row>
    <row r="789" ht="12.0" customHeight="1">
      <c r="B789" s="260"/>
      <c r="C789" s="130"/>
      <c r="D789" s="130"/>
      <c r="E789" s="130"/>
    </row>
    <row r="790" ht="12.0" customHeight="1">
      <c r="B790" s="260"/>
      <c r="C790" s="130"/>
      <c r="D790" s="130"/>
      <c r="E790" s="130"/>
    </row>
    <row r="791" ht="12.0" customHeight="1">
      <c r="B791" s="260"/>
      <c r="C791" s="130"/>
      <c r="D791" s="130"/>
      <c r="E791" s="130"/>
    </row>
    <row r="792" ht="12.0" customHeight="1">
      <c r="B792" s="260"/>
      <c r="C792" s="130"/>
      <c r="D792" s="130"/>
      <c r="E792" s="130"/>
    </row>
    <row r="793" ht="12.0" customHeight="1">
      <c r="B793" s="260"/>
      <c r="C793" s="130"/>
      <c r="D793" s="130"/>
      <c r="E793" s="130"/>
    </row>
    <row r="794" ht="12.0" customHeight="1">
      <c r="B794" s="260"/>
      <c r="C794" s="130"/>
      <c r="D794" s="130"/>
      <c r="E794" s="130"/>
    </row>
    <row r="795" ht="12.0" customHeight="1">
      <c r="B795" s="260"/>
      <c r="C795" s="130"/>
      <c r="D795" s="130"/>
      <c r="E795" s="130"/>
    </row>
    <row r="796" ht="12.0" customHeight="1">
      <c r="B796" s="260"/>
      <c r="C796" s="130"/>
      <c r="D796" s="130"/>
      <c r="E796" s="130"/>
    </row>
    <row r="797" ht="12.0" customHeight="1">
      <c r="B797" s="260"/>
      <c r="C797" s="130"/>
      <c r="D797" s="130"/>
      <c r="E797" s="130"/>
    </row>
    <row r="798" ht="12.0" customHeight="1">
      <c r="B798" s="260"/>
      <c r="C798" s="130"/>
      <c r="D798" s="130"/>
      <c r="E798" s="130"/>
    </row>
    <row r="799" ht="12.0" customHeight="1">
      <c r="B799" s="260"/>
      <c r="C799" s="130"/>
      <c r="D799" s="130"/>
      <c r="E799" s="130"/>
    </row>
    <row r="800" ht="12.0" customHeight="1">
      <c r="B800" s="260"/>
      <c r="C800" s="130"/>
      <c r="D800" s="130"/>
      <c r="E800" s="130"/>
    </row>
    <row r="801" ht="12.0" customHeight="1">
      <c r="B801" s="260"/>
      <c r="C801" s="130"/>
      <c r="D801" s="130"/>
      <c r="E801" s="130"/>
    </row>
    <row r="802" ht="12.0" customHeight="1">
      <c r="B802" s="260"/>
      <c r="C802" s="130"/>
      <c r="D802" s="130"/>
      <c r="E802" s="130"/>
    </row>
    <row r="803" ht="12.0" customHeight="1">
      <c r="B803" s="260"/>
      <c r="C803" s="130"/>
      <c r="D803" s="130"/>
      <c r="E803" s="130"/>
    </row>
    <row r="804" ht="12.0" customHeight="1">
      <c r="B804" s="260"/>
      <c r="C804" s="130"/>
      <c r="D804" s="130"/>
      <c r="E804" s="130"/>
    </row>
    <row r="805" ht="12.0" customHeight="1">
      <c r="B805" s="260"/>
      <c r="C805" s="130"/>
      <c r="D805" s="130"/>
      <c r="E805" s="130"/>
    </row>
    <row r="806" ht="12.0" customHeight="1">
      <c r="B806" s="260"/>
      <c r="C806" s="130"/>
      <c r="D806" s="130"/>
      <c r="E806" s="130"/>
    </row>
    <row r="807" ht="12.0" customHeight="1">
      <c r="B807" s="260"/>
      <c r="C807" s="130"/>
      <c r="D807" s="130"/>
      <c r="E807" s="130"/>
    </row>
    <row r="808" ht="12.0" customHeight="1">
      <c r="B808" s="260"/>
      <c r="C808" s="130"/>
      <c r="D808" s="130"/>
      <c r="E808" s="130"/>
    </row>
    <row r="809" ht="12.0" customHeight="1">
      <c r="B809" s="260"/>
      <c r="C809" s="130"/>
      <c r="D809" s="130"/>
      <c r="E809" s="130"/>
    </row>
    <row r="810" ht="12.0" customHeight="1">
      <c r="B810" s="260"/>
      <c r="C810" s="130"/>
      <c r="D810" s="130"/>
      <c r="E810" s="130"/>
    </row>
    <row r="811" ht="12.0" customHeight="1">
      <c r="B811" s="260"/>
      <c r="C811" s="130"/>
      <c r="D811" s="130"/>
      <c r="E811" s="130"/>
    </row>
    <row r="812" ht="12.0" customHeight="1">
      <c r="B812" s="260"/>
      <c r="C812" s="130"/>
      <c r="D812" s="130"/>
      <c r="E812" s="130"/>
    </row>
    <row r="813" ht="12.0" customHeight="1">
      <c r="B813" s="260"/>
      <c r="C813" s="130"/>
      <c r="D813" s="130"/>
      <c r="E813" s="130"/>
    </row>
    <row r="814" ht="12.0" customHeight="1">
      <c r="B814" s="260"/>
      <c r="C814" s="130"/>
      <c r="D814" s="130"/>
      <c r="E814" s="130"/>
    </row>
    <row r="815" ht="12.0" customHeight="1">
      <c r="B815" s="260"/>
      <c r="C815" s="130"/>
      <c r="D815" s="130"/>
      <c r="E815" s="130"/>
    </row>
    <row r="816" ht="12.0" customHeight="1">
      <c r="B816" s="260"/>
      <c r="C816" s="130"/>
      <c r="D816" s="130"/>
      <c r="E816" s="130"/>
    </row>
    <row r="817" ht="12.0" customHeight="1">
      <c r="B817" s="260"/>
      <c r="C817" s="130"/>
      <c r="D817" s="130"/>
      <c r="E817" s="130"/>
    </row>
    <row r="818" ht="12.0" customHeight="1">
      <c r="B818" s="260"/>
      <c r="C818" s="130"/>
      <c r="D818" s="130"/>
      <c r="E818" s="130"/>
    </row>
    <row r="819" ht="12.0" customHeight="1">
      <c r="B819" s="260"/>
      <c r="C819" s="130"/>
      <c r="D819" s="130"/>
      <c r="E819" s="130"/>
    </row>
    <row r="820" ht="12.0" customHeight="1">
      <c r="B820" s="260"/>
      <c r="C820" s="130"/>
      <c r="D820" s="130"/>
      <c r="E820" s="130"/>
    </row>
    <row r="821" ht="12.0" customHeight="1">
      <c r="B821" s="260"/>
      <c r="C821" s="130"/>
      <c r="D821" s="130"/>
      <c r="E821" s="130"/>
    </row>
    <row r="822" ht="12.0" customHeight="1">
      <c r="B822" s="260"/>
      <c r="C822" s="130"/>
      <c r="D822" s="130"/>
      <c r="E822" s="130"/>
    </row>
    <row r="823" ht="12.0" customHeight="1">
      <c r="B823" s="260"/>
      <c r="C823" s="130"/>
      <c r="D823" s="130"/>
      <c r="E823" s="130"/>
    </row>
    <row r="824" ht="12.0" customHeight="1">
      <c r="B824" s="260"/>
      <c r="C824" s="130"/>
      <c r="D824" s="130"/>
      <c r="E824" s="130"/>
    </row>
    <row r="825" ht="12.0" customHeight="1">
      <c r="B825" s="260"/>
      <c r="C825" s="130"/>
      <c r="D825" s="130"/>
      <c r="E825" s="130"/>
    </row>
    <row r="826" ht="12.0" customHeight="1">
      <c r="B826" s="260"/>
      <c r="C826" s="130"/>
      <c r="D826" s="130"/>
      <c r="E826" s="130"/>
    </row>
    <row r="827" ht="12.0" customHeight="1">
      <c r="B827" s="260"/>
      <c r="C827" s="130"/>
      <c r="D827" s="130"/>
      <c r="E827" s="130"/>
    </row>
    <row r="828" ht="12.0" customHeight="1">
      <c r="B828" s="260"/>
      <c r="C828" s="130"/>
      <c r="D828" s="130"/>
      <c r="E828" s="130"/>
    </row>
    <row r="829" ht="12.0" customHeight="1">
      <c r="B829" s="260"/>
      <c r="C829" s="130"/>
      <c r="D829" s="130"/>
      <c r="E829" s="130"/>
    </row>
    <row r="830" ht="12.0" customHeight="1">
      <c r="B830" s="260"/>
      <c r="C830" s="130"/>
      <c r="D830" s="130"/>
      <c r="E830" s="130"/>
    </row>
    <row r="831" ht="12.0" customHeight="1">
      <c r="B831" s="260"/>
      <c r="C831" s="130"/>
      <c r="D831" s="130"/>
      <c r="E831" s="130"/>
    </row>
    <row r="832" ht="12.0" customHeight="1">
      <c r="B832" s="260"/>
      <c r="C832" s="130"/>
      <c r="D832" s="130"/>
      <c r="E832" s="130"/>
    </row>
    <row r="833" ht="12.0" customHeight="1">
      <c r="B833" s="260"/>
      <c r="C833" s="130"/>
      <c r="D833" s="130"/>
      <c r="E833" s="130"/>
    </row>
    <row r="834" ht="12.0" customHeight="1">
      <c r="B834" s="260"/>
      <c r="C834" s="130"/>
      <c r="D834" s="130"/>
      <c r="E834" s="130"/>
    </row>
    <row r="835" ht="12.0" customHeight="1">
      <c r="B835" s="260"/>
      <c r="C835" s="130"/>
      <c r="D835" s="130"/>
      <c r="E835" s="130"/>
    </row>
    <row r="836" ht="12.0" customHeight="1">
      <c r="B836" s="260"/>
      <c r="C836" s="130"/>
      <c r="D836" s="130"/>
      <c r="E836" s="130"/>
    </row>
    <row r="837" ht="12.0" customHeight="1">
      <c r="B837" s="260"/>
      <c r="C837" s="130"/>
      <c r="D837" s="130"/>
      <c r="E837" s="130"/>
    </row>
    <row r="838" ht="12.0" customHeight="1">
      <c r="B838" s="260"/>
      <c r="C838" s="130"/>
      <c r="D838" s="130"/>
      <c r="E838" s="130"/>
    </row>
    <row r="839" ht="12.0" customHeight="1">
      <c r="B839" s="260"/>
      <c r="C839" s="130"/>
      <c r="D839" s="130"/>
      <c r="E839" s="130"/>
    </row>
    <row r="840" ht="12.0" customHeight="1">
      <c r="B840" s="260"/>
      <c r="C840" s="130"/>
      <c r="D840" s="130"/>
      <c r="E840" s="130"/>
    </row>
    <row r="841" ht="12.0" customHeight="1">
      <c r="B841" s="260"/>
      <c r="C841" s="130"/>
      <c r="D841" s="130"/>
      <c r="E841" s="130"/>
    </row>
    <row r="842" ht="12.0" customHeight="1">
      <c r="B842" s="260"/>
      <c r="C842" s="130"/>
      <c r="D842" s="130"/>
      <c r="E842" s="130"/>
    </row>
    <row r="843" ht="12.0" customHeight="1">
      <c r="B843" s="260"/>
      <c r="C843" s="130"/>
      <c r="D843" s="130"/>
      <c r="E843" s="130"/>
    </row>
    <row r="844" ht="12.0" customHeight="1">
      <c r="B844" s="260"/>
      <c r="C844" s="130"/>
      <c r="D844" s="130"/>
      <c r="E844" s="130"/>
    </row>
    <row r="845" ht="12.0" customHeight="1">
      <c r="B845" s="260"/>
      <c r="C845" s="130"/>
      <c r="D845" s="130"/>
      <c r="E845" s="130"/>
    </row>
    <row r="846" ht="12.0" customHeight="1">
      <c r="B846" s="260"/>
      <c r="C846" s="130"/>
      <c r="D846" s="130"/>
      <c r="E846" s="130"/>
    </row>
    <row r="847" ht="12.0" customHeight="1">
      <c r="B847" s="260"/>
      <c r="C847" s="130"/>
      <c r="D847" s="130"/>
      <c r="E847" s="130"/>
    </row>
    <row r="848" ht="12.0" customHeight="1">
      <c r="B848" s="260"/>
      <c r="C848" s="130"/>
      <c r="D848" s="130"/>
      <c r="E848" s="130"/>
    </row>
    <row r="849" ht="12.0" customHeight="1">
      <c r="B849" s="260"/>
      <c r="C849" s="130"/>
      <c r="D849" s="130"/>
      <c r="E849" s="130"/>
    </row>
    <row r="850" ht="12.0" customHeight="1">
      <c r="B850" s="260"/>
      <c r="C850" s="130"/>
      <c r="D850" s="130"/>
      <c r="E850" s="130"/>
    </row>
    <row r="851" ht="12.0" customHeight="1">
      <c r="B851" s="260"/>
      <c r="C851" s="130"/>
      <c r="D851" s="130"/>
      <c r="E851" s="130"/>
    </row>
    <row r="852" ht="12.0" customHeight="1">
      <c r="B852" s="260"/>
      <c r="C852" s="130"/>
      <c r="D852" s="130"/>
      <c r="E852" s="130"/>
    </row>
    <row r="853" ht="12.0" customHeight="1">
      <c r="B853" s="260"/>
      <c r="C853" s="130"/>
      <c r="D853" s="130"/>
      <c r="E853" s="130"/>
    </row>
    <row r="854" ht="12.0" customHeight="1">
      <c r="B854" s="260"/>
      <c r="C854" s="130"/>
      <c r="D854" s="130"/>
      <c r="E854" s="130"/>
    </row>
    <row r="855" ht="12.0" customHeight="1">
      <c r="B855" s="260"/>
      <c r="C855" s="130"/>
      <c r="D855" s="130"/>
      <c r="E855" s="130"/>
    </row>
    <row r="856" ht="12.0" customHeight="1">
      <c r="B856" s="260"/>
      <c r="C856" s="130"/>
      <c r="D856" s="130"/>
      <c r="E856" s="130"/>
    </row>
    <row r="857" ht="12.0" customHeight="1">
      <c r="B857" s="260"/>
      <c r="C857" s="130"/>
      <c r="D857" s="130"/>
      <c r="E857" s="130"/>
    </row>
    <row r="858" ht="12.0" customHeight="1">
      <c r="B858" s="260"/>
      <c r="C858" s="130"/>
      <c r="D858" s="130"/>
      <c r="E858" s="130"/>
    </row>
    <row r="859" ht="12.0" customHeight="1">
      <c r="B859" s="260"/>
      <c r="C859" s="130"/>
      <c r="D859" s="130"/>
      <c r="E859" s="130"/>
    </row>
    <row r="860" ht="12.0" customHeight="1">
      <c r="B860" s="260"/>
      <c r="C860" s="130"/>
      <c r="D860" s="130"/>
      <c r="E860" s="130"/>
    </row>
    <row r="861" ht="12.0" customHeight="1">
      <c r="B861" s="260"/>
      <c r="C861" s="130"/>
      <c r="D861" s="130"/>
      <c r="E861" s="130"/>
    </row>
    <row r="862" ht="12.0" customHeight="1">
      <c r="B862" s="260"/>
      <c r="C862" s="130"/>
      <c r="D862" s="130"/>
      <c r="E862" s="130"/>
    </row>
    <row r="863" ht="12.0" customHeight="1">
      <c r="B863" s="260"/>
      <c r="C863" s="130"/>
      <c r="D863" s="130"/>
      <c r="E863" s="130"/>
    </row>
    <row r="864" ht="12.0" customHeight="1">
      <c r="B864" s="260"/>
      <c r="C864" s="130"/>
      <c r="D864" s="130"/>
      <c r="E864" s="130"/>
    </row>
    <row r="865" ht="12.0" customHeight="1">
      <c r="B865" s="260"/>
      <c r="C865" s="130"/>
      <c r="D865" s="130"/>
      <c r="E865" s="130"/>
    </row>
    <row r="866" ht="12.0" customHeight="1">
      <c r="B866" s="260"/>
      <c r="C866" s="130"/>
      <c r="D866" s="130"/>
      <c r="E866" s="130"/>
    </row>
    <row r="867" ht="12.0" customHeight="1">
      <c r="B867" s="260"/>
      <c r="C867" s="130"/>
      <c r="D867" s="130"/>
      <c r="E867" s="130"/>
    </row>
    <row r="868" ht="12.0" customHeight="1">
      <c r="B868" s="260"/>
      <c r="C868" s="130"/>
      <c r="D868" s="130"/>
      <c r="E868" s="130"/>
    </row>
    <row r="869" ht="12.0" customHeight="1">
      <c r="B869" s="260"/>
      <c r="C869" s="130"/>
      <c r="D869" s="130"/>
      <c r="E869" s="130"/>
    </row>
    <row r="870" ht="12.0" customHeight="1">
      <c r="B870" s="260"/>
      <c r="C870" s="130"/>
      <c r="D870" s="130"/>
      <c r="E870" s="130"/>
    </row>
    <row r="871" ht="12.0" customHeight="1">
      <c r="B871" s="260"/>
      <c r="C871" s="130"/>
      <c r="D871" s="130"/>
      <c r="E871" s="130"/>
    </row>
    <row r="872" ht="12.0" customHeight="1">
      <c r="B872" s="260"/>
      <c r="C872" s="130"/>
      <c r="D872" s="130"/>
      <c r="E872" s="130"/>
    </row>
    <row r="873" ht="12.0" customHeight="1">
      <c r="B873" s="260"/>
      <c r="C873" s="130"/>
      <c r="D873" s="130"/>
      <c r="E873" s="130"/>
    </row>
    <row r="874" ht="12.0" customHeight="1">
      <c r="B874" s="260"/>
      <c r="C874" s="130"/>
      <c r="D874" s="130"/>
      <c r="E874" s="130"/>
    </row>
    <row r="875" ht="12.0" customHeight="1">
      <c r="B875" s="260"/>
      <c r="C875" s="130"/>
      <c r="D875" s="130"/>
      <c r="E875" s="130"/>
    </row>
    <row r="876" ht="12.0" customHeight="1">
      <c r="B876" s="260"/>
      <c r="C876" s="130"/>
      <c r="D876" s="130"/>
      <c r="E876" s="130"/>
    </row>
    <row r="877" ht="12.0" customHeight="1">
      <c r="B877" s="260"/>
      <c r="C877" s="130"/>
      <c r="D877" s="130"/>
      <c r="E877" s="130"/>
    </row>
    <row r="878" ht="12.0" customHeight="1">
      <c r="B878" s="260"/>
      <c r="C878" s="130"/>
      <c r="D878" s="130"/>
      <c r="E878" s="130"/>
    </row>
    <row r="879" ht="12.0" customHeight="1">
      <c r="B879" s="260"/>
      <c r="C879" s="130"/>
      <c r="D879" s="130"/>
      <c r="E879" s="130"/>
    </row>
    <row r="880" ht="12.0" customHeight="1">
      <c r="B880" s="260"/>
      <c r="C880" s="130"/>
      <c r="D880" s="130"/>
      <c r="E880" s="130"/>
    </row>
    <row r="881" ht="12.0" customHeight="1">
      <c r="B881" s="260"/>
      <c r="C881" s="130"/>
      <c r="D881" s="130"/>
      <c r="E881" s="130"/>
    </row>
    <row r="882" ht="12.0" customHeight="1">
      <c r="B882" s="260"/>
      <c r="C882" s="130"/>
      <c r="D882" s="130"/>
      <c r="E882" s="130"/>
    </row>
    <row r="883" ht="12.0" customHeight="1">
      <c r="B883" s="260"/>
      <c r="C883" s="130"/>
      <c r="D883" s="130"/>
      <c r="E883" s="130"/>
    </row>
    <row r="884" ht="12.0" customHeight="1">
      <c r="B884" s="260"/>
      <c r="C884" s="130"/>
      <c r="D884" s="130"/>
      <c r="E884" s="130"/>
    </row>
    <row r="885" ht="12.0" customHeight="1">
      <c r="B885" s="260"/>
      <c r="C885" s="130"/>
      <c r="D885" s="130"/>
      <c r="E885" s="130"/>
    </row>
    <row r="886" ht="12.0" customHeight="1">
      <c r="B886" s="260"/>
      <c r="C886" s="130"/>
      <c r="D886" s="130"/>
      <c r="E886" s="130"/>
    </row>
    <row r="887" ht="12.0" customHeight="1">
      <c r="B887" s="260"/>
      <c r="C887" s="130"/>
      <c r="D887" s="130"/>
      <c r="E887" s="130"/>
    </row>
    <row r="888" ht="12.0" customHeight="1">
      <c r="B888" s="260"/>
      <c r="C888" s="130"/>
      <c r="D888" s="130"/>
      <c r="E888" s="130"/>
    </row>
    <row r="889" ht="12.0" customHeight="1">
      <c r="B889" s="260"/>
      <c r="C889" s="130"/>
      <c r="D889" s="130"/>
      <c r="E889" s="130"/>
    </row>
    <row r="890" ht="12.0" customHeight="1">
      <c r="B890" s="260"/>
      <c r="C890" s="130"/>
      <c r="D890" s="130"/>
      <c r="E890" s="130"/>
    </row>
    <row r="891" ht="12.0" customHeight="1">
      <c r="B891" s="260"/>
      <c r="C891" s="130"/>
      <c r="D891" s="130"/>
      <c r="E891" s="130"/>
    </row>
    <row r="892" ht="12.0" customHeight="1">
      <c r="B892" s="260"/>
      <c r="C892" s="130"/>
      <c r="D892" s="130"/>
      <c r="E892" s="130"/>
    </row>
    <row r="893" ht="12.0" customHeight="1">
      <c r="B893" s="260"/>
      <c r="C893" s="130"/>
      <c r="D893" s="130"/>
      <c r="E893" s="130"/>
    </row>
    <row r="894" ht="12.0" customHeight="1">
      <c r="B894" s="260"/>
      <c r="C894" s="130"/>
      <c r="D894" s="130"/>
      <c r="E894" s="130"/>
    </row>
    <row r="895" ht="12.0" customHeight="1">
      <c r="B895" s="260"/>
      <c r="C895" s="130"/>
      <c r="D895" s="130"/>
      <c r="E895" s="130"/>
    </row>
    <row r="896" ht="12.0" customHeight="1">
      <c r="B896" s="260"/>
      <c r="C896" s="130"/>
      <c r="D896" s="130"/>
      <c r="E896" s="130"/>
    </row>
    <row r="897" ht="12.0" customHeight="1">
      <c r="B897" s="260"/>
      <c r="C897" s="130"/>
      <c r="D897" s="130"/>
      <c r="E897" s="130"/>
    </row>
    <row r="898" ht="12.0" customHeight="1">
      <c r="B898" s="260"/>
      <c r="C898" s="130"/>
      <c r="D898" s="130"/>
      <c r="E898" s="130"/>
    </row>
    <row r="899" ht="12.0" customHeight="1">
      <c r="B899" s="260"/>
      <c r="C899" s="130"/>
      <c r="D899" s="130"/>
      <c r="E899" s="130"/>
    </row>
    <row r="900" ht="12.0" customHeight="1">
      <c r="B900" s="260"/>
      <c r="C900" s="130"/>
      <c r="D900" s="130"/>
      <c r="E900" s="130"/>
    </row>
    <row r="901" ht="12.0" customHeight="1">
      <c r="B901" s="260"/>
      <c r="C901" s="130"/>
      <c r="D901" s="130"/>
      <c r="E901" s="130"/>
    </row>
    <row r="902" ht="12.0" customHeight="1">
      <c r="B902" s="260"/>
      <c r="C902" s="130"/>
      <c r="D902" s="130"/>
      <c r="E902" s="130"/>
    </row>
    <row r="903" ht="12.0" customHeight="1">
      <c r="B903" s="260"/>
      <c r="C903" s="130"/>
      <c r="D903" s="130"/>
      <c r="E903" s="130"/>
    </row>
    <row r="904" ht="12.0" customHeight="1">
      <c r="B904" s="260"/>
      <c r="C904" s="130"/>
      <c r="D904" s="130"/>
      <c r="E904" s="130"/>
    </row>
    <row r="905" ht="12.0" customHeight="1">
      <c r="B905" s="260"/>
      <c r="C905" s="130"/>
      <c r="D905" s="130"/>
      <c r="E905" s="130"/>
    </row>
    <row r="906" ht="12.0" customHeight="1">
      <c r="B906" s="260"/>
      <c r="C906" s="130"/>
      <c r="D906" s="130"/>
      <c r="E906" s="130"/>
    </row>
    <row r="907" ht="12.0" customHeight="1">
      <c r="B907" s="260"/>
      <c r="C907" s="130"/>
      <c r="D907" s="130"/>
      <c r="E907" s="130"/>
    </row>
    <row r="908" ht="12.0" customHeight="1">
      <c r="B908" s="260"/>
      <c r="C908" s="130"/>
      <c r="D908" s="130"/>
      <c r="E908" s="130"/>
    </row>
    <row r="909" ht="12.0" customHeight="1">
      <c r="B909" s="260"/>
      <c r="C909" s="130"/>
      <c r="D909" s="130"/>
      <c r="E909" s="130"/>
    </row>
    <row r="910" ht="12.0" customHeight="1">
      <c r="B910" s="260"/>
      <c r="C910" s="130"/>
      <c r="D910" s="130"/>
      <c r="E910" s="130"/>
    </row>
    <row r="911" ht="12.0" customHeight="1">
      <c r="B911" s="260"/>
      <c r="C911" s="130"/>
      <c r="D911" s="130"/>
      <c r="E911" s="130"/>
    </row>
    <row r="912" ht="12.0" customHeight="1">
      <c r="B912" s="260"/>
      <c r="C912" s="130"/>
      <c r="D912" s="130"/>
      <c r="E912" s="130"/>
    </row>
    <row r="913" ht="12.0" customHeight="1">
      <c r="B913" s="260"/>
      <c r="C913" s="130"/>
      <c r="D913" s="130"/>
      <c r="E913" s="130"/>
    </row>
    <row r="914" ht="12.0" customHeight="1">
      <c r="B914" s="260"/>
      <c r="C914" s="130"/>
      <c r="D914" s="130"/>
      <c r="E914" s="130"/>
    </row>
    <row r="915" ht="12.0" customHeight="1">
      <c r="B915" s="260"/>
      <c r="C915" s="130"/>
      <c r="D915" s="130"/>
      <c r="E915" s="130"/>
    </row>
    <row r="916" ht="12.0" customHeight="1">
      <c r="B916" s="260"/>
      <c r="C916" s="130"/>
      <c r="D916" s="130"/>
      <c r="E916" s="130"/>
    </row>
    <row r="917" ht="12.0" customHeight="1">
      <c r="B917" s="260"/>
      <c r="C917" s="130"/>
      <c r="D917" s="130"/>
      <c r="E917" s="130"/>
    </row>
    <row r="918" ht="12.0" customHeight="1">
      <c r="B918" s="260"/>
      <c r="C918" s="130"/>
      <c r="D918" s="130"/>
      <c r="E918" s="130"/>
    </row>
    <row r="919" ht="12.0" customHeight="1">
      <c r="B919" s="260"/>
      <c r="C919" s="130"/>
      <c r="D919" s="130"/>
      <c r="E919" s="130"/>
    </row>
    <row r="920" ht="12.0" customHeight="1">
      <c r="B920" s="260"/>
      <c r="C920" s="130"/>
      <c r="D920" s="130"/>
      <c r="E920" s="130"/>
    </row>
    <row r="921" ht="12.0" customHeight="1">
      <c r="B921" s="260"/>
      <c r="C921" s="130"/>
      <c r="D921" s="130"/>
      <c r="E921" s="130"/>
    </row>
    <row r="922" ht="12.0" customHeight="1">
      <c r="B922" s="260"/>
      <c r="C922" s="130"/>
      <c r="D922" s="130"/>
      <c r="E922" s="130"/>
    </row>
    <row r="923" ht="12.0" customHeight="1">
      <c r="B923" s="260"/>
      <c r="C923" s="130"/>
      <c r="D923" s="130"/>
      <c r="E923" s="130"/>
    </row>
    <row r="924" ht="12.0" customHeight="1">
      <c r="B924" s="260"/>
      <c r="C924" s="130"/>
      <c r="D924" s="130"/>
      <c r="E924" s="130"/>
    </row>
    <row r="925" ht="12.0" customHeight="1">
      <c r="B925" s="260"/>
      <c r="C925" s="130"/>
      <c r="D925" s="130"/>
      <c r="E925" s="130"/>
    </row>
    <row r="926" ht="12.0" customHeight="1">
      <c r="B926" s="260"/>
      <c r="C926" s="130"/>
      <c r="D926" s="130"/>
      <c r="E926" s="130"/>
    </row>
    <row r="927" ht="12.0" customHeight="1">
      <c r="B927" s="260"/>
      <c r="C927" s="130"/>
      <c r="D927" s="130"/>
      <c r="E927" s="130"/>
    </row>
    <row r="928" ht="12.0" customHeight="1">
      <c r="B928" s="260"/>
      <c r="C928" s="130"/>
      <c r="D928" s="130"/>
      <c r="E928" s="130"/>
    </row>
    <row r="929" ht="12.0" customHeight="1">
      <c r="B929" s="260"/>
      <c r="C929" s="130"/>
      <c r="D929" s="130"/>
      <c r="E929" s="130"/>
    </row>
    <row r="930" ht="12.0" customHeight="1">
      <c r="B930" s="260"/>
      <c r="C930" s="130"/>
      <c r="D930" s="130"/>
      <c r="E930" s="130"/>
    </row>
    <row r="931" ht="12.0" customHeight="1">
      <c r="B931" s="260"/>
      <c r="C931" s="130"/>
      <c r="D931" s="130"/>
      <c r="E931" s="130"/>
    </row>
    <row r="932" ht="12.0" customHeight="1">
      <c r="B932" s="260"/>
      <c r="C932" s="130"/>
      <c r="D932" s="130"/>
      <c r="E932" s="130"/>
    </row>
    <row r="933" ht="12.0" customHeight="1">
      <c r="B933" s="260"/>
      <c r="C933" s="130"/>
      <c r="D933" s="130"/>
      <c r="E933" s="130"/>
    </row>
    <row r="934" ht="12.0" customHeight="1">
      <c r="B934" s="260"/>
      <c r="C934" s="130"/>
      <c r="D934" s="130"/>
      <c r="E934" s="130"/>
    </row>
    <row r="935" ht="12.0" customHeight="1">
      <c r="B935" s="260"/>
      <c r="C935" s="130"/>
      <c r="D935" s="130"/>
      <c r="E935" s="130"/>
    </row>
    <row r="936" ht="12.0" customHeight="1">
      <c r="B936" s="260"/>
      <c r="C936" s="130"/>
      <c r="D936" s="130"/>
      <c r="E936" s="130"/>
    </row>
    <row r="937" ht="12.0" customHeight="1">
      <c r="B937" s="260"/>
      <c r="C937" s="130"/>
      <c r="D937" s="130"/>
      <c r="E937" s="130"/>
    </row>
    <row r="938" ht="12.0" customHeight="1">
      <c r="B938" s="260"/>
      <c r="C938" s="130"/>
      <c r="D938" s="130"/>
      <c r="E938" s="130"/>
    </row>
    <row r="939" ht="12.0" customHeight="1">
      <c r="B939" s="260"/>
      <c r="C939" s="130"/>
      <c r="D939" s="130"/>
      <c r="E939" s="130"/>
    </row>
    <row r="940" ht="12.0" customHeight="1">
      <c r="B940" s="260"/>
      <c r="C940" s="130"/>
      <c r="D940" s="130"/>
      <c r="E940" s="130"/>
    </row>
    <row r="941" ht="12.0" customHeight="1">
      <c r="B941" s="260"/>
      <c r="C941" s="130"/>
      <c r="D941" s="130"/>
      <c r="E941" s="130"/>
    </row>
    <row r="942" ht="12.0" customHeight="1">
      <c r="B942" s="260"/>
      <c r="C942" s="130"/>
      <c r="D942" s="130"/>
      <c r="E942" s="130"/>
    </row>
    <row r="943" ht="12.0" customHeight="1">
      <c r="B943" s="260"/>
      <c r="C943" s="130"/>
      <c r="D943" s="130"/>
      <c r="E943" s="130"/>
    </row>
    <row r="944" ht="12.0" customHeight="1">
      <c r="B944" s="260"/>
      <c r="C944" s="130"/>
      <c r="D944" s="130"/>
      <c r="E944" s="130"/>
    </row>
    <row r="945" ht="12.0" customHeight="1">
      <c r="B945" s="260"/>
      <c r="C945" s="130"/>
      <c r="D945" s="130"/>
      <c r="E945" s="130"/>
    </row>
    <row r="946" ht="12.0" customHeight="1">
      <c r="B946" s="260"/>
      <c r="C946" s="130"/>
      <c r="D946" s="130"/>
      <c r="E946" s="130"/>
    </row>
    <row r="947" ht="12.0" customHeight="1">
      <c r="B947" s="260"/>
      <c r="C947" s="130"/>
      <c r="D947" s="130"/>
      <c r="E947" s="130"/>
    </row>
    <row r="948" ht="12.0" customHeight="1">
      <c r="B948" s="260"/>
      <c r="C948" s="130"/>
      <c r="D948" s="130"/>
      <c r="E948" s="130"/>
    </row>
    <row r="949" ht="12.0" customHeight="1">
      <c r="B949" s="260"/>
      <c r="C949" s="130"/>
      <c r="D949" s="130"/>
      <c r="E949" s="130"/>
    </row>
    <row r="950" ht="12.0" customHeight="1">
      <c r="B950" s="260"/>
      <c r="C950" s="130"/>
      <c r="D950" s="130"/>
      <c r="E950" s="130"/>
    </row>
    <row r="951" ht="12.0" customHeight="1">
      <c r="B951" s="260"/>
      <c r="C951" s="130"/>
      <c r="D951" s="130"/>
      <c r="E951" s="130"/>
    </row>
    <row r="952" ht="12.0" customHeight="1">
      <c r="B952" s="260"/>
      <c r="C952" s="130"/>
      <c r="D952" s="130"/>
      <c r="E952" s="130"/>
    </row>
    <row r="953" ht="12.0" customHeight="1">
      <c r="B953" s="260"/>
      <c r="C953" s="130"/>
      <c r="D953" s="130"/>
      <c r="E953" s="130"/>
    </row>
    <row r="954" ht="12.0" customHeight="1">
      <c r="B954" s="260"/>
      <c r="C954" s="130"/>
      <c r="D954" s="130"/>
      <c r="E954" s="130"/>
    </row>
    <row r="955" ht="12.0" customHeight="1">
      <c r="B955" s="260"/>
      <c r="C955" s="130"/>
      <c r="D955" s="130"/>
      <c r="E955" s="130"/>
    </row>
    <row r="956" ht="12.0" customHeight="1">
      <c r="B956" s="260"/>
      <c r="C956" s="130"/>
      <c r="D956" s="130"/>
      <c r="E956" s="130"/>
    </row>
    <row r="957" ht="12.0" customHeight="1">
      <c r="B957" s="260"/>
      <c r="C957" s="130"/>
      <c r="D957" s="130"/>
      <c r="E957" s="130"/>
    </row>
    <row r="958" ht="12.0" customHeight="1">
      <c r="B958" s="260"/>
      <c r="C958" s="130"/>
      <c r="D958" s="130"/>
      <c r="E958" s="130"/>
    </row>
    <row r="959" ht="12.0" customHeight="1">
      <c r="B959" s="260"/>
      <c r="C959" s="130"/>
      <c r="D959" s="130"/>
      <c r="E959" s="130"/>
    </row>
    <row r="960" ht="12.0" customHeight="1">
      <c r="B960" s="260"/>
      <c r="C960" s="130"/>
      <c r="D960" s="130"/>
      <c r="E960" s="130"/>
    </row>
    <row r="961" ht="12.0" customHeight="1">
      <c r="B961" s="260"/>
      <c r="C961" s="130"/>
      <c r="D961" s="130"/>
      <c r="E961" s="130"/>
    </row>
    <row r="962" ht="12.0" customHeight="1">
      <c r="B962" s="260"/>
      <c r="C962" s="130"/>
      <c r="D962" s="130"/>
      <c r="E962" s="130"/>
    </row>
    <row r="963" ht="12.0" customHeight="1">
      <c r="B963" s="260"/>
      <c r="C963" s="130"/>
      <c r="D963" s="130"/>
      <c r="E963" s="130"/>
    </row>
    <row r="964" ht="12.0" customHeight="1">
      <c r="B964" s="260"/>
      <c r="C964" s="130"/>
      <c r="D964" s="130"/>
      <c r="E964" s="130"/>
    </row>
    <row r="965" ht="12.0" customHeight="1">
      <c r="B965" s="260"/>
      <c r="C965" s="130"/>
      <c r="D965" s="130"/>
      <c r="E965" s="130"/>
    </row>
    <row r="966" ht="12.0" customHeight="1">
      <c r="B966" s="260"/>
      <c r="C966" s="130"/>
      <c r="D966" s="130"/>
      <c r="E966" s="130"/>
    </row>
    <row r="967" ht="12.0" customHeight="1">
      <c r="B967" s="260"/>
      <c r="C967" s="130"/>
      <c r="D967" s="130"/>
      <c r="E967" s="130"/>
    </row>
    <row r="968" ht="12.0" customHeight="1">
      <c r="B968" s="260"/>
      <c r="C968" s="130"/>
      <c r="D968" s="130"/>
      <c r="E968" s="130"/>
    </row>
    <row r="969" ht="12.0" customHeight="1">
      <c r="B969" s="260"/>
      <c r="C969" s="130"/>
      <c r="D969" s="130"/>
      <c r="E969" s="130"/>
    </row>
    <row r="970" ht="12.0" customHeight="1">
      <c r="B970" s="260"/>
      <c r="C970" s="130"/>
      <c r="D970" s="130"/>
      <c r="E970" s="130"/>
    </row>
    <row r="971" ht="12.0" customHeight="1">
      <c r="B971" s="260"/>
      <c r="C971" s="130"/>
      <c r="D971" s="130"/>
      <c r="E971" s="130"/>
    </row>
    <row r="972" ht="12.0" customHeight="1">
      <c r="B972" s="260"/>
      <c r="C972" s="130"/>
      <c r="D972" s="130"/>
      <c r="E972" s="130"/>
    </row>
    <row r="973" ht="12.0" customHeight="1">
      <c r="B973" s="260"/>
      <c r="C973" s="130"/>
      <c r="D973" s="130"/>
      <c r="E973" s="130"/>
    </row>
    <row r="974" ht="12.0" customHeight="1">
      <c r="B974" s="260"/>
      <c r="C974" s="130"/>
      <c r="D974" s="130"/>
      <c r="E974" s="130"/>
    </row>
    <row r="975" ht="12.0" customHeight="1">
      <c r="B975" s="260"/>
      <c r="C975" s="130"/>
      <c r="D975" s="130"/>
      <c r="E975" s="130"/>
    </row>
    <row r="976" ht="12.0" customHeight="1">
      <c r="B976" s="260"/>
      <c r="C976" s="130"/>
      <c r="D976" s="130"/>
      <c r="E976" s="130"/>
    </row>
    <row r="977" ht="12.0" customHeight="1">
      <c r="B977" s="260"/>
      <c r="C977" s="130"/>
      <c r="D977" s="130"/>
      <c r="E977" s="130"/>
    </row>
    <row r="978" ht="12.0" customHeight="1">
      <c r="B978" s="260"/>
      <c r="C978" s="130"/>
      <c r="D978" s="130"/>
      <c r="E978" s="130"/>
    </row>
    <row r="979" ht="12.0" customHeight="1">
      <c r="B979" s="260"/>
      <c r="C979" s="130"/>
      <c r="D979" s="130"/>
      <c r="E979" s="130"/>
    </row>
    <row r="980" ht="12.0" customHeight="1">
      <c r="B980" s="260"/>
      <c r="C980" s="130"/>
      <c r="D980" s="130"/>
      <c r="E980" s="130"/>
    </row>
    <row r="981" ht="12.0" customHeight="1">
      <c r="B981" s="260"/>
      <c r="C981" s="130"/>
      <c r="D981" s="130"/>
      <c r="E981" s="130"/>
    </row>
    <row r="982" ht="12.0" customHeight="1">
      <c r="B982" s="260"/>
      <c r="C982" s="130"/>
      <c r="D982" s="130"/>
      <c r="E982" s="130"/>
    </row>
    <row r="983" ht="12.0" customHeight="1">
      <c r="B983" s="260"/>
      <c r="C983" s="130"/>
      <c r="D983" s="130"/>
      <c r="E983" s="130"/>
    </row>
    <row r="984" ht="12.0" customHeight="1">
      <c r="B984" s="260"/>
      <c r="C984" s="130"/>
      <c r="D984" s="130"/>
      <c r="E984" s="130"/>
    </row>
    <row r="985" ht="12.0" customHeight="1">
      <c r="B985" s="260"/>
      <c r="C985" s="130"/>
      <c r="D985" s="130"/>
      <c r="E985" s="130"/>
    </row>
    <row r="986" ht="12.0" customHeight="1">
      <c r="B986" s="260"/>
      <c r="C986" s="130"/>
      <c r="D986" s="130"/>
      <c r="E986" s="130"/>
    </row>
    <row r="987" ht="12.0" customHeight="1">
      <c r="B987" s="260"/>
      <c r="C987" s="130"/>
      <c r="D987" s="130"/>
      <c r="E987" s="130"/>
    </row>
    <row r="988" ht="12.0" customHeight="1">
      <c r="B988" s="260"/>
      <c r="C988" s="130"/>
      <c r="D988" s="130"/>
      <c r="E988" s="130"/>
    </row>
    <row r="989" ht="12.0" customHeight="1">
      <c r="B989" s="260"/>
      <c r="C989" s="130"/>
      <c r="D989" s="130"/>
      <c r="E989" s="130"/>
    </row>
    <row r="990" ht="12.0" customHeight="1">
      <c r="B990" s="260"/>
      <c r="C990" s="130"/>
      <c r="D990" s="130"/>
      <c r="E990" s="130"/>
    </row>
    <row r="991" ht="12.0" customHeight="1">
      <c r="B991" s="260"/>
      <c r="C991" s="130"/>
      <c r="D991" s="130"/>
      <c r="E991" s="130"/>
    </row>
    <row r="992" ht="12.0" customHeight="1">
      <c r="B992" s="260"/>
      <c r="C992" s="130"/>
      <c r="D992" s="130"/>
      <c r="E992" s="130"/>
    </row>
    <row r="993" ht="12.0" customHeight="1">
      <c r="B993" s="260"/>
      <c r="C993" s="130"/>
      <c r="D993" s="130"/>
      <c r="E993" s="130"/>
    </row>
    <row r="994" ht="12.0" customHeight="1">
      <c r="B994" s="260"/>
      <c r="C994" s="130"/>
      <c r="D994" s="130"/>
      <c r="E994" s="130"/>
    </row>
    <row r="995" ht="12.0" customHeight="1">
      <c r="B995" s="260"/>
      <c r="C995" s="130"/>
      <c r="D995" s="130"/>
      <c r="E995" s="130"/>
    </row>
    <row r="996" ht="12.0" customHeight="1">
      <c r="B996" s="260"/>
      <c r="C996" s="130"/>
      <c r="D996" s="130"/>
      <c r="E996" s="130"/>
    </row>
    <row r="997" ht="12.0" customHeight="1">
      <c r="B997" s="260"/>
      <c r="C997" s="130"/>
      <c r="D997" s="130"/>
      <c r="E997" s="130"/>
    </row>
    <row r="998" ht="12.0" customHeight="1">
      <c r="B998" s="260"/>
      <c r="C998" s="130"/>
      <c r="D998" s="130"/>
      <c r="E998" s="130"/>
    </row>
    <row r="999" ht="12.0" customHeight="1">
      <c r="B999" s="260"/>
      <c r="C999" s="130"/>
      <c r="D999" s="130"/>
      <c r="E999" s="130"/>
    </row>
    <row r="1000" ht="12.0" customHeight="1">
      <c r="B1000" s="260"/>
      <c r="C1000" s="130"/>
      <c r="D1000" s="130"/>
      <c r="E1000" s="130"/>
    </row>
    <row r="1001" ht="12.0" customHeight="1">
      <c r="B1001" s="260"/>
      <c r="C1001" s="130"/>
      <c r="D1001" s="130"/>
      <c r="E1001" s="130"/>
    </row>
    <row r="1002" ht="12.0" customHeight="1">
      <c r="B1002" s="260"/>
      <c r="C1002" s="130"/>
      <c r="D1002" s="130"/>
      <c r="E1002" s="130"/>
    </row>
  </sheetData>
  <mergeCells count="19">
    <mergeCell ref="B40:C40"/>
    <mergeCell ref="F40:G40"/>
    <mergeCell ref="B49:C49"/>
    <mergeCell ref="B51:H54"/>
    <mergeCell ref="B57:D57"/>
    <mergeCell ref="F57:H57"/>
    <mergeCell ref="G58:H58"/>
    <mergeCell ref="E70:F72"/>
    <mergeCell ref="G70:H72"/>
    <mergeCell ref="B73:D73"/>
    <mergeCell ref="E73:F73"/>
    <mergeCell ref="G73:H73"/>
    <mergeCell ref="G59:H59"/>
    <mergeCell ref="G60:H60"/>
    <mergeCell ref="G61:H61"/>
    <mergeCell ref="G62:H62"/>
    <mergeCell ref="G63:H63"/>
    <mergeCell ref="G64:H64"/>
    <mergeCell ref="B70:D72"/>
  </mergeCells>
  <dataValidations>
    <dataValidation type="list" allowBlank="1" showErrorMessage="1" sqref="C22">
      <formula1>LS3A!$A$5:$A$28</formula1>
    </dataValidation>
  </dataValidations>
  <printOptions/>
  <pageMargins bottom="0.75" footer="0.0" header="0.0" left="0.7" right="0.7" top="0.75"/>
  <pageSetup paperSize="8"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7.0"/>
    <col customWidth="1" min="5" max="5" width="20.5"/>
    <col customWidth="1" min="6" max="6" width="16.0"/>
    <col customWidth="1" min="7" max="9" width="16.5"/>
    <col customWidth="1" min="10" max="27" width="8.63"/>
  </cols>
  <sheetData>
    <row r="1" ht="12.0" customHeight="1">
      <c r="A1" s="113"/>
      <c r="B1" s="260"/>
      <c r="C1" s="130"/>
    </row>
    <row r="2" ht="12.0" customHeight="1">
      <c r="B2" s="260"/>
      <c r="C2" s="130"/>
    </row>
    <row r="3" ht="12.0" customHeight="1">
      <c r="A3" s="2"/>
      <c r="B3" s="261"/>
      <c r="C3" s="262"/>
      <c r="D3" s="2"/>
      <c r="E3" s="2"/>
      <c r="F3" s="2"/>
      <c r="G3" s="2"/>
      <c r="H3" s="2"/>
      <c r="I3" s="2"/>
    </row>
    <row r="4" ht="12.0" customHeight="1">
      <c r="A4" s="2"/>
      <c r="B4" s="261"/>
      <c r="C4" s="262"/>
      <c r="D4" s="2"/>
      <c r="E4" s="2"/>
      <c r="F4" s="2"/>
      <c r="G4" s="2"/>
      <c r="H4" s="2"/>
      <c r="I4" s="2"/>
    </row>
    <row r="5" ht="12.0" customHeight="1">
      <c r="A5" s="2"/>
      <c r="B5" s="261"/>
      <c r="C5" s="262"/>
      <c r="D5" s="2"/>
      <c r="E5" s="2"/>
      <c r="F5" s="2"/>
      <c r="G5" s="2"/>
      <c r="H5" s="2"/>
      <c r="I5" s="2"/>
    </row>
    <row r="6" ht="12.0" customHeight="1">
      <c r="A6" s="2"/>
      <c r="B6" s="261"/>
      <c r="C6" s="262"/>
      <c r="D6" s="2"/>
      <c r="E6" s="2"/>
      <c r="F6" s="2"/>
      <c r="G6" s="2"/>
      <c r="H6" s="2"/>
      <c r="I6" s="2"/>
    </row>
    <row r="7" ht="12.0" customHeight="1">
      <c r="A7" s="2"/>
      <c r="B7" s="261"/>
      <c r="C7" s="262"/>
      <c r="D7" s="2"/>
      <c r="E7" s="2"/>
      <c r="F7" s="2"/>
      <c r="G7" s="2"/>
      <c r="H7" s="2"/>
      <c r="I7" s="2"/>
    </row>
    <row r="8" ht="12.0" customHeight="1">
      <c r="A8" s="2"/>
      <c r="B8" s="261"/>
      <c r="C8" s="262"/>
      <c r="D8" s="2"/>
      <c r="E8" s="2"/>
      <c r="F8" s="2"/>
      <c r="G8" s="2"/>
      <c r="H8" s="2"/>
      <c r="I8" s="2"/>
    </row>
    <row r="9" ht="12.0" customHeight="1">
      <c r="A9" s="2"/>
      <c r="B9" s="261"/>
      <c r="C9" s="262"/>
      <c r="D9" s="2"/>
      <c r="E9" s="2"/>
      <c r="F9" s="2"/>
      <c r="G9" s="2"/>
      <c r="H9" s="2"/>
      <c r="I9" s="2"/>
    </row>
    <row r="10" ht="12.0" customHeight="1">
      <c r="A10" s="2"/>
      <c r="B10" s="261"/>
      <c r="C10" s="262"/>
      <c r="D10" s="2"/>
      <c r="E10" s="2"/>
      <c r="F10" s="2"/>
      <c r="G10" s="2"/>
      <c r="H10" s="2"/>
      <c r="I10" s="2"/>
    </row>
    <row r="11" ht="12.0" customHeight="1">
      <c r="A11" s="2"/>
      <c r="B11" s="261"/>
      <c r="C11" s="262"/>
      <c r="D11" s="2"/>
      <c r="E11" s="2"/>
      <c r="F11" s="2"/>
      <c r="G11" s="2"/>
      <c r="H11" s="2"/>
      <c r="I11" s="2"/>
    </row>
    <row r="12" ht="12.0" customHeight="1">
      <c r="A12" s="2"/>
      <c r="B12" s="261"/>
      <c r="C12" s="262"/>
      <c r="D12" s="2"/>
      <c r="E12" s="2"/>
      <c r="F12" s="2"/>
      <c r="G12" s="2"/>
      <c r="H12" s="2"/>
      <c r="I12" s="2"/>
    </row>
    <row r="13" ht="12.0" customHeight="1">
      <c r="A13" s="2"/>
      <c r="B13" s="261"/>
      <c r="C13" s="262"/>
      <c r="D13" s="2"/>
      <c r="E13" s="2"/>
      <c r="F13" s="2"/>
      <c r="G13" s="2"/>
      <c r="H13" s="2"/>
      <c r="I13" s="2"/>
    </row>
    <row r="14" ht="12.0" customHeight="1">
      <c r="A14" s="2"/>
      <c r="B14" s="261"/>
      <c r="C14" s="262"/>
      <c r="D14" s="2"/>
      <c r="E14" s="2"/>
      <c r="F14" s="2"/>
      <c r="G14" s="2"/>
      <c r="H14" s="2"/>
      <c r="I14" s="2"/>
    </row>
    <row r="15" ht="12.0" customHeight="1">
      <c r="A15" s="2"/>
      <c r="B15" s="261"/>
      <c r="C15" s="262"/>
      <c r="D15" s="2"/>
      <c r="E15" s="2"/>
      <c r="F15" s="2"/>
      <c r="G15" s="2"/>
      <c r="H15" s="2"/>
      <c r="I15" s="2"/>
    </row>
    <row r="16" ht="12.0" customHeight="1">
      <c r="A16" s="2"/>
      <c r="B16" s="261"/>
      <c r="C16" s="262"/>
      <c r="D16" s="2"/>
      <c r="E16" s="2"/>
      <c r="F16" s="2"/>
      <c r="G16" s="2"/>
      <c r="H16" s="2"/>
      <c r="I16" s="2"/>
    </row>
    <row r="17" ht="12.0" customHeight="1">
      <c r="A17" s="2"/>
      <c r="B17" s="261"/>
      <c r="C17" s="262"/>
      <c r="D17" s="2"/>
      <c r="E17" s="2"/>
      <c r="F17" s="2"/>
      <c r="G17" s="2"/>
      <c r="H17" s="2"/>
      <c r="I17" s="2"/>
    </row>
    <row r="18" ht="12.0" customHeight="1">
      <c r="A18" s="2"/>
      <c r="B18" s="261"/>
      <c r="C18" s="262"/>
      <c r="D18" s="2"/>
      <c r="E18" s="2"/>
      <c r="F18" s="2"/>
      <c r="G18" s="2"/>
      <c r="H18" s="2"/>
      <c r="I18" s="2"/>
    </row>
    <row r="19" ht="12.0" customHeight="1">
      <c r="A19" s="2"/>
      <c r="B19" s="261"/>
      <c r="C19" s="262"/>
      <c r="D19" s="2"/>
      <c r="E19" s="2"/>
      <c r="F19" s="2"/>
      <c r="G19" s="2"/>
      <c r="H19" s="2"/>
      <c r="I19" s="2"/>
    </row>
    <row r="20" ht="9.0" customHeight="1">
      <c r="A20" s="2"/>
      <c r="B20" s="261"/>
      <c r="C20" s="262"/>
      <c r="D20" s="2"/>
      <c r="E20" s="2"/>
      <c r="F20" s="2"/>
      <c r="G20" s="2"/>
      <c r="H20" s="2"/>
      <c r="I20" s="2"/>
    </row>
    <row r="21" ht="12.0" customHeight="1">
      <c r="A21" s="2"/>
      <c r="B21" s="2"/>
      <c r="C21" s="262"/>
      <c r="D21" s="2"/>
      <c r="E21" s="2"/>
      <c r="F21" s="2"/>
      <c r="G21" s="2"/>
      <c r="H21" s="2"/>
      <c r="I21" s="2"/>
    </row>
    <row r="22" ht="21.0" customHeight="1">
      <c r="A22" s="2"/>
      <c r="B22" s="2" t="s">
        <v>618</v>
      </c>
      <c r="C22" s="263">
        <v>17.0</v>
      </c>
      <c r="D22" s="2"/>
      <c r="E22" s="2"/>
      <c r="F22" s="2"/>
      <c r="G22" s="2"/>
      <c r="H22" s="2"/>
      <c r="I22" s="2"/>
    </row>
    <row r="23" ht="21.0" customHeight="1">
      <c r="A23" s="2"/>
      <c r="B23" s="260"/>
      <c r="C23" s="130"/>
      <c r="D23" s="2"/>
      <c r="E23" s="2"/>
      <c r="F23" s="2"/>
      <c r="G23" s="2"/>
      <c r="H23" s="2"/>
      <c r="I23" s="2"/>
    </row>
    <row r="24" ht="12.0" customHeight="1">
      <c r="A24" s="2"/>
      <c r="B24" s="260"/>
      <c r="C24" s="130"/>
      <c r="D24" s="2"/>
      <c r="E24" s="2"/>
      <c r="F24" s="2"/>
      <c r="G24" s="2"/>
      <c r="H24" s="2"/>
      <c r="I24" s="2"/>
    </row>
    <row r="25" ht="21.75" customHeight="1">
      <c r="A25" s="2"/>
      <c r="B25" s="375" t="s">
        <v>619</v>
      </c>
      <c r="C25" s="394" t="str">
        <f>VLOOKUP($C$22,LS3B!$A$3:$AY$37,2,0)</f>
        <v>Pardesi Amaan</v>
      </c>
      <c r="D25" s="354" t="s">
        <v>620</v>
      </c>
      <c r="E25" s="355" t="s">
        <v>42</v>
      </c>
      <c r="G25" s="377" t="s">
        <v>73</v>
      </c>
      <c r="H25" s="390">
        <f>RANK(G41,LS3B!$AR$6:$AR$36)</f>
        <v>11</v>
      </c>
      <c r="I25" s="2"/>
    </row>
    <row r="26" ht="12.0" customHeight="1">
      <c r="A26" s="2"/>
      <c r="B26" s="271"/>
      <c r="C26" s="272"/>
      <c r="D26" s="273"/>
      <c r="E26" s="273"/>
      <c r="F26" s="273"/>
      <c r="G26" s="273"/>
      <c r="H26" s="273"/>
      <c r="I26" s="2"/>
    </row>
    <row r="27" ht="26.25" customHeight="1">
      <c r="A27" s="274"/>
      <c r="B27" s="395" t="s">
        <v>621</v>
      </c>
      <c r="C27" s="276" t="s">
        <v>80</v>
      </c>
      <c r="D27" s="275" t="s">
        <v>81</v>
      </c>
      <c r="E27" s="275" t="s">
        <v>622</v>
      </c>
      <c r="F27" s="275" t="s">
        <v>83</v>
      </c>
      <c r="G27" s="275" t="s">
        <v>653</v>
      </c>
      <c r="H27" s="277" t="s">
        <v>624</v>
      </c>
      <c r="I27" s="278"/>
      <c r="J27" s="279"/>
      <c r="K27" s="279"/>
      <c r="L27" s="279"/>
      <c r="M27" s="279"/>
      <c r="N27" s="279"/>
      <c r="O27" s="279"/>
      <c r="P27" s="279"/>
      <c r="Q27" s="279"/>
      <c r="R27" s="279"/>
      <c r="S27" s="279"/>
      <c r="T27" s="279"/>
      <c r="U27" s="279"/>
      <c r="V27" s="279"/>
      <c r="W27" s="279"/>
      <c r="X27" s="279"/>
      <c r="Y27" s="279"/>
      <c r="Z27" s="279"/>
      <c r="AA27" s="279"/>
    </row>
    <row r="28" ht="22.5" customHeight="1">
      <c r="A28" s="280"/>
      <c r="B28" s="390" t="s">
        <v>23</v>
      </c>
      <c r="C28" s="358">
        <f>VLOOKUP($C$22,LS3B!$A$3:$AY$36,3,0)</f>
        <v>19</v>
      </c>
      <c r="D28" s="357">
        <f>VLOOKUP($C$22,LS3B!$A$3:$AY$36,4,0)</f>
        <v>37</v>
      </c>
      <c r="E28" s="358">
        <f t="shared" ref="E28:E37" si="1">C28+D28</f>
        <v>56</v>
      </c>
      <c r="F28" s="357" t="str">
        <f>VLOOKUP($C$22,LS3B!$A$3:$AY$36,6,0)</f>
        <v>D</v>
      </c>
      <c r="G28" s="357">
        <f>RANK(E28,LS3B!$E$6:$E$27)</f>
        <v>10</v>
      </c>
      <c r="H28" s="281">
        <f>LS3B!E36</f>
        <v>54.48</v>
      </c>
      <c r="I28" s="283"/>
    </row>
    <row r="29" ht="22.5" customHeight="1">
      <c r="A29" s="280"/>
      <c r="B29" s="390" t="s">
        <v>24</v>
      </c>
      <c r="C29" s="358">
        <f>VLOOKUP($C$22,LS3B!$A$3:$AY$36,7,0)</f>
        <v>17</v>
      </c>
      <c r="D29" s="357">
        <f>VLOOKUP($C$22,LS3B!$A$3:$AY$36,8,0)</f>
        <v>34</v>
      </c>
      <c r="E29" s="358">
        <f t="shared" si="1"/>
        <v>51</v>
      </c>
      <c r="F29" s="357" t="str">
        <f>VLOOKUP($C$22,LS3B!$A$3:$AY$36,10,0)</f>
        <v>D</v>
      </c>
      <c r="G29" s="357">
        <f>RANK(E29,LS3B!$I$6:$I$27)</f>
        <v>12</v>
      </c>
      <c r="H29" s="281">
        <f>LS3B!I36</f>
        <v>54</v>
      </c>
      <c r="I29" s="283"/>
    </row>
    <row r="30" ht="25.5" customHeight="1">
      <c r="A30" s="280"/>
      <c r="B30" s="390" t="s">
        <v>25</v>
      </c>
      <c r="C30" s="358">
        <f>VLOOKUP($C$22,LS3B!$A$3:$AY$36,11,0)</f>
        <v>27</v>
      </c>
      <c r="D30" s="357">
        <f>VLOOKUP($C$22,LS3B!$A$3:$AY$36,12,0)</f>
        <v>35</v>
      </c>
      <c r="E30" s="396">
        <f t="shared" si="1"/>
        <v>62</v>
      </c>
      <c r="F30" s="357" t="str">
        <f>VLOOKUP($C$22,LS3B!$A$3:$AY$36,14,0)</f>
        <v>C</v>
      </c>
      <c r="G30" s="357">
        <f>RANK(E30,LS3B!$M$6:$M$27)</f>
        <v>10</v>
      </c>
      <c r="H30" s="281">
        <f>LS3B!M36</f>
        <v>57.34</v>
      </c>
      <c r="I30" s="283"/>
    </row>
    <row r="31" ht="23.25" customHeight="1">
      <c r="A31" s="280"/>
      <c r="B31" s="390" t="s">
        <v>26</v>
      </c>
      <c r="C31" s="358">
        <f>VLOOKUP($C$22,LS3B!$A$3:$AY$36,15,0)</f>
        <v>31</v>
      </c>
      <c r="D31" s="357">
        <f>VLOOKUP($C$22,LS3B!$A$3:$AY$36,16,0)</f>
        <v>32</v>
      </c>
      <c r="E31" s="358">
        <f t="shared" si="1"/>
        <v>63</v>
      </c>
      <c r="F31" s="357" t="str">
        <f>VLOOKUP($C$22,LS3B!$A$3:$AY$36,18,0)</f>
        <v>C</v>
      </c>
      <c r="G31" s="357">
        <f>RANK(E31,LS3B!$Q$6:$Q$27)</f>
        <v>10</v>
      </c>
      <c r="H31" s="281">
        <f>LS3B!Q36</f>
        <v>62.36</v>
      </c>
      <c r="I31" s="283"/>
    </row>
    <row r="32" ht="25.5" customHeight="1">
      <c r="A32" s="280"/>
      <c r="B32" s="390" t="s">
        <v>27</v>
      </c>
      <c r="C32" s="358">
        <f>VLOOKUP($C$22,LS3B!$A$3:$AY$36,19,0)</f>
        <v>25</v>
      </c>
      <c r="D32" s="357">
        <f>VLOOKUP($C$22,LS3B!$A$3:$AY$36,20,0)</f>
        <v>37</v>
      </c>
      <c r="E32" s="358">
        <f t="shared" si="1"/>
        <v>62</v>
      </c>
      <c r="F32" s="357" t="str">
        <f>VLOOKUP($C$22,LS3B!$A$3:$AY$36,22,0)</f>
        <v>C</v>
      </c>
      <c r="G32" s="357">
        <f>RANK(E32,LS3B!$U$6:$U$27)</f>
        <v>8</v>
      </c>
      <c r="H32" s="281">
        <f>LS3B!U36</f>
        <v>55.76</v>
      </c>
      <c r="I32" s="283"/>
    </row>
    <row r="33" ht="25.5" customHeight="1">
      <c r="A33" s="280"/>
      <c r="B33" s="390" t="s">
        <v>28</v>
      </c>
      <c r="C33" s="358">
        <f>VLOOKUP($C$22,LS3B!$A$3:$AY$36,23,0)</f>
        <v>24</v>
      </c>
      <c r="D33" s="357">
        <f>VLOOKUP($C$22,LS3B!$A$3:$AY$36,24,0)</f>
        <v>48</v>
      </c>
      <c r="E33" s="358">
        <f t="shared" si="1"/>
        <v>72</v>
      </c>
      <c r="F33" s="357" t="str">
        <f>VLOOKUP($C$22,LS3B!$A$3:$AY$36,26,0)</f>
        <v>B</v>
      </c>
      <c r="G33" s="357">
        <f>RANK(E33,LS3B!$Y$6:$Y$27)</f>
        <v>9</v>
      </c>
      <c r="H33" s="281">
        <f>LS3B!Y36</f>
        <v>66.56</v>
      </c>
      <c r="I33" s="283"/>
    </row>
    <row r="34" ht="24.0" customHeight="1">
      <c r="A34" s="280"/>
      <c r="B34" s="390" t="s">
        <v>29</v>
      </c>
      <c r="C34" s="358">
        <f>VLOOKUP($C$22,LS3B!$A$3:$AY$36,27,0)</f>
        <v>31</v>
      </c>
      <c r="D34" s="357">
        <f>VLOOKUP($C$22,LS3B!$A$3:$AY$36,28,0)</f>
        <v>32</v>
      </c>
      <c r="E34" s="358">
        <f t="shared" si="1"/>
        <v>63</v>
      </c>
      <c r="F34" s="357" t="str">
        <f>VLOOKUP($C$22,LS3B!$A$3:$AY$36,30,0)</f>
        <v>C</v>
      </c>
      <c r="G34" s="357">
        <f>RANK(E34,LS3B!$AC$6:$AC$27)</f>
        <v>7</v>
      </c>
      <c r="H34" s="281">
        <f>LS3B!AC36</f>
        <v>58.2</v>
      </c>
      <c r="I34" s="283"/>
    </row>
    <row r="35" ht="25.5" customHeight="1">
      <c r="A35" s="280"/>
      <c r="B35" s="390" t="s">
        <v>625</v>
      </c>
      <c r="C35" s="358">
        <f>VLOOKUP($C$22,LS3B!$A$3:$AY$36,31,0)</f>
        <v>29</v>
      </c>
      <c r="D35" s="357">
        <f>VLOOKUP($C$22,LS3B!$A$3:$AY$36,32,0)</f>
        <v>42</v>
      </c>
      <c r="E35" s="358">
        <f t="shared" si="1"/>
        <v>71</v>
      </c>
      <c r="F35" s="357" t="str">
        <f>VLOOKUP($C$22,LS3B!$A$3:$AY$36,34,0)</f>
        <v>B</v>
      </c>
      <c r="G35" s="357">
        <f>RANK(E35,LS3B!$AG$6:$AG$27)</f>
        <v>14</v>
      </c>
      <c r="H35" s="281">
        <f>LS3B!AG36</f>
        <v>75.6</v>
      </c>
      <c r="I35" s="283"/>
    </row>
    <row r="36" ht="23.25" customHeight="1">
      <c r="A36" s="280"/>
      <c r="B36" s="390" t="s">
        <v>31</v>
      </c>
      <c r="C36" s="358">
        <f>VLOOKUP($C$22,LS3B!$A$3:$AY$36,35,0)</f>
        <v>18</v>
      </c>
      <c r="D36" s="357">
        <f>VLOOKUP($C$22,LS3B!$A$3:$AY$36,36,0)</f>
        <v>40</v>
      </c>
      <c r="E36" s="358">
        <f t="shared" si="1"/>
        <v>58</v>
      </c>
      <c r="F36" s="357" t="str">
        <f>VLOOKUP($C$22,LS3B!$A$3:$AY$36,38,0)</f>
        <v>D</v>
      </c>
      <c r="G36" s="357">
        <f>RANK(E36,LS3B!$AK$6:$AK$27)</f>
        <v>11</v>
      </c>
      <c r="H36" s="281">
        <f>LS3B!AK36</f>
        <v>57.6</v>
      </c>
      <c r="I36" s="283"/>
    </row>
    <row r="37" ht="35.25" customHeight="1">
      <c r="A37" s="280"/>
      <c r="B37" s="390" t="s">
        <v>32</v>
      </c>
      <c r="C37" s="358">
        <f>VLOOKUP($C$22,LS3B!$A$3:$AY$36,39,0)</f>
        <v>19</v>
      </c>
      <c r="D37" s="357">
        <f>VLOOKUP($C$22,LS3B!$A$3:$AY$36,40,0)</f>
        <v>50</v>
      </c>
      <c r="E37" s="358">
        <f t="shared" si="1"/>
        <v>69</v>
      </c>
      <c r="F37" s="357" t="str">
        <f>VLOOKUP($C$22,LS3B!$A$3:$AY$36,42,0)</f>
        <v>C</v>
      </c>
      <c r="G37" s="357">
        <f>RANK(E37,LS3B!$AO$6:$AO$27)</f>
        <v>13</v>
      </c>
      <c r="H37" s="281">
        <f>LS3B!AO36</f>
        <v>68.624</v>
      </c>
      <c r="I37" s="283"/>
    </row>
    <row r="38" ht="21.75" customHeight="1">
      <c r="A38" s="280"/>
      <c r="B38" s="260"/>
      <c r="C38" s="130"/>
      <c r="D38" s="313"/>
      <c r="E38" s="313"/>
      <c r="F38" s="313"/>
      <c r="G38" s="313"/>
      <c r="H38" s="313"/>
      <c r="I38" s="283"/>
    </row>
    <row r="39" ht="21.75" customHeight="1">
      <c r="A39" s="2"/>
      <c r="B39" s="260"/>
      <c r="C39" s="130"/>
      <c r="D39" s="284"/>
      <c r="E39" s="284"/>
      <c r="F39" s="284"/>
      <c r="G39" s="284"/>
      <c r="H39" s="284"/>
      <c r="I39" s="2"/>
    </row>
    <row r="40" ht="24.0" customHeight="1">
      <c r="A40" s="280"/>
      <c r="B40" s="397" t="s">
        <v>655</v>
      </c>
      <c r="C40" s="46"/>
      <c r="D40" s="283"/>
      <c r="E40" s="2"/>
      <c r="F40" s="398" t="s">
        <v>627</v>
      </c>
      <c r="G40" s="46"/>
      <c r="H40" s="273"/>
      <c r="I40" s="2"/>
    </row>
    <row r="41" ht="28.5" customHeight="1">
      <c r="A41" s="280"/>
      <c r="B41" s="291" t="s">
        <v>74</v>
      </c>
      <c r="C41" s="399" t="str">
        <f>VLOOKUP($C$22,LS3B!$A$3:$AY$36,46,0)</f>
        <v>B</v>
      </c>
      <c r="E41" s="280"/>
      <c r="F41" s="293" t="s">
        <v>628</v>
      </c>
      <c r="G41" s="294">
        <f>AVERAGE(E28:E37)</f>
        <v>62.7</v>
      </c>
      <c r="I41" s="283"/>
    </row>
    <row r="42" ht="26.25" customHeight="1">
      <c r="A42" s="280"/>
      <c r="B42" s="291" t="s">
        <v>75</v>
      </c>
      <c r="C42" s="399" t="str">
        <f>VLOOKUP($C$22,LS3B!$A$3:$AY$36,47,0)</f>
        <v>A</v>
      </c>
      <c r="E42" s="280"/>
      <c r="F42" s="293" t="s">
        <v>629</v>
      </c>
      <c r="G42" s="295">
        <f>COUNTIF(E28:E37,"&gt;=50")</f>
        <v>10</v>
      </c>
      <c r="I42" s="283"/>
    </row>
    <row r="43" ht="24.0" customHeight="1">
      <c r="A43" s="280"/>
      <c r="B43" s="291" t="s">
        <v>76</v>
      </c>
      <c r="C43" s="399" t="str">
        <f>VLOOKUP($C$22,LS3B!$A$3:$AY$36,48,0)</f>
        <v>B</v>
      </c>
      <c r="E43" s="280"/>
      <c r="F43" s="293" t="s">
        <v>630</v>
      </c>
      <c r="G43" s="295">
        <f>COUNTIF(E28:E37,"&lt;=50")</f>
        <v>0</v>
      </c>
      <c r="I43" s="296"/>
    </row>
    <row r="44" ht="28.5" customHeight="1">
      <c r="A44" s="280"/>
      <c r="B44" s="291" t="s">
        <v>77</v>
      </c>
      <c r="C44" s="399" t="str">
        <f>VLOOKUP($C$22,LS3B!$A$3:$AY$36,49,0)</f>
        <v>A</v>
      </c>
      <c r="E44" s="280"/>
      <c r="F44" s="293" t="s">
        <v>631</v>
      </c>
      <c r="G44" s="297">
        <f>RANK(G41,LS3B!$AR$5:$AR$30)</f>
        <v>11</v>
      </c>
      <c r="I44" s="296"/>
    </row>
    <row r="45" ht="19.5" customHeight="1">
      <c r="A45" s="280"/>
      <c r="B45" s="298" t="s">
        <v>78</v>
      </c>
      <c r="C45" s="399" t="str">
        <f>VLOOKUP($C$22,LS3B!$A$3:$AY$36,50,0)</f>
        <v>A</v>
      </c>
      <c r="E45" s="280"/>
      <c r="F45" s="293" t="s">
        <v>632</v>
      </c>
      <c r="G45" s="299">
        <f>COUNT(LS3B!A5:A30)</f>
        <v>25</v>
      </c>
      <c r="I45" s="296"/>
    </row>
    <row r="46" ht="8.25" customHeight="1">
      <c r="A46" s="2"/>
      <c r="B46" s="300"/>
      <c r="C46" s="285"/>
      <c r="D46" s="2"/>
      <c r="E46" s="2"/>
      <c r="F46" s="301" t="s">
        <v>633</v>
      </c>
      <c r="G46" s="284"/>
      <c r="H46" s="284"/>
      <c r="I46" s="261"/>
    </row>
    <row r="47" ht="12.0" customHeight="1">
      <c r="A47" s="2"/>
      <c r="B47" s="261"/>
      <c r="C47" s="262"/>
      <c r="D47" s="2"/>
      <c r="E47" s="2"/>
      <c r="F47" s="2"/>
      <c r="G47" s="2"/>
      <c r="H47" s="2"/>
      <c r="I47" s="261"/>
    </row>
    <row r="48" ht="12.0" customHeight="1">
      <c r="A48" s="2"/>
      <c r="B48" s="261"/>
      <c r="C48" s="262"/>
      <c r="D48" s="2"/>
      <c r="E48" s="2"/>
      <c r="F48" s="2"/>
      <c r="G48" s="2"/>
      <c r="H48" s="2"/>
      <c r="I48" s="261"/>
    </row>
    <row r="49" ht="31.5" customHeight="1">
      <c r="A49" s="2"/>
      <c r="B49" s="302" t="s">
        <v>634</v>
      </c>
      <c r="C49" s="10"/>
      <c r="D49" s="2"/>
      <c r="E49" s="2"/>
      <c r="F49" s="2"/>
      <c r="G49" s="2"/>
      <c r="H49" s="2"/>
      <c r="I49" s="261"/>
    </row>
    <row r="50" ht="12.0" customHeight="1">
      <c r="A50" s="2"/>
      <c r="B50" s="271"/>
      <c r="C50" s="272"/>
      <c r="D50" s="273"/>
      <c r="E50" s="273"/>
      <c r="F50" s="273"/>
      <c r="G50" s="273"/>
      <c r="H50" s="273"/>
      <c r="I50" s="261"/>
    </row>
    <row r="51" ht="30.0" customHeight="1">
      <c r="A51" s="280"/>
      <c r="B51" s="393" t="str">
        <f>VLOOKUP($C$22,LS3B!$A$3:$AY$36,51,0)</f>
        <v>Amaan is polite, well-behaved, and always neatly presented. He sometimes becomes influenced by friends and forgets previously learned content. Choosing supportive peers, maintaining a regular revision routine, and staying focused during lessons will help him improve across all subjects.</v>
      </c>
      <c r="C51" s="304"/>
      <c r="D51" s="304"/>
      <c r="E51" s="304"/>
      <c r="F51" s="304"/>
      <c r="G51" s="304"/>
      <c r="H51" s="305"/>
      <c r="I51" s="296"/>
    </row>
    <row r="52" ht="22.5" customHeight="1">
      <c r="A52" s="280"/>
      <c r="B52" s="306"/>
      <c r="H52" s="307"/>
      <c r="I52" s="296"/>
    </row>
    <row r="53" ht="18.0" customHeight="1">
      <c r="A53" s="280"/>
      <c r="B53" s="306"/>
      <c r="H53" s="307"/>
      <c r="I53" s="296"/>
    </row>
    <row r="54" ht="18.0" customHeight="1">
      <c r="A54" s="280"/>
      <c r="B54" s="308"/>
      <c r="C54" s="309"/>
      <c r="D54" s="309"/>
      <c r="E54" s="309"/>
      <c r="F54" s="309"/>
      <c r="G54" s="309"/>
      <c r="H54" s="310"/>
      <c r="I54" s="283"/>
    </row>
    <row r="55" ht="27.0" customHeight="1">
      <c r="A55" s="2"/>
      <c r="B55" s="314"/>
      <c r="C55" s="315"/>
      <c r="D55" s="286"/>
      <c r="E55" s="284"/>
      <c r="F55" s="286"/>
      <c r="G55" s="286"/>
      <c r="H55" s="286"/>
      <c r="I55" s="2"/>
    </row>
    <row r="56" ht="24.0" customHeight="1">
      <c r="A56" s="280"/>
      <c r="B56" s="317" t="s">
        <v>635</v>
      </c>
      <c r="C56" s="45"/>
      <c r="D56" s="46"/>
      <c r="E56" s="368"/>
      <c r="F56" s="319" t="s">
        <v>636</v>
      </c>
      <c r="G56" s="45"/>
      <c r="H56" s="46"/>
      <c r="I56" s="283"/>
    </row>
    <row r="57" ht="29.25" customHeight="1">
      <c r="A57" s="280"/>
      <c r="B57" s="320" t="s">
        <v>637</v>
      </c>
      <c r="C57" s="321" t="s">
        <v>638</v>
      </c>
      <c r="D57" s="320" t="s">
        <v>639</v>
      </c>
      <c r="E57" s="368"/>
      <c r="F57" s="323" t="s">
        <v>637</v>
      </c>
      <c r="G57" s="324" t="s">
        <v>638</v>
      </c>
      <c r="H57" s="325"/>
      <c r="I57" s="283"/>
    </row>
    <row r="58" ht="25.5" customHeight="1">
      <c r="A58" s="280"/>
      <c r="B58" s="320" t="s">
        <v>151</v>
      </c>
      <c r="C58" s="321" t="s">
        <v>86</v>
      </c>
      <c r="D58" s="320" t="s">
        <v>640</v>
      </c>
      <c r="E58" s="368"/>
      <c r="F58" s="327" t="s">
        <v>641</v>
      </c>
      <c r="G58" s="328" t="s">
        <v>86</v>
      </c>
      <c r="H58" s="325"/>
      <c r="I58" s="283"/>
    </row>
    <row r="59" ht="25.5" customHeight="1">
      <c r="A59" s="280"/>
      <c r="B59" s="320" t="s">
        <v>150</v>
      </c>
      <c r="C59" s="321" t="s">
        <v>85</v>
      </c>
      <c r="D59" s="320" t="s">
        <v>640</v>
      </c>
      <c r="E59" s="368"/>
      <c r="F59" s="327" t="s">
        <v>149</v>
      </c>
      <c r="G59" s="328" t="s">
        <v>85</v>
      </c>
      <c r="H59" s="325"/>
      <c r="I59" s="283"/>
    </row>
    <row r="60" ht="25.5" customHeight="1">
      <c r="A60" s="280"/>
      <c r="B60" s="320" t="s">
        <v>149</v>
      </c>
      <c r="C60" s="321" t="s">
        <v>87</v>
      </c>
      <c r="D60" s="320" t="s">
        <v>642</v>
      </c>
      <c r="E60" s="368"/>
      <c r="F60" s="327" t="s">
        <v>148</v>
      </c>
      <c r="G60" s="328" t="s">
        <v>87</v>
      </c>
      <c r="H60" s="325"/>
      <c r="I60" s="283"/>
    </row>
    <row r="61" ht="24.0" customHeight="1">
      <c r="A61" s="280"/>
      <c r="B61" s="320" t="s">
        <v>148</v>
      </c>
      <c r="C61" s="321" t="s">
        <v>90</v>
      </c>
      <c r="D61" s="320" t="s">
        <v>643</v>
      </c>
      <c r="E61" s="368"/>
      <c r="F61" s="327" t="s">
        <v>147</v>
      </c>
      <c r="G61" s="328" t="s">
        <v>90</v>
      </c>
      <c r="H61" s="325"/>
      <c r="I61" s="283"/>
    </row>
    <row r="62" ht="24.75" customHeight="1">
      <c r="A62" s="280"/>
      <c r="B62" s="320" t="s">
        <v>147</v>
      </c>
      <c r="C62" s="321" t="s">
        <v>93</v>
      </c>
      <c r="D62" s="320" t="s">
        <v>644</v>
      </c>
      <c r="E62" s="368"/>
      <c r="F62" s="386" t="s">
        <v>645</v>
      </c>
      <c r="G62" s="372" t="s">
        <v>93</v>
      </c>
      <c r="H62" s="343"/>
      <c r="I62" s="283"/>
    </row>
    <row r="63" ht="22.5" customHeight="1">
      <c r="A63" s="280"/>
      <c r="B63" s="320" t="s">
        <v>145</v>
      </c>
      <c r="C63" s="321" t="s">
        <v>146</v>
      </c>
      <c r="D63" s="320" t="s">
        <v>644</v>
      </c>
      <c r="E63" s="368"/>
      <c r="F63" s="400"/>
      <c r="G63" s="400"/>
      <c r="H63" s="336"/>
      <c r="I63" s="283"/>
    </row>
    <row r="64" ht="21.75" customHeight="1">
      <c r="A64" s="280"/>
      <c r="B64" s="320" t="s">
        <v>143</v>
      </c>
      <c r="C64" s="321" t="s">
        <v>144</v>
      </c>
      <c r="D64" s="320" t="s">
        <v>646</v>
      </c>
      <c r="E64" s="283"/>
      <c r="F64" s="286"/>
      <c r="G64" s="286"/>
      <c r="H64" s="284"/>
      <c r="I64" s="2"/>
    </row>
    <row r="65" ht="24.75" customHeight="1">
      <c r="A65" s="280"/>
      <c r="B65" s="320" t="s">
        <v>141</v>
      </c>
      <c r="C65" s="321" t="s">
        <v>142</v>
      </c>
      <c r="D65" s="320" t="s">
        <v>646</v>
      </c>
      <c r="E65" s="368"/>
      <c r="F65" s="334" t="s">
        <v>647</v>
      </c>
      <c r="G65" s="334"/>
      <c r="H65" s="283"/>
      <c r="I65" s="2"/>
    </row>
    <row r="66" ht="23.25" customHeight="1">
      <c r="A66" s="280"/>
      <c r="B66" s="320" t="s">
        <v>139</v>
      </c>
      <c r="C66" s="321" t="s">
        <v>140</v>
      </c>
      <c r="D66" s="320" t="s">
        <v>646</v>
      </c>
      <c r="E66" s="368"/>
      <c r="F66" s="334" t="s">
        <v>648</v>
      </c>
      <c r="G66" s="334"/>
      <c r="H66" s="283"/>
      <c r="I66" s="2"/>
    </row>
    <row r="67" ht="12.0" customHeight="1">
      <c r="A67" s="2"/>
      <c r="B67" s="300"/>
      <c r="C67" s="285"/>
      <c r="D67" s="284"/>
      <c r="E67" s="2"/>
      <c r="F67" s="284"/>
      <c r="G67" s="284"/>
      <c r="H67" s="2"/>
      <c r="I67" s="2"/>
    </row>
    <row r="68" ht="12.0" customHeight="1">
      <c r="B68" s="260"/>
      <c r="C68" s="130"/>
    </row>
    <row r="69" ht="12.0" customHeight="1">
      <c r="B69" s="335" t="s">
        <v>660</v>
      </c>
      <c r="C69" s="336"/>
      <c r="D69" s="337"/>
      <c r="E69" s="374"/>
      <c r="F69" s="339"/>
      <c r="G69" s="340"/>
      <c r="H69" s="341"/>
    </row>
    <row r="70" ht="12.0" customHeight="1">
      <c r="B70" s="342"/>
      <c r="D70" s="343"/>
      <c r="F70" s="344"/>
      <c r="H70" s="343"/>
    </row>
    <row r="71" ht="12.0" customHeight="1">
      <c r="B71" s="345"/>
      <c r="C71" s="346"/>
      <c r="D71" s="325"/>
      <c r="E71" s="346"/>
      <c r="F71" s="347"/>
      <c r="G71" s="346"/>
      <c r="H71" s="325"/>
    </row>
    <row r="72" ht="18.0" customHeight="1">
      <c r="B72" s="348" t="s">
        <v>650</v>
      </c>
      <c r="C72" s="346"/>
      <c r="D72" s="325"/>
      <c r="E72" s="349" t="s">
        <v>651</v>
      </c>
      <c r="F72" s="325"/>
      <c r="G72" s="350" t="s">
        <v>652</v>
      </c>
      <c r="H72" s="325"/>
    </row>
    <row r="73" ht="12.0" customHeight="1">
      <c r="C73" s="130"/>
    </row>
    <row r="74" ht="12.0" customHeight="1">
      <c r="C74" s="130"/>
    </row>
    <row r="75" ht="12.0" customHeight="1">
      <c r="C75" s="130"/>
    </row>
    <row r="76" ht="12.0" customHeight="1">
      <c r="C76" s="130"/>
    </row>
    <row r="77" ht="12.0" customHeight="1">
      <c r="C77" s="130"/>
    </row>
    <row r="78" ht="12.0" customHeight="1">
      <c r="C78" s="130"/>
    </row>
    <row r="79" ht="12.0" customHeight="1">
      <c r="C79" s="130"/>
    </row>
    <row r="80" ht="12.0" customHeight="1">
      <c r="C80" s="130"/>
    </row>
    <row r="81" ht="12.0" customHeight="1">
      <c r="C81" s="130"/>
    </row>
    <row r="82" ht="12.0" customHeight="1">
      <c r="C82" s="130"/>
    </row>
    <row r="83" ht="12.0" customHeight="1">
      <c r="C83" s="130"/>
    </row>
    <row r="84" ht="12.0" customHeight="1">
      <c r="C84" s="130"/>
    </row>
    <row r="85" ht="12.0" customHeight="1">
      <c r="C85" s="130"/>
    </row>
    <row r="86" ht="12.0" customHeight="1">
      <c r="C86" s="130"/>
    </row>
    <row r="87" ht="12.0" customHeight="1">
      <c r="C87" s="130"/>
    </row>
    <row r="88" ht="12.0" customHeight="1">
      <c r="C88" s="130"/>
    </row>
    <row r="89" ht="12.0" customHeight="1">
      <c r="C89" s="130"/>
    </row>
    <row r="90" ht="12.0" customHeight="1">
      <c r="C90" s="130"/>
    </row>
    <row r="91" ht="12.0" customHeight="1">
      <c r="C91" s="130"/>
    </row>
    <row r="92" ht="12.0" customHeight="1">
      <c r="C92" s="130"/>
    </row>
    <row r="93" ht="12.0" customHeight="1">
      <c r="C93" s="130"/>
    </row>
    <row r="94" ht="12.0" customHeight="1">
      <c r="C94" s="130"/>
    </row>
    <row r="95" ht="12.0" customHeight="1">
      <c r="C95" s="130"/>
    </row>
    <row r="96" ht="12.0" customHeight="1">
      <c r="C96" s="130"/>
    </row>
    <row r="97" ht="12.0" customHeight="1">
      <c r="C97" s="130"/>
    </row>
    <row r="98" ht="12.0" customHeight="1">
      <c r="C98" s="130"/>
    </row>
    <row r="99" ht="12.0" customHeight="1">
      <c r="B99" s="260"/>
      <c r="C99" s="130"/>
    </row>
    <row r="100" ht="12.0" customHeight="1">
      <c r="B100" s="260"/>
      <c r="C100" s="130"/>
    </row>
    <row r="101" ht="12.0" customHeight="1">
      <c r="B101" s="260"/>
      <c r="C101" s="130"/>
    </row>
    <row r="102" ht="12.0" customHeight="1">
      <c r="B102" s="260"/>
      <c r="C102" s="130"/>
    </row>
    <row r="103" ht="12.0" customHeight="1">
      <c r="B103" s="260"/>
      <c r="C103" s="130"/>
    </row>
    <row r="104" ht="12.0" customHeight="1">
      <c r="B104" s="260"/>
      <c r="C104" s="130"/>
    </row>
    <row r="105" ht="12.0" customHeight="1">
      <c r="B105" s="260"/>
      <c r="C105" s="130"/>
    </row>
    <row r="106" ht="12.0" customHeight="1">
      <c r="B106" s="260"/>
      <c r="C106" s="130"/>
    </row>
    <row r="107" ht="12.0" customHeight="1">
      <c r="B107" s="260"/>
      <c r="C107" s="130"/>
    </row>
    <row r="108" ht="12.0" customHeight="1">
      <c r="B108" s="260"/>
      <c r="C108" s="130"/>
    </row>
    <row r="109" ht="12.0" customHeight="1">
      <c r="B109" s="260"/>
      <c r="C109" s="130"/>
    </row>
    <row r="110" ht="12.0" customHeight="1">
      <c r="B110" s="260"/>
      <c r="C110" s="130"/>
    </row>
    <row r="111" ht="12.0" customHeight="1">
      <c r="B111" s="260"/>
      <c r="C111" s="130"/>
    </row>
    <row r="112" ht="12.0" customHeight="1">
      <c r="B112" s="260"/>
      <c r="C112" s="130"/>
    </row>
    <row r="113" ht="12.0" customHeight="1">
      <c r="B113" s="260"/>
      <c r="C113" s="130"/>
    </row>
    <row r="114" ht="12.0" customHeight="1">
      <c r="B114" s="260"/>
      <c r="C114" s="130"/>
    </row>
    <row r="115" ht="12.0" customHeight="1">
      <c r="B115" s="260"/>
      <c r="C115" s="130"/>
    </row>
    <row r="116" ht="12.0" customHeight="1">
      <c r="B116" s="260"/>
      <c r="C116" s="130"/>
    </row>
    <row r="117" ht="12.0" customHeight="1">
      <c r="B117" s="260"/>
      <c r="C117" s="130"/>
    </row>
    <row r="118" ht="12.0" customHeight="1">
      <c r="B118" s="260"/>
      <c r="C118" s="130"/>
    </row>
    <row r="119" ht="12.0" customHeight="1">
      <c r="B119" s="260"/>
      <c r="C119" s="130"/>
    </row>
    <row r="120" ht="12.0" customHeight="1">
      <c r="B120" s="260"/>
      <c r="C120" s="130"/>
    </row>
    <row r="121" ht="12.0" customHeight="1">
      <c r="B121" s="260"/>
      <c r="C121" s="130"/>
    </row>
    <row r="122" ht="12.0" customHeight="1">
      <c r="B122" s="260"/>
      <c r="C122" s="130"/>
    </row>
    <row r="123" ht="12.0" customHeight="1">
      <c r="B123" s="260"/>
      <c r="C123" s="130"/>
    </row>
    <row r="124" ht="12.0" customHeight="1">
      <c r="B124" s="260"/>
      <c r="C124" s="130"/>
    </row>
    <row r="125" ht="12.0" customHeight="1">
      <c r="B125" s="260"/>
      <c r="C125" s="130"/>
    </row>
    <row r="126" ht="12.0" customHeight="1">
      <c r="B126" s="260"/>
      <c r="C126" s="130"/>
    </row>
    <row r="127" ht="12.0" customHeight="1">
      <c r="B127" s="260"/>
      <c r="C127" s="130"/>
    </row>
    <row r="128" ht="12.0" customHeight="1">
      <c r="B128" s="260"/>
      <c r="C128" s="130"/>
    </row>
    <row r="129" ht="12.0" customHeight="1">
      <c r="B129" s="260"/>
      <c r="C129" s="130"/>
    </row>
    <row r="130" ht="12.0" customHeight="1">
      <c r="B130" s="260"/>
      <c r="C130" s="130"/>
    </row>
    <row r="131" ht="12.0" customHeight="1">
      <c r="B131" s="260"/>
      <c r="C131" s="130"/>
    </row>
    <row r="132" ht="12.0" customHeight="1">
      <c r="B132" s="260"/>
      <c r="C132" s="130"/>
    </row>
    <row r="133" ht="12.0" customHeight="1">
      <c r="B133" s="260"/>
      <c r="C133" s="130"/>
    </row>
    <row r="134" ht="12.0" customHeight="1">
      <c r="B134" s="260"/>
      <c r="C134" s="130"/>
    </row>
    <row r="135" ht="12.0" customHeight="1">
      <c r="B135" s="260"/>
      <c r="C135" s="130"/>
    </row>
    <row r="136" ht="12.0" customHeight="1">
      <c r="B136" s="260"/>
      <c r="C136" s="130"/>
    </row>
    <row r="137" ht="12.0" customHeight="1">
      <c r="B137" s="260"/>
      <c r="C137" s="130"/>
    </row>
    <row r="138" ht="12.0" customHeight="1">
      <c r="B138" s="260"/>
      <c r="C138" s="130"/>
    </row>
    <row r="139" ht="12.0" customHeight="1">
      <c r="B139" s="260"/>
      <c r="C139" s="130"/>
    </row>
    <row r="140" ht="12.0" customHeight="1">
      <c r="B140" s="260"/>
      <c r="C140" s="130"/>
    </row>
    <row r="141" ht="12.0" customHeight="1">
      <c r="B141" s="260"/>
      <c r="C141" s="130"/>
    </row>
    <row r="142" ht="12.0" customHeight="1">
      <c r="B142" s="260"/>
      <c r="C142" s="130"/>
    </row>
    <row r="143" ht="12.0" customHeight="1">
      <c r="B143" s="260"/>
      <c r="C143" s="130"/>
    </row>
    <row r="144" ht="12.0" customHeight="1">
      <c r="B144" s="260"/>
      <c r="C144" s="130"/>
    </row>
    <row r="145" ht="12.0" customHeight="1">
      <c r="B145" s="260"/>
      <c r="C145" s="130"/>
    </row>
    <row r="146" ht="12.0" customHeight="1">
      <c r="B146" s="260"/>
      <c r="C146" s="130"/>
    </row>
    <row r="147" ht="12.0" customHeight="1">
      <c r="B147" s="260"/>
      <c r="C147" s="130"/>
    </row>
    <row r="148" ht="12.0" customHeight="1">
      <c r="B148" s="260"/>
      <c r="C148" s="130"/>
    </row>
    <row r="149" ht="12.0" customHeight="1">
      <c r="B149" s="260"/>
      <c r="C149" s="130"/>
    </row>
    <row r="150" ht="12.0" customHeight="1">
      <c r="B150" s="260"/>
      <c r="C150" s="130"/>
    </row>
    <row r="151" ht="12.0" customHeight="1">
      <c r="B151" s="260"/>
      <c r="C151" s="130"/>
    </row>
    <row r="152" ht="12.0" customHeight="1">
      <c r="B152" s="260"/>
      <c r="C152" s="130"/>
    </row>
    <row r="153" ht="12.0" customHeight="1">
      <c r="B153" s="260"/>
      <c r="C153" s="130"/>
    </row>
    <row r="154" ht="12.0" customHeight="1">
      <c r="B154" s="260"/>
      <c r="C154" s="130"/>
    </row>
    <row r="155" ht="12.0" customHeight="1">
      <c r="B155" s="260"/>
      <c r="C155" s="130"/>
    </row>
    <row r="156" ht="12.0" customHeight="1">
      <c r="B156" s="260"/>
      <c r="C156" s="130"/>
    </row>
    <row r="157" ht="12.0" customHeight="1">
      <c r="B157" s="260"/>
      <c r="C157" s="130"/>
    </row>
    <row r="158" ht="12.0" customHeight="1">
      <c r="B158" s="260"/>
      <c r="C158" s="130"/>
    </row>
    <row r="159" ht="12.0" customHeight="1">
      <c r="B159" s="260"/>
      <c r="C159" s="130"/>
    </row>
    <row r="160" ht="12.0" customHeight="1">
      <c r="B160" s="260"/>
      <c r="C160" s="130"/>
    </row>
    <row r="161" ht="12.0" customHeight="1">
      <c r="B161" s="260"/>
      <c r="C161" s="130"/>
    </row>
    <row r="162" ht="12.0" customHeight="1">
      <c r="B162" s="260"/>
      <c r="C162" s="130"/>
    </row>
    <row r="163" ht="12.0" customHeight="1">
      <c r="B163" s="260"/>
      <c r="C163" s="130"/>
    </row>
    <row r="164" ht="12.0" customHeight="1">
      <c r="B164" s="260"/>
      <c r="C164" s="130"/>
    </row>
    <row r="165" ht="12.0" customHeight="1">
      <c r="B165" s="260"/>
      <c r="C165" s="130"/>
    </row>
    <row r="166" ht="12.0" customHeight="1">
      <c r="B166" s="260"/>
      <c r="C166" s="130"/>
    </row>
    <row r="167" ht="12.0" customHeight="1">
      <c r="B167" s="260"/>
      <c r="C167" s="130"/>
    </row>
    <row r="168" ht="12.0" customHeight="1">
      <c r="B168" s="260"/>
      <c r="C168" s="130"/>
    </row>
    <row r="169" ht="12.0" customHeight="1">
      <c r="B169" s="260"/>
      <c r="C169" s="130"/>
    </row>
    <row r="170" ht="12.0" customHeight="1">
      <c r="B170" s="260"/>
      <c r="C170" s="130"/>
    </row>
    <row r="171" ht="12.0" customHeight="1">
      <c r="B171" s="260"/>
      <c r="C171" s="130"/>
    </row>
    <row r="172" ht="12.0" customHeight="1">
      <c r="B172" s="260"/>
      <c r="C172" s="130"/>
    </row>
    <row r="173" ht="12.0" customHeight="1">
      <c r="B173" s="260"/>
      <c r="C173" s="130"/>
    </row>
    <row r="174" ht="12.0" customHeight="1">
      <c r="B174" s="260"/>
      <c r="C174" s="130"/>
    </row>
    <row r="175" ht="12.0" customHeight="1">
      <c r="B175" s="260"/>
      <c r="C175" s="130"/>
    </row>
    <row r="176" ht="12.0" customHeight="1">
      <c r="B176" s="260"/>
      <c r="C176" s="130"/>
    </row>
    <row r="177" ht="12.0" customHeight="1">
      <c r="B177" s="260"/>
      <c r="C177" s="130"/>
    </row>
    <row r="178" ht="12.0" customHeight="1">
      <c r="B178" s="260"/>
      <c r="C178" s="130"/>
    </row>
    <row r="179" ht="12.0" customHeight="1">
      <c r="B179" s="260"/>
      <c r="C179" s="130"/>
    </row>
    <row r="180" ht="12.0" customHeight="1">
      <c r="B180" s="260"/>
      <c r="C180" s="130"/>
    </row>
    <row r="181" ht="12.0" customHeight="1">
      <c r="B181" s="260"/>
      <c r="C181" s="130"/>
    </row>
    <row r="182" ht="12.0" customHeight="1">
      <c r="B182" s="260"/>
      <c r="C182" s="130"/>
    </row>
    <row r="183" ht="12.0" customHeight="1">
      <c r="B183" s="260"/>
      <c r="C183" s="130"/>
    </row>
    <row r="184" ht="12.0" customHeight="1">
      <c r="B184" s="260"/>
      <c r="C184" s="130"/>
    </row>
    <row r="185" ht="12.0" customHeight="1">
      <c r="B185" s="260"/>
      <c r="C185" s="130"/>
    </row>
    <row r="186" ht="12.0" customHeight="1">
      <c r="B186" s="260"/>
      <c r="C186" s="130"/>
    </row>
    <row r="187" ht="12.0" customHeight="1">
      <c r="B187" s="260"/>
      <c r="C187" s="130"/>
    </row>
    <row r="188" ht="12.0" customHeight="1">
      <c r="B188" s="260"/>
      <c r="C188" s="130"/>
    </row>
    <row r="189" ht="12.0" customHeight="1">
      <c r="B189" s="260"/>
      <c r="C189" s="130"/>
    </row>
    <row r="190" ht="12.0" customHeight="1">
      <c r="B190" s="260"/>
      <c r="C190" s="130"/>
    </row>
    <row r="191" ht="12.0" customHeight="1">
      <c r="B191" s="260"/>
      <c r="C191" s="130"/>
    </row>
    <row r="192" ht="12.0" customHeight="1">
      <c r="B192" s="260"/>
      <c r="C192" s="130"/>
    </row>
    <row r="193" ht="12.0" customHeight="1">
      <c r="B193" s="260"/>
      <c r="C193" s="130"/>
    </row>
    <row r="194" ht="12.0" customHeight="1">
      <c r="B194" s="260"/>
      <c r="C194" s="130"/>
    </row>
    <row r="195" ht="12.0" customHeight="1">
      <c r="B195" s="260"/>
      <c r="C195" s="130"/>
    </row>
    <row r="196" ht="12.0" customHeight="1">
      <c r="B196" s="260"/>
      <c r="C196" s="130"/>
    </row>
    <row r="197" ht="12.0" customHeight="1">
      <c r="B197" s="260"/>
      <c r="C197" s="130"/>
    </row>
    <row r="198" ht="12.0" customHeight="1">
      <c r="B198" s="260"/>
      <c r="C198" s="130"/>
    </row>
    <row r="199" ht="12.0" customHeight="1">
      <c r="B199" s="260"/>
      <c r="C199" s="130"/>
    </row>
    <row r="200" ht="12.0" customHeight="1">
      <c r="B200" s="260"/>
      <c r="C200" s="130"/>
    </row>
    <row r="201" ht="12.0" customHeight="1">
      <c r="B201" s="260"/>
      <c r="C201" s="130"/>
    </row>
    <row r="202" ht="12.0" customHeight="1">
      <c r="B202" s="260"/>
      <c r="C202" s="130"/>
    </row>
    <row r="203" ht="12.0" customHeight="1">
      <c r="B203" s="260"/>
      <c r="C203" s="130"/>
    </row>
    <row r="204" ht="12.0" customHeight="1">
      <c r="B204" s="260"/>
      <c r="C204" s="130"/>
    </row>
    <row r="205" ht="12.0" customHeight="1">
      <c r="B205" s="260"/>
      <c r="C205" s="130"/>
    </row>
    <row r="206" ht="12.0" customHeight="1">
      <c r="B206" s="260"/>
      <c r="C206" s="130"/>
    </row>
    <row r="207" ht="12.0" customHeight="1">
      <c r="B207" s="260"/>
      <c r="C207" s="130"/>
    </row>
    <row r="208" ht="12.0" customHeight="1">
      <c r="B208" s="260"/>
      <c r="C208" s="130"/>
    </row>
    <row r="209" ht="12.0" customHeight="1">
      <c r="B209" s="260"/>
      <c r="C209" s="130"/>
    </row>
    <row r="210" ht="12.0" customHeight="1">
      <c r="B210" s="260"/>
      <c r="C210" s="130"/>
    </row>
    <row r="211" ht="12.0" customHeight="1">
      <c r="B211" s="260"/>
      <c r="C211" s="130"/>
    </row>
    <row r="212" ht="12.0" customHeight="1">
      <c r="B212" s="260"/>
      <c r="C212" s="130"/>
    </row>
    <row r="213" ht="12.0" customHeight="1">
      <c r="B213" s="260"/>
      <c r="C213" s="130"/>
    </row>
    <row r="214" ht="12.0" customHeight="1">
      <c r="B214" s="260"/>
      <c r="C214" s="130"/>
    </row>
    <row r="215" ht="12.0" customHeight="1">
      <c r="B215" s="260"/>
      <c r="C215" s="130"/>
    </row>
    <row r="216" ht="12.0" customHeight="1">
      <c r="B216" s="260"/>
      <c r="C216" s="130"/>
    </row>
    <row r="217" ht="12.0" customHeight="1">
      <c r="B217" s="260"/>
      <c r="C217" s="130"/>
    </row>
    <row r="218" ht="12.0" customHeight="1">
      <c r="B218" s="260"/>
      <c r="C218" s="130"/>
    </row>
    <row r="219" ht="12.0" customHeight="1">
      <c r="B219" s="260"/>
      <c r="C219" s="130"/>
    </row>
    <row r="220" ht="12.0" customHeight="1">
      <c r="B220" s="260"/>
      <c r="C220" s="130"/>
    </row>
    <row r="221" ht="12.0" customHeight="1">
      <c r="B221" s="260"/>
      <c r="C221" s="130"/>
    </row>
    <row r="222" ht="12.0" customHeight="1">
      <c r="B222" s="260"/>
      <c r="C222" s="130"/>
    </row>
    <row r="223" ht="12.0" customHeight="1">
      <c r="B223" s="260"/>
      <c r="C223" s="130"/>
    </row>
    <row r="224" ht="12.0" customHeight="1">
      <c r="B224" s="260"/>
      <c r="C224" s="130"/>
    </row>
    <row r="225" ht="12.0" customHeight="1">
      <c r="B225" s="260"/>
      <c r="C225" s="130"/>
    </row>
    <row r="226" ht="12.0" customHeight="1">
      <c r="B226" s="260"/>
      <c r="C226" s="130"/>
    </row>
    <row r="227" ht="12.0" customHeight="1">
      <c r="B227" s="260"/>
      <c r="C227" s="130"/>
    </row>
    <row r="228" ht="12.0" customHeight="1">
      <c r="B228" s="260"/>
      <c r="C228" s="130"/>
    </row>
    <row r="229" ht="12.0" customHeight="1">
      <c r="B229" s="260"/>
      <c r="C229" s="130"/>
    </row>
    <row r="230" ht="12.0" customHeight="1">
      <c r="B230" s="260"/>
      <c r="C230" s="130"/>
    </row>
    <row r="231" ht="12.0" customHeight="1">
      <c r="B231" s="260"/>
      <c r="C231" s="130"/>
    </row>
    <row r="232" ht="12.0" customHeight="1">
      <c r="B232" s="260"/>
      <c r="C232" s="130"/>
    </row>
    <row r="233" ht="12.0" customHeight="1">
      <c r="B233" s="260"/>
      <c r="C233" s="130"/>
    </row>
    <row r="234" ht="12.0" customHeight="1">
      <c r="B234" s="260"/>
      <c r="C234" s="130"/>
    </row>
    <row r="235" ht="12.0" customHeight="1">
      <c r="B235" s="260"/>
      <c r="C235" s="130"/>
    </row>
    <row r="236" ht="12.0" customHeight="1">
      <c r="B236" s="260"/>
      <c r="C236" s="130"/>
    </row>
    <row r="237" ht="12.0" customHeight="1">
      <c r="B237" s="260"/>
      <c r="C237" s="130"/>
    </row>
    <row r="238" ht="12.0" customHeight="1">
      <c r="B238" s="260"/>
      <c r="C238" s="130"/>
    </row>
    <row r="239" ht="12.0" customHeight="1">
      <c r="B239" s="260"/>
      <c r="C239" s="130"/>
    </row>
    <row r="240" ht="12.0" customHeight="1">
      <c r="B240" s="260"/>
      <c r="C240" s="130"/>
    </row>
    <row r="241" ht="12.0" customHeight="1">
      <c r="B241" s="260"/>
      <c r="C241" s="130"/>
    </row>
    <row r="242" ht="12.0" customHeight="1">
      <c r="B242" s="260"/>
      <c r="C242" s="130"/>
    </row>
    <row r="243" ht="12.0" customHeight="1">
      <c r="B243" s="260"/>
      <c r="C243" s="130"/>
    </row>
    <row r="244" ht="12.0" customHeight="1">
      <c r="B244" s="260"/>
      <c r="C244" s="130"/>
    </row>
    <row r="245" ht="12.0" customHeight="1">
      <c r="B245" s="260"/>
      <c r="C245" s="130"/>
    </row>
    <row r="246" ht="12.0" customHeight="1">
      <c r="B246" s="260"/>
      <c r="C246" s="130"/>
    </row>
    <row r="247" ht="12.0" customHeight="1">
      <c r="B247" s="260"/>
      <c r="C247" s="130"/>
    </row>
    <row r="248" ht="12.0" customHeight="1">
      <c r="B248" s="260"/>
      <c r="C248" s="130"/>
    </row>
    <row r="249" ht="12.0" customHeight="1">
      <c r="B249" s="260"/>
      <c r="C249" s="130"/>
    </row>
    <row r="250" ht="12.0" customHeight="1">
      <c r="B250" s="260"/>
      <c r="C250" s="130"/>
    </row>
    <row r="251" ht="12.0" customHeight="1">
      <c r="B251" s="260"/>
      <c r="C251" s="130"/>
    </row>
    <row r="252" ht="12.0" customHeight="1">
      <c r="B252" s="260"/>
      <c r="C252" s="130"/>
    </row>
    <row r="253" ht="12.0" customHeight="1">
      <c r="B253" s="260"/>
      <c r="C253" s="130"/>
    </row>
    <row r="254" ht="12.0" customHeight="1">
      <c r="B254" s="260"/>
      <c r="C254" s="130"/>
    </row>
    <row r="255" ht="12.0" customHeight="1">
      <c r="B255" s="260"/>
      <c r="C255" s="130"/>
    </row>
    <row r="256" ht="12.0" customHeight="1">
      <c r="B256" s="260"/>
      <c r="C256" s="130"/>
    </row>
    <row r="257" ht="12.0" customHeight="1">
      <c r="B257" s="260"/>
      <c r="C257" s="130"/>
    </row>
    <row r="258" ht="12.0" customHeight="1">
      <c r="B258" s="260"/>
      <c r="C258" s="130"/>
    </row>
    <row r="259" ht="12.0" customHeight="1">
      <c r="B259" s="260"/>
      <c r="C259" s="130"/>
    </row>
    <row r="260" ht="12.0" customHeight="1">
      <c r="B260" s="260"/>
      <c r="C260" s="130"/>
    </row>
    <row r="261" ht="12.0" customHeight="1">
      <c r="B261" s="260"/>
      <c r="C261" s="130"/>
    </row>
    <row r="262" ht="12.0" customHeight="1">
      <c r="B262" s="260"/>
      <c r="C262" s="130"/>
    </row>
    <row r="263" ht="12.0" customHeight="1">
      <c r="B263" s="260"/>
      <c r="C263" s="130"/>
    </row>
    <row r="264" ht="12.0" customHeight="1">
      <c r="B264" s="260"/>
      <c r="C264" s="130"/>
    </row>
    <row r="265" ht="12.0" customHeight="1">
      <c r="B265" s="260"/>
      <c r="C265" s="130"/>
    </row>
    <row r="266" ht="12.0" customHeight="1">
      <c r="B266" s="260"/>
      <c r="C266" s="130"/>
    </row>
    <row r="267" ht="12.0" customHeight="1">
      <c r="B267" s="260"/>
      <c r="C267" s="130"/>
    </row>
    <row r="268" ht="12.0" customHeight="1">
      <c r="B268" s="260"/>
      <c r="C268" s="130"/>
    </row>
    <row r="269" ht="12.0" customHeight="1">
      <c r="B269" s="260"/>
      <c r="C269" s="130"/>
    </row>
    <row r="270" ht="12.0" customHeight="1">
      <c r="B270" s="260"/>
      <c r="C270" s="130"/>
    </row>
    <row r="271" ht="12.0" customHeight="1">
      <c r="B271" s="260"/>
      <c r="C271" s="130"/>
    </row>
    <row r="272" ht="12.0" customHeight="1">
      <c r="B272" s="260"/>
      <c r="C272" s="130"/>
    </row>
    <row r="273" ht="12.0" customHeight="1">
      <c r="B273" s="260"/>
      <c r="C273" s="130"/>
    </row>
    <row r="274" ht="12.0" customHeight="1">
      <c r="B274" s="260"/>
      <c r="C274" s="130"/>
    </row>
    <row r="275" ht="12.0" customHeight="1">
      <c r="B275" s="260"/>
      <c r="C275" s="130"/>
    </row>
    <row r="276" ht="12.0" customHeight="1">
      <c r="B276" s="260"/>
      <c r="C276" s="130"/>
    </row>
    <row r="277" ht="12.0" customHeight="1">
      <c r="B277" s="260"/>
      <c r="C277" s="130"/>
    </row>
    <row r="278" ht="12.0" customHeight="1">
      <c r="B278" s="260"/>
      <c r="C278" s="130"/>
    </row>
    <row r="279" ht="12.0" customHeight="1">
      <c r="B279" s="260"/>
      <c r="C279" s="130"/>
    </row>
    <row r="280" ht="12.0" customHeight="1">
      <c r="B280" s="260"/>
      <c r="C280" s="130"/>
    </row>
    <row r="281" ht="12.0" customHeight="1">
      <c r="B281" s="260"/>
      <c r="C281" s="130"/>
    </row>
    <row r="282" ht="12.0" customHeight="1">
      <c r="B282" s="260"/>
      <c r="C282" s="130"/>
    </row>
    <row r="283" ht="12.0" customHeight="1">
      <c r="B283" s="260"/>
      <c r="C283" s="130"/>
    </row>
    <row r="284" ht="12.0" customHeight="1">
      <c r="B284" s="260"/>
      <c r="C284" s="130"/>
    </row>
    <row r="285" ht="12.0" customHeight="1">
      <c r="B285" s="260"/>
      <c r="C285" s="130"/>
    </row>
    <row r="286" ht="12.0" customHeight="1">
      <c r="B286" s="260"/>
      <c r="C286" s="130"/>
    </row>
    <row r="287" ht="12.0" customHeight="1">
      <c r="B287" s="260"/>
      <c r="C287" s="130"/>
    </row>
    <row r="288" ht="12.0" customHeight="1">
      <c r="B288" s="260"/>
      <c r="C288" s="130"/>
    </row>
    <row r="289" ht="12.0" customHeight="1">
      <c r="B289" s="260"/>
      <c r="C289" s="130"/>
    </row>
    <row r="290" ht="12.0" customHeight="1">
      <c r="B290" s="260"/>
      <c r="C290" s="130"/>
    </row>
    <row r="291" ht="12.0" customHeight="1">
      <c r="B291" s="260"/>
      <c r="C291" s="130"/>
    </row>
    <row r="292" ht="12.0" customHeight="1">
      <c r="B292" s="260"/>
      <c r="C292" s="130"/>
    </row>
    <row r="293" ht="12.0" customHeight="1">
      <c r="B293" s="260"/>
      <c r="C293" s="130"/>
    </row>
    <row r="294" ht="12.0" customHeight="1">
      <c r="B294" s="260"/>
      <c r="C294" s="130"/>
    </row>
    <row r="295" ht="12.0" customHeight="1">
      <c r="B295" s="260"/>
      <c r="C295" s="130"/>
    </row>
    <row r="296" ht="12.0" customHeight="1">
      <c r="B296" s="260"/>
      <c r="C296" s="130"/>
    </row>
    <row r="297" ht="12.0" customHeight="1">
      <c r="B297" s="260"/>
      <c r="C297" s="130"/>
    </row>
    <row r="298" ht="12.0" customHeight="1">
      <c r="B298" s="260"/>
      <c r="C298" s="130"/>
    </row>
    <row r="299" ht="12.0" customHeight="1">
      <c r="B299" s="260"/>
      <c r="C299" s="130"/>
    </row>
    <row r="300" ht="12.0" customHeight="1">
      <c r="B300" s="260"/>
      <c r="C300" s="130"/>
    </row>
    <row r="301" ht="12.0" customHeight="1">
      <c r="B301" s="260"/>
      <c r="C301" s="130"/>
    </row>
    <row r="302" ht="12.0" customHeight="1">
      <c r="B302" s="260"/>
      <c r="C302" s="130"/>
    </row>
    <row r="303" ht="12.0" customHeight="1">
      <c r="B303" s="260"/>
      <c r="C303" s="130"/>
    </row>
    <row r="304" ht="12.0" customHeight="1">
      <c r="B304" s="260"/>
      <c r="C304" s="130"/>
    </row>
    <row r="305" ht="12.0" customHeight="1">
      <c r="B305" s="260"/>
      <c r="C305" s="130"/>
    </row>
    <row r="306" ht="12.0" customHeight="1">
      <c r="B306" s="260"/>
      <c r="C306" s="130"/>
    </row>
    <row r="307" ht="12.0" customHeight="1">
      <c r="B307" s="260"/>
      <c r="C307" s="130"/>
    </row>
    <row r="308" ht="12.0" customHeight="1">
      <c r="B308" s="260"/>
      <c r="C308" s="130"/>
    </row>
    <row r="309" ht="12.0" customHeight="1">
      <c r="B309" s="260"/>
      <c r="C309" s="130"/>
    </row>
    <row r="310" ht="12.0" customHeight="1">
      <c r="B310" s="260"/>
      <c r="C310" s="130"/>
    </row>
    <row r="311" ht="12.0" customHeight="1">
      <c r="B311" s="260"/>
      <c r="C311" s="130"/>
    </row>
    <row r="312" ht="12.0" customHeight="1">
      <c r="B312" s="260"/>
      <c r="C312" s="130"/>
    </row>
    <row r="313" ht="12.0" customHeight="1">
      <c r="B313" s="260"/>
      <c r="C313" s="130"/>
    </row>
    <row r="314" ht="12.0" customHeight="1">
      <c r="B314" s="260"/>
      <c r="C314" s="130"/>
    </row>
    <row r="315" ht="12.0" customHeight="1">
      <c r="B315" s="260"/>
      <c r="C315" s="130"/>
    </row>
    <row r="316" ht="12.0" customHeight="1">
      <c r="B316" s="260"/>
      <c r="C316" s="130"/>
    </row>
    <row r="317" ht="12.0" customHeight="1">
      <c r="B317" s="260"/>
      <c r="C317" s="130"/>
    </row>
    <row r="318" ht="12.0" customHeight="1">
      <c r="B318" s="260"/>
      <c r="C318" s="130"/>
    </row>
    <row r="319" ht="12.0" customHeight="1">
      <c r="B319" s="260"/>
      <c r="C319" s="130"/>
    </row>
    <row r="320" ht="12.0" customHeight="1">
      <c r="B320" s="260"/>
      <c r="C320" s="130"/>
    </row>
    <row r="321" ht="12.0" customHeight="1">
      <c r="B321" s="260"/>
      <c r="C321" s="130"/>
    </row>
    <row r="322" ht="12.0" customHeight="1">
      <c r="B322" s="260"/>
      <c r="C322" s="130"/>
    </row>
    <row r="323" ht="12.0" customHeight="1">
      <c r="B323" s="260"/>
      <c r="C323" s="130"/>
    </row>
    <row r="324" ht="12.0" customHeight="1">
      <c r="B324" s="260"/>
      <c r="C324" s="130"/>
    </row>
    <row r="325" ht="12.0" customHeight="1">
      <c r="B325" s="260"/>
      <c r="C325" s="130"/>
    </row>
    <row r="326" ht="12.0" customHeight="1">
      <c r="B326" s="260"/>
      <c r="C326" s="130"/>
    </row>
    <row r="327" ht="12.0" customHeight="1">
      <c r="B327" s="260"/>
      <c r="C327" s="130"/>
    </row>
    <row r="328" ht="12.0" customHeight="1">
      <c r="B328" s="260"/>
      <c r="C328" s="130"/>
    </row>
    <row r="329" ht="12.0" customHeight="1">
      <c r="B329" s="260"/>
      <c r="C329" s="130"/>
    </row>
    <row r="330" ht="12.0" customHeight="1">
      <c r="B330" s="260"/>
      <c r="C330" s="130"/>
    </row>
    <row r="331" ht="12.0" customHeight="1">
      <c r="B331" s="260"/>
      <c r="C331" s="130"/>
    </row>
    <row r="332" ht="12.0" customHeight="1">
      <c r="B332" s="260"/>
      <c r="C332" s="130"/>
    </row>
    <row r="333" ht="12.0" customHeight="1">
      <c r="B333" s="260"/>
      <c r="C333" s="130"/>
    </row>
    <row r="334" ht="12.0" customHeight="1">
      <c r="B334" s="260"/>
      <c r="C334" s="130"/>
    </row>
    <row r="335" ht="12.0" customHeight="1">
      <c r="B335" s="260"/>
      <c r="C335" s="130"/>
    </row>
    <row r="336" ht="12.0" customHeight="1">
      <c r="B336" s="260"/>
      <c r="C336" s="130"/>
    </row>
    <row r="337" ht="12.0" customHeight="1">
      <c r="B337" s="260"/>
      <c r="C337" s="130"/>
    </row>
    <row r="338" ht="12.0" customHeight="1">
      <c r="B338" s="260"/>
      <c r="C338" s="130"/>
    </row>
    <row r="339" ht="12.0" customHeight="1">
      <c r="B339" s="260"/>
      <c r="C339" s="130"/>
    </row>
    <row r="340" ht="12.0" customHeight="1">
      <c r="B340" s="260"/>
      <c r="C340" s="130"/>
    </row>
    <row r="341" ht="12.0" customHeight="1">
      <c r="B341" s="260"/>
      <c r="C341" s="130"/>
    </row>
    <row r="342" ht="12.0" customHeight="1">
      <c r="B342" s="260"/>
      <c r="C342" s="130"/>
    </row>
    <row r="343" ht="12.0" customHeight="1">
      <c r="B343" s="260"/>
      <c r="C343" s="130"/>
    </row>
    <row r="344" ht="12.0" customHeight="1">
      <c r="B344" s="260"/>
      <c r="C344" s="130"/>
    </row>
    <row r="345" ht="12.0" customHeight="1">
      <c r="B345" s="260"/>
      <c r="C345" s="130"/>
    </row>
    <row r="346" ht="12.0" customHeight="1">
      <c r="B346" s="260"/>
      <c r="C346" s="130"/>
    </row>
    <row r="347" ht="12.0" customHeight="1">
      <c r="B347" s="260"/>
      <c r="C347" s="130"/>
    </row>
    <row r="348" ht="12.0" customHeight="1">
      <c r="B348" s="260"/>
      <c r="C348" s="130"/>
    </row>
    <row r="349" ht="12.0" customHeight="1">
      <c r="B349" s="260"/>
      <c r="C349" s="130"/>
    </row>
    <row r="350" ht="12.0" customHeight="1">
      <c r="B350" s="260"/>
      <c r="C350" s="130"/>
    </row>
    <row r="351" ht="12.0" customHeight="1">
      <c r="B351" s="260"/>
      <c r="C351" s="130"/>
    </row>
    <row r="352" ht="12.0" customHeight="1">
      <c r="B352" s="260"/>
      <c r="C352" s="130"/>
    </row>
    <row r="353" ht="12.0" customHeight="1">
      <c r="B353" s="260"/>
      <c r="C353" s="130"/>
    </row>
    <row r="354" ht="12.0" customHeight="1">
      <c r="B354" s="260"/>
      <c r="C354" s="130"/>
    </row>
    <row r="355" ht="12.0" customHeight="1">
      <c r="B355" s="260"/>
      <c r="C355" s="130"/>
    </row>
    <row r="356" ht="12.0" customHeight="1">
      <c r="B356" s="260"/>
      <c r="C356" s="130"/>
    </row>
    <row r="357" ht="12.0" customHeight="1">
      <c r="B357" s="260"/>
      <c r="C357" s="130"/>
    </row>
    <row r="358" ht="12.0" customHeight="1">
      <c r="B358" s="260"/>
      <c r="C358" s="130"/>
    </row>
    <row r="359" ht="12.0" customHeight="1">
      <c r="B359" s="260"/>
      <c r="C359" s="130"/>
    </row>
    <row r="360" ht="12.0" customHeight="1">
      <c r="B360" s="260"/>
      <c r="C360" s="130"/>
    </row>
    <row r="361" ht="12.0" customHeight="1">
      <c r="B361" s="260"/>
      <c r="C361" s="130"/>
    </row>
    <row r="362" ht="12.0" customHeight="1">
      <c r="B362" s="260"/>
      <c r="C362" s="130"/>
    </row>
    <row r="363" ht="12.0" customHeight="1">
      <c r="B363" s="260"/>
      <c r="C363" s="130"/>
    </row>
    <row r="364" ht="12.0" customHeight="1">
      <c r="B364" s="260"/>
      <c r="C364" s="130"/>
    </row>
    <row r="365" ht="12.0" customHeight="1">
      <c r="B365" s="260"/>
      <c r="C365" s="130"/>
    </row>
    <row r="366" ht="12.0" customHeight="1">
      <c r="B366" s="260"/>
      <c r="C366" s="130"/>
    </row>
    <row r="367" ht="12.0" customHeight="1">
      <c r="B367" s="260"/>
      <c r="C367" s="130"/>
    </row>
    <row r="368" ht="12.0" customHeight="1">
      <c r="B368" s="260"/>
      <c r="C368" s="130"/>
    </row>
    <row r="369" ht="12.0" customHeight="1">
      <c r="B369" s="260"/>
      <c r="C369" s="130"/>
    </row>
    <row r="370" ht="12.0" customHeight="1">
      <c r="B370" s="260"/>
      <c r="C370" s="130"/>
    </row>
    <row r="371" ht="12.0" customHeight="1">
      <c r="B371" s="260"/>
      <c r="C371" s="130"/>
    </row>
    <row r="372" ht="12.0" customHeight="1">
      <c r="B372" s="260"/>
      <c r="C372" s="130"/>
    </row>
    <row r="373" ht="12.0" customHeight="1">
      <c r="B373" s="260"/>
      <c r="C373" s="130"/>
    </row>
    <row r="374" ht="12.0" customHeight="1">
      <c r="B374" s="260"/>
      <c r="C374" s="130"/>
    </row>
    <row r="375" ht="12.0" customHeight="1">
      <c r="B375" s="260"/>
      <c r="C375" s="130"/>
    </row>
    <row r="376" ht="12.0" customHeight="1">
      <c r="B376" s="260"/>
      <c r="C376" s="130"/>
    </row>
    <row r="377" ht="12.0" customHeight="1">
      <c r="B377" s="260"/>
      <c r="C377" s="130"/>
    </row>
    <row r="378" ht="12.0" customHeight="1">
      <c r="B378" s="260"/>
      <c r="C378" s="130"/>
    </row>
    <row r="379" ht="12.0" customHeight="1">
      <c r="B379" s="260"/>
      <c r="C379" s="130"/>
    </row>
    <row r="380" ht="12.0" customHeight="1">
      <c r="B380" s="260"/>
      <c r="C380" s="130"/>
    </row>
    <row r="381" ht="12.0" customHeight="1">
      <c r="B381" s="260"/>
      <c r="C381" s="130"/>
    </row>
    <row r="382" ht="12.0" customHeight="1">
      <c r="B382" s="260"/>
      <c r="C382" s="130"/>
    </row>
    <row r="383" ht="12.0" customHeight="1">
      <c r="B383" s="260"/>
      <c r="C383" s="130"/>
    </row>
    <row r="384" ht="12.0" customHeight="1">
      <c r="B384" s="260"/>
      <c r="C384" s="130"/>
    </row>
    <row r="385" ht="12.0" customHeight="1">
      <c r="B385" s="260"/>
      <c r="C385" s="130"/>
    </row>
    <row r="386" ht="12.0" customHeight="1">
      <c r="B386" s="260"/>
      <c r="C386" s="130"/>
    </row>
    <row r="387" ht="12.0" customHeight="1">
      <c r="B387" s="260"/>
      <c r="C387" s="130"/>
    </row>
    <row r="388" ht="12.0" customHeight="1">
      <c r="B388" s="260"/>
      <c r="C388" s="130"/>
    </row>
    <row r="389" ht="12.0" customHeight="1">
      <c r="B389" s="260"/>
      <c r="C389" s="130"/>
    </row>
    <row r="390" ht="12.0" customHeight="1">
      <c r="B390" s="260"/>
      <c r="C390" s="130"/>
    </row>
    <row r="391" ht="12.0" customHeight="1">
      <c r="B391" s="260"/>
      <c r="C391" s="130"/>
    </row>
    <row r="392" ht="12.0" customHeight="1">
      <c r="B392" s="260"/>
      <c r="C392" s="130"/>
    </row>
    <row r="393" ht="12.0" customHeight="1">
      <c r="B393" s="260"/>
      <c r="C393" s="130"/>
    </row>
    <row r="394" ht="12.0" customHeight="1">
      <c r="B394" s="260"/>
      <c r="C394" s="130"/>
    </row>
    <row r="395" ht="12.0" customHeight="1">
      <c r="B395" s="260"/>
      <c r="C395" s="130"/>
    </row>
    <row r="396" ht="12.0" customHeight="1">
      <c r="B396" s="260"/>
      <c r="C396" s="130"/>
    </row>
    <row r="397" ht="12.0" customHeight="1">
      <c r="B397" s="260"/>
      <c r="C397" s="130"/>
    </row>
    <row r="398" ht="12.0" customHeight="1">
      <c r="B398" s="260"/>
      <c r="C398" s="130"/>
    </row>
    <row r="399" ht="12.0" customHeight="1">
      <c r="B399" s="260"/>
      <c r="C399" s="130"/>
    </row>
    <row r="400" ht="12.0" customHeight="1">
      <c r="B400" s="260"/>
      <c r="C400" s="130"/>
    </row>
    <row r="401" ht="12.0" customHeight="1">
      <c r="B401" s="260"/>
      <c r="C401" s="130"/>
    </row>
    <row r="402" ht="12.0" customHeight="1">
      <c r="B402" s="260"/>
      <c r="C402" s="130"/>
    </row>
    <row r="403" ht="12.0" customHeight="1">
      <c r="B403" s="260"/>
      <c r="C403" s="130"/>
    </row>
    <row r="404" ht="12.0" customHeight="1">
      <c r="B404" s="260"/>
      <c r="C404" s="130"/>
    </row>
    <row r="405" ht="12.0" customHeight="1">
      <c r="B405" s="260"/>
      <c r="C405" s="130"/>
    </row>
    <row r="406" ht="12.0" customHeight="1">
      <c r="B406" s="260"/>
      <c r="C406" s="130"/>
    </row>
    <row r="407" ht="12.0" customHeight="1">
      <c r="B407" s="260"/>
      <c r="C407" s="130"/>
    </row>
    <row r="408" ht="12.0" customHeight="1">
      <c r="B408" s="260"/>
      <c r="C408" s="130"/>
    </row>
    <row r="409" ht="12.0" customHeight="1">
      <c r="B409" s="260"/>
      <c r="C409" s="130"/>
    </row>
    <row r="410" ht="12.0" customHeight="1">
      <c r="B410" s="260"/>
      <c r="C410" s="130"/>
    </row>
    <row r="411" ht="12.0" customHeight="1">
      <c r="B411" s="260"/>
      <c r="C411" s="130"/>
    </row>
    <row r="412" ht="12.0" customHeight="1">
      <c r="B412" s="260"/>
      <c r="C412" s="130"/>
    </row>
    <row r="413" ht="12.0" customHeight="1">
      <c r="B413" s="260"/>
      <c r="C413" s="130"/>
    </row>
    <row r="414" ht="12.0" customHeight="1">
      <c r="B414" s="260"/>
      <c r="C414" s="130"/>
    </row>
    <row r="415" ht="12.0" customHeight="1">
      <c r="B415" s="260"/>
      <c r="C415" s="130"/>
    </row>
    <row r="416" ht="12.0" customHeight="1">
      <c r="B416" s="260"/>
      <c r="C416" s="130"/>
    </row>
    <row r="417" ht="12.0" customHeight="1">
      <c r="B417" s="260"/>
      <c r="C417" s="130"/>
    </row>
    <row r="418" ht="12.0" customHeight="1">
      <c r="B418" s="260"/>
      <c r="C418" s="130"/>
    </row>
    <row r="419" ht="12.0" customHeight="1">
      <c r="B419" s="260"/>
      <c r="C419" s="130"/>
    </row>
    <row r="420" ht="12.0" customHeight="1">
      <c r="B420" s="260"/>
      <c r="C420" s="130"/>
    </row>
    <row r="421" ht="12.0" customHeight="1">
      <c r="B421" s="260"/>
      <c r="C421" s="130"/>
    </row>
    <row r="422" ht="12.0" customHeight="1">
      <c r="B422" s="260"/>
      <c r="C422" s="130"/>
    </row>
    <row r="423" ht="12.0" customHeight="1">
      <c r="B423" s="260"/>
      <c r="C423" s="130"/>
    </row>
    <row r="424" ht="12.0" customHeight="1">
      <c r="B424" s="260"/>
      <c r="C424" s="130"/>
    </row>
    <row r="425" ht="12.0" customHeight="1">
      <c r="B425" s="260"/>
      <c r="C425" s="130"/>
    </row>
    <row r="426" ht="12.0" customHeight="1">
      <c r="B426" s="260"/>
      <c r="C426" s="130"/>
    </row>
    <row r="427" ht="12.0" customHeight="1">
      <c r="B427" s="260"/>
      <c r="C427" s="130"/>
    </row>
    <row r="428" ht="12.0" customHeight="1">
      <c r="B428" s="260"/>
      <c r="C428" s="130"/>
    </row>
    <row r="429" ht="12.0" customHeight="1">
      <c r="B429" s="260"/>
      <c r="C429" s="130"/>
    </row>
    <row r="430" ht="12.0" customHeight="1">
      <c r="B430" s="260"/>
      <c r="C430" s="130"/>
    </row>
    <row r="431" ht="12.0" customHeight="1">
      <c r="B431" s="260"/>
      <c r="C431" s="130"/>
    </row>
    <row r="432" ht="12.0" customHeight="1">
      <c r="B432" s="260"/>
      <c r="C432" s="130"/>
    </row>
    <row r="433" ht="12.0" customHeight="1">
      <c r="B433" s="260"/>
      <c r="C433" s="130"/>
    </row>
    <row r="434" ht="12.0" customHeight="1">
      <c r="B434" s="260"/>
      <c r="C434" s="130"/>
    </row>
    <row r="435" ht="12.0" customHeight="1">
      <c r="B435" s="260"/>
      <c r="C435" s="130"/>
    </row>
    <row r="436" ht="12.0" customHeight="1">
      <c r="B436" s="260"/>
      <c r="C436" s="130"/>
    </row>
    <row r="437" ht="12.0" customHeight="1">
      <c r="B437" s="260"/>
      <c r="C437" s="130"/>
    </row>
    <row r="438" ht="12.0" customHeight="1">
      <c r="B438" s="260"/>
      <c r="C438" s="130"/>
    </row>
    <row r="439" ht="12.0" customHeight="1">
      <c r="B439" s="260"/>
      <c r="C439" s="130"/>
    </row>
    <row r="440" ht="12.0" customHeight="1">
      <c r="B440" s="260"/>
      <c r="C440" s="130"/>
    </row>
    <row r="441" ht="12.0" customHeight="1">
      <c r="B441" s="260"/>
      <c r="C441" s="130"/>
    </row>
    <row r="442" ht="12.0" customHeight="1">
      <c r="B442" s="260"/>
      <c r="C442" s="130"/>
    </row>
    <row r="443" ht="12.0" customHeight="1">
      <c r="B443" s="260"/>
      <c r="C443" s="130"/>
    </row>
    <row r="444" ht="12.0" customHeight="1">
      <c r="B444" s="260"/>
      <c r="C444" s="130"/>
    </row>
    <row r="445" ht="12.0" customHeight="1">
      <c r="B445" s="260"/>
      <c r="C445" s="130"/>
    </row>
    <row r="446" ht="12.0" customHeight="1">
      <c r="B446" s="260"/>
      <c r="C446" s="130"/>
    </row>
    <row r="447" ht="12.0" customHeight="1">
      <c r="B447" s="260"/>
      <c r="C447" s="130"/>
    </row>
    <row r="448" ht="12.0" customHeight="1">
      <c r="B448" s="260"/>
      <c r="C448" s="130"/>
    </row>
    <row r="449" ht="12.0" customHeight="1">
      <c r="B449" s="260"/>
      <c r="C449" s="130"/>
    </row>
    <row r="450" ht="12.0" customHeight="1">
      <c r="B450" s="260"/>
      <c r="C450" s="130"/>
    </row>
    <row r="451" ht="12.0" customHeight="1">
      <c r="B451" s="260"/>
      <c r="C451" s="130"/>
    </row>
    <row r="452" ht="12.0" customHeight="1">
      <c r="B452" s="260"/>
      <c r="C452" s="130"/>
    </row>
    <row r="453" ht="12.0" customHeight="1">
      <c r="B453" s="260"/>
      <c r="C453" s="130"/>
    </row>
    <row r="454" ht="12.0" customHeight="1">
      <c r="B454" s="260"/>
      <c r="C454" s="130"/>
    </row>
    <row r="455" ht="12.0" customHeight="1">
      <c r="B455" s="260"/>
      <c r="C455" s="130"/>
    </row>
    <row r="456" ht="12.0" customHeight="1">
      <c r="B456" s="260"/>
      <c r="C456" s="130"/>
    </row>
    <row r="457" ht="12.0" customHeight="1">
      <c r="B457" s="260"/>
      <c r="C457" s="130"/>
    </row>
    <row r="458" ht="12.0" customHeight="1">
      <c r="B458" s="260"/>
      <c r="C458" s="130"/>
    </row>
    <row r="459" ht="12.0" customHeight="1">
      <c r="B459" s="260"/>
      <c r="C459" s="130"/>
    </row>
    <row r="460" ht="12.0" customHeight="1">
      <c r="B460" s="260"/>
      <c r="C460" s="130"/>
    </row>
    <row r="461" ht="12.0" customHeight="1">
      <c r="B461" s="260"/>
      <c r="C461" s="130"/>
    </row>
    <row r="462" ht="12.0" customHeight="1">
      <c r="B462" s="260"/>
      <c r="C462" s="130"/>
    </row>
    <row r="463" ht="12.0" customHeight="1">
      <c r="B463" s="260"/>
      <c r="C463" s="130"/>
    </row>
    <row r="464" ht="12.0" customHeight="1">
      <c r="B464" s="260"/>
      <c r="C464" s="130"/>
    </row>
    <row r="465" ht="12.0" customHeight="1">
      <c r="B465" s="260"/>
      <c r="C465" s="130"/>
    </row>
    <row r="466" ht="12.0" customHeight="1">
      <c r="B466" s="260"/>
      <c r="C466" s="130"/>
    </row>
    <row r="467" ht="12.0" customHeight="1">
      <c r="B467" s="260"/>
      <c r="C467" s="130"/>
    </row>
    <row r="468" ht="12.0" customHeight="1">
      <c r="B468" s="260"/>
      <c r="C468" s="130"/>
    </row>
    <row r="469" ht="12.0" customHeight="1">
      <c r="B469" s="260"/>
      <c r="C469" s="130"/>
    </row>
    <row r="470" ht="12.0" customHeight="1">
      <c r="B470" s="260"/>
      <c r="C470" s="130"/>
    </row>
    <row r="471" ht="12.0" customHeight="1">
      <c r="B471" s="260"/>
      <c r="C471" s="130"/>
    </row>
    <row r="472" ht="12.0" customHeight="1">
      <c r="B472" s="260"/>
      <c r="C472" s="130"/>
    </row>
    <row r="473" ht="12.0" customHeight="1">
      <c r="B473" s="260"/>
      <c r="C473" s="130"/>
    </row>
    <row r="474" ht="12.0" customHeight="1">
      <c r="B474" s="260"/>
      <c r="C474" s="130"/>
    </row>
    <row r="475" ht="12.0" customHeight="1">
      <c r="B475" s="260"/>
      <c r="C475" s="130"/>
    </row>
    <row r="476" ht="12.0" customHeight="1">
      <c r="B476" s="260"/>
      <c r="C476" s="130"/>
    </row>
    <row r="477" ht="12.0" customHeight="1">
      <c r="B477" s="260"/>
      <c r="C477" s="130"/>
    </row>
    <row r="478" ht="12.0" customHeight="1">
      <c r="B478" s="260"/>
      <c r="C478" s="130"/>
    </row>
    <row r="479" ht="12.0" customHeight="1">
      <c r="B479" s="260"/>
      <c r="C479" s="130"/>
    </row>
    <row r="480" ht="12.0" customHeight="1">
      <c r="B480" s="260"/>
      <c r="C480" s="130"/>
    </row>
    <row r="481" ht="12.0" customHeight="1">
      <c r="B481" s="260"/>
      <c r="C481" s="130"/>
    </row>
    <row r="482" ht="12.0" customHeight="1">
      <c r="B482" s="260"/>
      <c r="C482" s="130"/>
    </row>
    <row r="483" ht="12.0" customHeight="1">
      <c r="B483" s="260"/>
      <c r="C483" s="130"/>
    </row>
    <row r="484" ht="12.0" customHeight="1">
      <c r="B484" s="260"/>
      <c r="C484" s="130"/>
    </row>
    <row r="485" ht="12.0" customHeight="1">
      <c r="B485" s="260"/>
      <c r="C485" s="130"/>
    </row>
    <row r="486" ht="12.0" customHeight="1">
      <c r="B486" s="260"/>
      <c r="C486" s="130"/>
    </row>
    <row r="487" ht="12.0" customHeight="1">
      <c r="B487" s="260"/>
      <c r="C487" s="130"/>
    </row>
    <row r="488" ht="12.0" customHeight="1">
      <c r="B488" s="260"/>
      <c r="C488" s="130"/>
    </row>
    <row r="489" ht="12.0" customHeight="1">
      <c r="B489" s="260"/>
      <c r="C489" s="130"/>
    </row>
    <row r="490" ht="12.0" customHeight="1">
      <c r="B490" s="260"/>
      <c r="C490" s="130"/>
    </row>
    <row r="491" ht="12.0" customHeight="1">
      <c r="B491" s="260"/>
      <c r="C491" s="130"/>
    </row>
    <row r="492" ht="12.0" customHeight="1">
      <c r="B492" s="260"/>
      <c r="C492" s="130"/>
    </row>
    <row r="493" ht="12.0" customHeight="1">
      <c r="B493" s="260"/>
      <c r="C493" s="130"/>
    </row>
    <row r="494" ht="12.0" customHeight="1">
      <c r="B494" s="260"/>
      <c r="C494" s="130"/>
    </row>
    <row r="495" ht="12.0" customHeight="1">
      <c r="B495" s="260"/>
      <c r="C495" s="130"/>
    </row>
    <row r="496" ht="12.0" customHeight="1">
      <c r="B496" s="260"/>
      <c r="C496" s="130"/>
    </row>
    <row r="497" ht="12.0" customHeight="1">
      <c r="B497" s="260"/>
      <c r="C497" s="130"/>
    </row>
    <row r="498" ht="12.0" customHeight="1">
      <c r="B498" s="260"/>
      <c r="C498" s="130"/>
    </row>
    <row r="499" ht="12.0" customHeight="1">
      <c r="B499" s="260"/>
      <c r="C499" s="130"/>
    </row>
    <row r="500" ht="12.0" customHeight="1">
      <c r="B500" s="260"/>
      <c r="C500" s="130"/>
    </row>
    <row r="501" ht="12.0" customHeight="1">
      <c r="B501" s="260"/>
      <c r="C501" s="130"/>
    </row>
    <row r="502" ht="12.0" customHeight="1">
      <c r="B502" s="260"/>
      <c r="C502" s="130"/>
    </row>
    <row r="503" ht="12.0" customHeight="1">
      <c r="B503" s="260"/>
      <c r="C503" s="130"/>
    </row>
    <row r="504" ht="12.0" customHeight="1">
      <c r="B504" s="260"/>
      <c r="C504" s="130"/>
    </row>
    <row r="505" ht="12.0" customHeight="1">
      <c r="B505" s="260"/>
      <c r="C505" s="130"/>
    </row>
    <row r="506" ht="12.0" customHeight="1">
      <c r="B506" s="260"/>
      <c r="C506" s="130"/>
    </row>
    <row r="507" ht="12.0" customHeight="1">
      <c r="B507" s="260"/>
      <c r="C507" s="130"/>
    </row>
    <row r="508" ht="12.0" customHeight="1">
      <c r="B508" s="260"/>
      <c r="C508" s="130"/>
    </row>
    <row r="509" ht="12.0" customHeight="1">
      <c r="B509" s="260"/>
      <c r="C509" s="130"/>
    </row>
    <row r="510" ht="12.0" customHeight="1">
      <c r="B510" s="260"/>
      <c r="C510" s="130"/>
    </row>
    <row r="511" ht="12.0" customHeight="1">
      <c r="B511" s="260"/>
      <c r="C511" s="130"/>
    </row>
    <row r="512" ht="12.0" customHeight="1">
      <c r="B512" s="260"/>
      <c r="C512" s="130"/>
    </row>
    <row r="513" ht="12.0" customHeight="1">
      <c r="B513" s="260"/>
      <c r="C513" s="130"/>
    </row>
    <row r="514" ht="12.0" customHeight="1">
      <c r="B514" s="260"/>
      <c r="C514" s="130"/>
    </row>
    <row r="515" ht="12.0" customHeight="1">
      <c r="B515" s="260"/>
      <c r="C515" s="130"/>
    </row>
    <row r="516" ht="12.0" customHeight="1">
      <c r="B516" s="260"/>
      <c r="C516" s="130"/>
    </row>
    <row r="517" ht="12.0" customHeight="1">
      <c r="B517" s="260"/>
      <c r="C517" s="130"/>
    </row>
    <row r="518" ht="12.0" customHeight="1">
      <c r="B518" s="260"/>
      <c r="C518" s="130"/>
    </row>
    <row r="519" ht="12.0" customHeight="1">
      <c r="B519" s="260"/>
      <c r="C519" s="130"/>
    </row>
    <row r="520" ht="12.0" customHeight="1">
      <c r="B520" s="260"/>
      <c r="C520" s="130"/>
    </row>
    <row r="521" ht="12.0" customHeight="1">
      <c r="B521" s="260"/>
      <c r="C521" s="130"/>
    </row>
    <row r="522" ht="12.0" customHeight="1">
      <c r="B522" s="260"/>
      <c r="C522" s="130"/>
    </row>
    <row r="523" ht="12.0" customHeight="1">
      <c r="B523" s="260"/>
      <c r="C523" s="130"/>
    </row>
    <row r="524" ht="12.0" customHeight="1">
      <c r="B524" s="260"/>
      <c r="C524" s="130"/>
    </row>
    <row r="525" ht="12.0" customHeight="1">
      <c r="B525" s="260"/>
      <c r="C525" s="130"/>
    </row>
    <row r="526" ht="12.0" customHeight="1">
      <c r="B526" s="260"/>
      <c r="C526" s="130"/>
    </row>
    <row r="527" ht="12.0" customHeight="1">
      <c r="B527" s="260"/>
      <c r="C527" s="130"/>
    </row>
    <row r="528" ht="12.0" customHeight="1">
      <c r="B528" s="260"/>
      <c r="C528" s="130"/>
    </row>
    <row r="529" ht="12.0" customHeight="1">
      <c r="B529" s="260"/>
      <c r="C529" s="130"/>
    </row>
    <row r="530" ht="12.0" customHeight="1">
      <c r="B530" s="260"/>
      <c r="C530" s="130"/>
    </row>
    <row r="531" ht="12.0" customHeight="1">
      <c r="B531" s="260"/>
      <c r="C531" s="130"/>
    </row>
    <row r="532" ht="12.0" customHeight="1">
      <c r="B532" s="260"/>
      <c r="C532" s="130"/>
    </row>
    <row r="533" ht="12.0" customHeight="1">
      <c r="B533" s="260"/>
      <c r="C533" s="130"/>
    </row>
    <row r="534" ht="12.0" customHeight="1">
      <c r="B534" s="260"/>
      <c r="C534" s="130"/>
    </row>
    <row r="535" ht="12.0" customHeight="1">
      <c r="B535" s="260"/>
      <c r="C535" s="130"/>
    </row>
    <row r="536" ht="12.0" customHeight="1">
      <c r="B536" s="260"/>
      <c r="C536" s="130"/>
    </row>
    <row r="537" ht="12.0" customHeight="1">
      <c r="B537" s="260"/>
      <c r="C537" s="130"/>
    </row>
    <row r="538" ht="12.0" customHeight="1">
      <c r="B538" s="260"/>
      <c r="C538" s="130"/>
    </row>
    <row r="539" ht="12.0" customHeight="1">
      <c r="B539" s="260"/>
      <c r="C539" s="130"/>
    </row>
    <row r="540" ht="12.0" customHeight="1">
      <c r="B540" s="260"/>
      <c r="C540" s="130"/>
    </row>
    <row r="541" ht="12.0" customHeight="1">
      <c r="B541" s="260"/>
      <c r="C541" s="130"/>
    </row>
    <row r="542" ht="12.0" customHeight="1">
      <c r="B542" s="260"/>
      <c r="C542" s="130"/>
    </row>
    <row r="543" ht="12.0" customHeight="1">
      <c r="B543" s="260"/>
      <c r="C543" s="130"/>
    </row>
    <row r="544" ht="12.0" customHeight="1">
      <c r="B544" s="260"/>
      <c r="C544" s="130"/>
    </row>
    <row r="545" ht="12.0" customHeight="1">
      <c r="B545" s="260"/>
      <c r="C545" s="130"/>
    </row>
    <row r="546" ht="12.0" customHeight="1">
      <c r="B546" s="260"/>
      <c r="C546" s="130"/>
    </row>
    <row r="547" ht="12.0" customHeight="1">
      <c r="B547" s="260"/>
      <c r="C547" s="130"/>
    </row>
    <row r="548" ht="12.0" customHeight="1">
      <c r="B548" s="260"/>
      <c r="C548" s="130"/>
    </row>
    <row r="549" ht="12.0" customHeight="1">
      <c r="B549" s="260"/>
      <c r="C549" s="130"/>
    </row>
    <row r="550" ht="12.0" customHeight="1">
      <c r="B550" s="260"/>
      <c r="C550" s="130"/>
    </row>
    <row r="551" ht="12.0" customHeight="1">
      <c r="B551" s="260"/>
      <c r="C551" s="130"/>
    </row>
    <row r="552" ht="12.0" customHeight="1">
      <c r="B552" s="260"/>
      <c r="C552" s="130"/>
    </row>
    <row r="553" ht="12.0" customHeight="1">
      <c r="B553" s="260"/>
      <c r="C553" s="130"/>
    </row>
    <row r="554" ht="12.0" customHeight="1">
      <c r="B554" s="260"/>
      <c r="C554" s="130"/>
    </row>
    <row r="555" ht="12.0" customHeight="1">
      <c r="B555" s="260"/>
      <c r="C555" s="130"/>
    </row>
    <row r="556" ht="12.0" customHeight="1">
      <c r="B556" s="260"/>
      <c r="C556" s="130"/>
    </row>
    <row r="557" ht="12.0" customHeight="1">
      <c r="B557" s="260"/>
      <c r="C557" s="130"/>
    </row>
    <row r="558" ht="12.0" customHeight="1">
      <c r="B558" s="260"/>
      <c r="C558" s="130"/>
    </row>
    <row r="559" ht="12.0" customHeight="1">
      <c r="B559" s="260"/>
      <c r="C559" s="130"/>
    </row>
    <row r="560" ht="12.0" customHeight="1">
      <c r="B560" s="260"/>
      <c r="C560" s="130"/>
    </row>
    <row r="561" ht="12.0" customHeight="1">
      <c r="B561" s="260"/>
      <c r="C561" s="130"/>
    </row>
    <row r="562" ht="12.0" customHeight="1">
      <c r="B562" s="260"/>
      <c r="C562" s="130"/>
    </row>
    <row r="563" ht="12.0" customHeight="1">
      <c r="B563" s="260"/>
      <c r="C563" s="130"/>
    </row>
    <row r="564" ht="12.0" customHeight="1">
      <c r="B564" s="260"/>
      <c r="C564" s="130"/>
    </row>
    <row r="565" ht="12.0" customHeight="1">
      <c r="B565" s="260"/>
      <c r="C565" s="130"/>
    </row>
    <row r="566" ht="12.0" customHeight="1">
      <c r="B566" s="260"/>
      <c r="C566" s="130"/>
    </row>
    <row r="567" ht="12.0" customHeight="1">
      <c r="B567" s="260"/>
      <c r="C567" s="130"/>
    </row>
    <row r="568" ht="12.0" customHeight="1">
      <c r="B568" s="260"/>
      <c r="C568" s="130"/>
    </row>
    <row r="569" ht="12.0" customHeight="1">
      <c r="B569" s="260"/>
      <c r="C569" s="130"/>
    </row>
    <row r="570" ht="12.0" customHeight="1">
      <c r="B570" s="260"/>
      <c r="C570" s="130"/>
    </row>
    <row r="571" ht="12.0" customHeight="1">
      <c r="B571" s="260"/>
      <c r="C571" s="130"/>
    </row>
    <row r="572" ht="12.0" customHeight="1">
      <c r="B572" s="260"/>
      <c r="C572" s="130"/>
    </row>
    <row r="573" ht="12.0" customHeight="1">
      <c r="B573" s="260"/>
      <c r="C573" s="130"/>
    </row>
    <row r="574" ht="12.0" customHeight="1">
      <c r="B574" s="260"/>
      <c r="C574" s="130"/>
    </row>
    <row r="575" ht="12.0" customHeight="1">
      <c r="B575" s="260"/>
      <c r="C575" s="130"/>
    </row>
    <row r="576" ht="12.0" customHeight="1">
      <c r="B576" s="260"/>
      <c r="C576" s="130"/>
    </row>
    <row r="577" ht="12.0" customHeight="1">
      <c r="B577" s="260"/>
      <c r="C577" s="130"/>
    </row>
    <row r="578" ht="12.0" customHeight="1">
      <c r="B578" s="260"/>
      <c r="C578" s="130"/>
    </row>
    <row r="579" ht="12.0" customHeight="1">
      <c r="B579" s="260"/>
      <c r="C579" s="130"/>
    </row>
    <row r="580" ht="12.0" customHeight="1">
      <c r="B580" s="260"/>
      <c r="C580" s="130"/>
    </row>
    <row r="581" ht="12.0" customHeight="1">
      <c r="B581" s="260"/>
      <c r="C581" s="130"/>
    </row>
    <row r="582" ht="12.0" customHeight="1">
      <c r="B582" s="260"/>
      <c r="C582" s="130"/>
    </row>
    <row r="583" ht="12.0" customHeight="1">
      <c r="B583" s="260"/>
      <c r="C583" s="130"/>
    </row>
    <row r="584" ht="12.0" customHeight="1">
      <c r="B584" s="260"/>
      <c r="C584" s="130"/>
    </row>
    <row r="585" ht="12.0" customHeight="1">
      <c r="B585" s="260"/>
      <c r="C585" s="130"/>
    </row>
    <row r="586" ht="12.0" customHeight="1">
      <c r="B586" s="260"/>
      <c r="C586" s="130"/>
    </row>
    <row r="587" ht="12.0" customHeight="1">
      <c r="B587" s="260"/>
      <c r="C587" s="130"/>
    </row>
    <row r="588" ht="12.0" customHeight="1">
      <c r="B588" s="260"/>
      <c r="C588" s="130"/>
    </row>
    <row r="589" ht="12.0" customHeight="1">
      <c r="B589" s="260"/>
      <c r="C589" s="130"/>
    </row>
    <row r="590" ht="12.0" customHeight="1">
      <c r="B590" s="260"/>
      <c r="C590" s="130"/>
    </row>
    <row r="591" ht="12.0" customHeight="1">
      <c r="B591" s="260"/>
      <c r="C591" s="130"/>
    </row>
    <row r="592" ht="12.0" customHeight="1">
      <c r="B592" s="260"/>
      <c r="C592" s="130"/>
    </row>
    <row r="593" ht="12.0" customHeight="1">
      <c r="B593" s="260"/>
      <c r="C593" s="130"/>
    </row>
    <row r="594" ht="12.0" customHeight="1">
      <c r="B594" s="260"/>
      <c r="C594" s="130"/>
    </row>
    <row r="595" ht="12.0" customHeight="1">
      <c r="B595" s="260"/>
      <c r="C595" s="130"/>
    </row>
    <row r="596" ht="12.0" customHeight="1">
      <c r="B596" s="260"/>
      <c r="C596" s="130"/>
    </row>
    <row r="597" ht="12.0" customHeight="1">
      <c r="B597" s="260"/>
      <c r="C597" s="130"/>
    </row>
    <row r="598" ht="12.0" customHeight="1">
      <c r="B598" s="260"/>
      <c r="C598" s="130"/>
    </row>
    <row r="599" ht="12.0" customHeight="1">
      <c r="B599" s="260"/>
      <c r="C599" s="130"/>
    </row>
    <row r="600" ht="12.0" customHeight="1">
      <c r="B600" s="260"/>
      <c r="C600" s="130"/>
    </row>
    <row r="601" ht="12.0" customHeight="1">
      <c r="B601" s="260"/>
      <c r="C601" s="130"/>
    </row>
    <row r="602" ht="12.0" customHeight="1">
      <c r="B602" s="260"/>
      <c r="C602" s="130"/>
    </row>
    <row r="603" ht="12.0" customHeight="1">
      <c r="B603" s="260"/>
      <c r="C603" s="130"/>
    </row>
    <row r="604" ht="12.0" customHeight="1">
      <c r="B604" s="260"/>
      <c r="C604" s="130"/>
    </row>
    <row r="605" ht="12.0" customHeight="1">
      <c r="B605" s="260"/>
      <c r="C605" s="130"/>
    </row>
    <row r="606" ht="12.0" customHeight="1">
      <c r="B606" s="260"/>
      <c r="C606" s="130"/>
    </row>
    <row r="607" ht="12.0" customHeight="1">
      <c r="B607" s="260"/>
      <c r="C607" s="130"/>
    </row>
    <row r="608" ht="12.0" customHeight="1">
      <c r="B608" s="260"/>
      <c r="C608" s="130"/>
    </row>
    <row r="609" ht="12.0" customHeight="1">
      <c r="B609" s="260"/>
      <c r="C609" s="130"/>
    </row>
    <row r="610" ht="12.0" customHeight="1">
      <c r="B610" s="260"/>
      <c r="C610" s="130"/>
    </row>
    <row r="611" ht="12.0" customHeight="1">
      <c r="B611" s="260"/>
      <c r="C611" s="130"/>
    </row>
    <row r="612" ht="12.0" customHeight="1">
      <c r="B612" s="260"/>
      <c r="C612" s="130"/>
    </row>
    <row r="613" ht="12.0" customHeight="1">
      <c r="B613" s="260"/>
      <c r="C613" s="130"/>
    </row>
    <row r="614" ht="12.0" customHeight="1">
      <c r="B614" s="260"/>
      <c r="C614" s="130"/>
    </row>
    <row r="615" ht="12.0" customHeight="1">
      <c r="B615" s="260"/>
      <c r="C615" s="130"/>
    </row>
    <row r="616" ht="12.0" customHeight="1">
      <c r="B616" s="260"/>
      <c r="C616" s="130"/>
    </row>
    <row r="617" ht="12.0" customHeight="1">
      <c r="B617" s="260"/>
      <c r="C617" s="130"/>
    </row>
    <row r="618" ht="12.0" customHeight="1">
      <c r="B618" s="260"/>
      <c r="C618" s="130"/>
    </row>
    <row r="619" ht="12.0" customHeight="1">
      <c r="B619" s="260"/>
      <c r="C619" s="130"/>
    </row>
    <row r="620" ht="12.0" customHeight="1">
      <c r="B620" s="260"/>
      <c r="C620" s="130"/>
    </row>
    <row r="621" ht="12.0" customHeight="1">
      <c r="B621" s="260"/>
      <c r="C621" s="130"/>
    </row>
    <row r="622" ht="12.0" customHeight="1">
      <c r="B622" s="260"/>
      <c r="C622" s="130"/>
    </row>
    <row r="623" ht="12.0" customHeight="1">
      <c r="B623" s="260"/>
      <c r="C623" s="130"/>
    </row>
    <row r="624" ht="12.0" customHeight="1">
      <c r="B624" s="260"/>
      <c r="C624" s="130"/>
    </row>
    <row r="625" ht="12.0" customHeight="1">
      <c r="B625" s="260"/>
      <c r="C625" s="130"/>
    </row>
    <row r="626" ht="12.0" customHeight="1">
      <c r="B626" s="260"/>
      <c r="C626" s="130"/>
    </row>
    <row r="627" ht="12.0" customHeight="1">
      <c r="B627" s="260"/>
      <c r="C627" s="130"/>
    </row>
    <row r="628" ht="12.0" customHeight="1">
      <c r="B628" s="260"/>
      <c r="C628" s="130"/>
    </row>
    <row r="629" ht="12.0" customHeight="1">
      <c r="B629" s="260"/>
      <c r="C629" s="130"/>
    </row>
    <row r="630" ht="12.0" customHeight="1">
      <c r="B630" s="260"/>
      <c r="C630" s="130"/>
    </row>
    <row r="631" ht="12.0" customHeight="1">
      <c r="B631" s="260"/>
      <c r="C631" s="130"/>
    </row>
    <row r="632" ht="12.0" customHeight="1">
      <c r="B632" s="260"/>
      <c r="C632" s="130"/>
    </row>
    <row r="633" ht="12.0" customHeight="1">
      <c r="B633" s="260"/>
      <c r="C633" s="130"/>
    </row>
    <row r="634" ht="12.0" customHeight="1">
      <c r="B634" s="260"/>
      <c r="C634" s="130"/>
    </row>
    <row r="635" ht="12.0" customHeight="1">
      <c r="B635" s="260"/>
      <c r="C635" s="130"/>
    </row>
    <row r="636" ht="12.0" customHeight="1">
      <c r="B636" s="260"/>
      <c r="C636" s="130"/>
    </row>
    <row r="637" ht="12.0" customHeight="1">
      <c r="B637" s="260"/>
      <c r="C637" s="130"/>
    </row>
    <row r="638" ht="12.0" customHeight="1">
      <c r="B638" s="260"/>
      <c r="C638" s="130"/>
    </row>
    <row r="639" ht="12.0" customHeight="1">
      <c r="B639" s="260"/>
      <c r="C639" s="130"/>
    </row>
    <row r="640" ht="12.0" customHeight="1">
      <c r="B640" s="260"/>
      <c r="C640" s="130"/>
    </row>
    <row r="641" ht="12.0" customHeight="1">
      <c r="B641" s="260"/>
      <c r="C641" s="130"/>
    </row>
    <row r="642" ht="12.0" customHeight="1">
      <c r="B642" s="260"/>
      <c r="C642" s="130"/>
    </row>
    <row r="643" ht="12.0" customHeight="1">
      <c r="B643" s="260"/>
      <c r="C643" s="130"/>
    </row>
    <row r="644" ht="12.0" customHeight="1">
      <c r="B644" s="260"/>
      <c r="C644" s="130"/>
    </row>
    <row r="645" ht="12.0" customHeight="1">
      <c r="B645" s="260"/>
      <c r="C645" s="130"/>
    </row>
    <row r="646" ht="12.0" customHeight="1">
      <c r="B646" s="260"/>
      <c r="C646" s="130"/>
    </row>
    <row r="647" ht="12.0" customHeight="1">
      <c r="B647" s="260"/>
      <c r="C647" s="130"/>
    </row>
    <row r="648" ht="12.0" customHeight="1">
      <c r="B648" s="260"/>
      <c r="C648" s="130"/>
    </row>
    <row r="649" ht="12.0" customHeight="1">
      <c r="B649" s="260"/>
      <c r="C649" s="130"/>
    </row>
    <row r="650" ht="12.0" customHeight="1">
      <c r="B650" s="260"/>
      <c r="C650" s="130"/>
    </row>
    <row r="651" ht="12.0" customHeight="1">
      <c r="B651" s="260"/>
      <c r="C651" s="130"/>
    </row>
    <row r="652" ht="12.0" customHeight="1">
      <c r="B652" s="260"/>
      <c r="C652" s="130"/>
    </row>
    <row r="653" ht="12.0" customHeight="1">
      <c r="B653" s="260"/>
      <c r="C653" s="130"/>
    </row>
    <row r="654" ht="12.0" customHeight="1">
      <c r="B654" s="260"/>
      <c r="C654" s="130"/>
    </row>
    <row r="655" ht="12.0" customHeight="1">
      <c r="B655" s="260"/>
      <c r="C655" s="130"/>
    </row>
    <row r="656" ht="12.0" customHeight="1">
      <c r="B656" s="260"/>
      <c r="C656" s="130"/>
    </row>
    <row r="657" ht="12.0" customHeight="1">
      <c r="B657" s="260"/>
      <c r="C657" s="130"/>
    </row>
    <row r="658" ht="12.0" customHeight="1">
      <c r="B658" s="260"/>
      <c r="C658" s="130"/>
    </row>
    <row r="659" ht="12.0" customHeight="1">
      <c r="B659" s="260"/>
      <c r="C659" s="130"/>
    </row>
    <row r="660" ht="12.0" customHeight="1">
      <c r="B660" s="260"/>
      <c r="C660" s="130"/>
    </row>
    <row r="661" ht="12.0" customHeight="1">
      <c r="B661" s="260"/>
      <c r="C661" s="130"/>
    </row>
    <row r="662" ht="12.0" customHeight="1">
      <c r="B662" s="260"/>
      <c r="C662" s="130"/>
    </row>
    <row r="663" ht="12.0" customHeight="1">
      <c r="B663" s="260"/>
      <c r="C663" s="130"/>
    </row>
    <row r="664" ht="12.0" customHeight="1">
      <c r="B664" s="260"/>
      <c r="C664" s="130"/>
    </row>
    <row r="665" ht="12.0" customHeight="1">
      <c r="B665" s="260"/>
      <c r="C665" s="130"/>
    </row>
    <row r="666" ht="12.0" customHeight="1">
      <c r="B666" s="260"/>
      <c r="C666" s="130"/>
    </row>
    <row r="667" ht="12.0" customHeight="1">
      <c r="B667" s="260"/>
      <c r="C667" s="130"/>
    </row>
    <row r="668" ht="12.0" customHeight="1">
      <c r="B668" s="260"/>
      <c r="C668" s="130"/>
    </row>
    <row r="669" ht="12.0" customHeight="1">
      <c r="B669" s="260"/>
      <c r="C669" s="130"/>
    </row>
    <row r="670" ht="12.0" customHeight="1">
      <c r="B670" s="260"/>
      <c r="C670" s="130"/>
    </row>
    <row r="671" ht="12.0" customHeight="1">
      <c r="B671" s="260"/>
      <c r="C671" s="130"/>
    </row>
    <row r="672" ht="12.0" customHeight="1">
      <c r="B672" s="260"/>
      <c r="C672" s="130"/>
    </row>
    <row r="673" ht="12.0" customHeight="1">
      <c r="B673" s="260"/>
      <c r="C673" s="130"/>
    </row>
    <row r="674" ht="12.0" customHeight="1">
      <c r="B674" s="260"/>
      <c r="C674" s="130"/>
    </row>
    <row r="675" ht="12.0" customHeight="1">
      <c r="B675" s="260"/>
      <c r="C675" s="130"/>
    </row>
    <row r="676" ht="12.0" customHeight="1">
      <c r="B676" s="260"/>
      <c r="C676" s="130"/>
    </row>
    <row r="677" ht="12.0" customHeight="1">
      <c r="B677" s="260"/>
      <c r="C677" s="130"/>
    </row>
    <row r="678" ht="12.0" customHeight="1">
      <c r="B678" s="260"/>
      <c r="C678" s="130"/>
    </row>
    <row r="679" ht="12.0" customHeight="1">
      <c r="B679" s="260"/>
      <c r="C679" s="130"/>
    </row>
    <row r="680" ht="12.0" customHeight="1">
      <c r="B680" s="260"/>
      <c r="C680" s="130"/>
    </row>
    <row r="681" ht="12.0" customHeight="1">
      <c r="B681" s="260"/>
      <c r="C681" s="130"/>
    </row>
    <row r="682" ht="12.0" customHeight="1">
      <c r="B682" s="260"/>
      <c r="C682" s="130"/>
    </row>
    <row r="683" ht="12.0" customHeight="1">
      <c r="B683" s="260"/>
      <c r="C683" s="130"/>
    </row>
    <row r="684" ht="12.0" customHeight="1">
      <c r="B684" s="260"/>
      <c r="C684" s="130"/>
    </row>
    <row r="685" ht="12.0" customHeight="1">
      <c r="B685" s="260"/>
      <c r="C685" s="130"/>
    </row>
    <row r="686" ht="12.0" customHeight="1">
      <c r="B686" s="260"/>
      <c r="C686" s="130"/>
    </row>
    <row r="687" ht="12.0" customHeight="1">
      <c r="B687" s="260"/>
      <c r="C687" s="130"/>
    </row>
    <row r="688" ht="12.0" customHeight="1">
      <c r="B688" s="260"/>
      <c r="C688" s="130"/>
    </row>
    <row r="689" ht="12.0" customHeight="1">
      <c r="B689" s="260"/>
      <c r="C689" s="130"/>
    </row>
    <row r="690" ht="12.0" customHeight="1">
      <c r="B690" s="260"/>
      <c r="C690" s="130"/>
    </row>
    <row r="691" ht="12.0" customHeight="1">
      <c r="B691" s="260"/>
      <c r="C691" s="130"/>
    </row>
    <row r="692" ht="12.0" customHeight="1">
      <c r="B692" s="260"/>
      <c r="C692" s="130"/>
    </row>
    <row r="693" ht="12.0" customHeight="1">
      <c r="B693" s="260"/>
      <c r="C693" s="130"/>
    </row>
    <row r="694" ht="12.0" customHeight="1">
      <c r="B694" s="260"/>
      <c r="C694" s="130"/>
    </row>
    <row r="695" ht="12.0" customHeight="1">
      <c r="B695" s="260"/>
      <c r="C695" s="130"/>
    </row>
    <row r="696" ht="12.0" customHeight="1">
      <c r="B696" s="260"/>
      <c r="C696" s="130"/>
    </row>
    <row r="697" ht="12.0" customHeight="1">
      <c r="B697" s="260"/>
      <c r="C697" s="130"/>
    </row>
    <row r="698" ht="12.0" customHeight="1">
      <c r="B698" s="260"/>
      <c r="C698" s="130"/>
    </row>
    <row r="699" ht="12.0" customHeight="1">
      <c r="B699" s="260"/>
      <c r="C699" s="130"/>
    </row>
    <row r="700" ht="12.0" customHeight="1">
      <c r="B700" s="260"/>
      <c r="C700" s="130"/>
    </row>
    <row r="701" ht="12.0" customHeight="1">
      <c r="B701" s="260"/>
      <c r="C701" s="130"/>
    </row>
    <row r="702" ht="12.0" customHeight="1">
      <c r="B702" s="260"/>
      <c r="C702" s="130"/>
    </row>
    <row r="703" ht="12.0" customHeight="1">
      <c r="B703" s="260"/>
      <c r="C703" s="130"/>
    </row>
    <row r="704" ht="12.0" customHeight="1">
      <c r="B704" s="260"/>
      <c r="C704" s="130"/>
    </row>
    <row r="705" ht="12.0" customHeight="1">
      <c r="B705" s="260"/>
      <c r="C705" s="130"/>
    </row>
    <row r="706" ht="12.0" customHeight="1">
      <c r="B706" s="260"/>
      <c r="C706" s="130"/>
    </row>
    <row r="707" ht="12.0" customHeight="1">
      <c r="B707" s="260"/>
      <c r="C707" s="130"/>
    </row>
    <row r="708" ht="12.0" customHeight="1">
      <c r="B708" s="260"/>
      <c r="C708" s="130"/>
    </row>
    <row r="709" ht="12.0" customHeight="1">
      <c r="B709" s="260"/>
      <c r="C709" s="130"/>
    </row>
    <row r="710" ht="12.0" customHeight="1">
      <c r="B710" s="260"/>
      <c r="C710" s="130"/>
    </row>
    <row r="711" ht="12.0" customHeight="1">
      <c r="B711" s="260"/>
      <c r="C711" s="130"/>
    </row>
    <row r="712" ht="12.0" customHeight="1">
      <c r="B712" s="260"/>
      <c r="C712" s="130"/>
    </row>
    <row r="713" ht="12.0" customHeight="1">
      <c r="B713" s="260"/>
      <c r="C713" s="130"/>
    </row>
    <row r="714" ht="12.0" customHeight="1">
      <c r="B714" s="260"/>
      <c r="C714" s="130"/>
    </row>
    <row r="715" ht="12.0" customHeight="1">
      <c r="B715" s="260"/>
      <c r="C715" s="130"/>
    </row>
    <row r="716" ht="12.0" customHeight="1">
      <c r="B716" s="260"/>
      <c r="C716" s="130"/>
    </row>
    <row r="717" ht="12.0" customHeight="1">
      <c r="B717" s="260"/>
      <c r="C717" s="130"/>
    </row>
    <row r="718" ht="12.0" customHeight="1">
      <c r="B718" s="260"/>
      <c r="C718" s="130"/>
    </row>
    <row r="719" ht="12.0" customHeight="1">
      <c r="B719" s="260"/>
      <c r="C719" s="130"/>
    </row>
    <row r="720" ht="12.0" customHeight="1">
      <c r="B720" s="260"/>
      <c r="C720" s="130"/>
    </row>
    <row r="721" ht="12.0" customHeight="1">
      <c r="B721" s="260"/>
      <c r="C721" s="130"/>
    </row>
    <row r="722" ht="12.0" customHeight="1">
      <c r="B722" s="260"/>
      <c r="C722" s="130"/>
    </row>
    <row r="723" ht="12.0" customHeight="1">
      <c r="B723" s="260"/>
      <c r="C723" s="130"/>
    </row>
    <row r="724" ht="12.0" customHeight="1">
      <c r="B724" s="260"/>
      <c r="C724" s="130"/>
    </row>
    <row r="725" ht="12.0" customHeight="1">
      <c r="B725" s="260"/>
      <c r="C725" s="130"/>
    </row>
    <row r="726" ht="12.0" customHeight="1">
      <c r="B726" s="260"/>
      <c r="C726" s="130"/>
    </row>
    <row r="727" ht="12.0" customHeight="1">
      <c r="B727" s="260"/>
      <c r="C727" s="130"/>
    </row>
    <row r="728" ht="12.0" customHeight="1">
      <c r="B728" s="260"/>
      <c r="C728" s="130"/>
    </row>
    <row r="729" ht="12.0" customHeight="1">
      <c r="B729" s="260"/>
      <c r="C729" s="130"/>
    </row>
    <row r="730" ht="12.0" customHeight="1">
      <c r="B730" s="260"/>
      <c r="C730" s="130"/>
    </row>
    <row r="731" ht="12.0" customHeight="1">
      <c r="B731" s="260"/>
      <c r="C731" s="130"/>
    </row>
    <row r="732" ht="12.0" customHeight="1">
      <c r="B732" s="260"/>
      <c r="C732" s="130"/>
    </row>
    <row r="733" ht="12.0" customHeight="1">
      <c r="B733" s="260"/>
      <c r="C733" s="130"/>
    </row>
    <row r="734" ht="12.0" customHeight="1">
      <c r="B734" s="260"/>
      <c r="C734" s="130"/>
    </row>
    <row r="735" ht="12.0" customHeight="1">
      <c r="B735" s="260"/>
      <c r="C735" s="130"/>
    </row>
    <row r="736" ht="12.0" customHeight="1">
      <c r="B736" s="260"/>
      <c r="C736" s="130"/>
    </row>
    <row r="737" ht="12.0" customHeight="1">
      <c r="B737" s="260"/>
      <c r="C737" s="130"/>
    </row>
    <row r="738" ht="12.0" customHeight="1">
      <c r="B738" s="260"/>
      <c r="C738" s="130"/>
    </row>
    <row r="739" ht="12.0" customHeight="1">
      <c r="B739" s="260"/>
      <c r="C739" s="130"/>
    </row>
    <row r="740" ht="12.0" customHeight="1">
      <c r="B740" s="260"/>
      <c r="C740" s="130"/>
    </row>
    <row r="741" ht="12.0" customHeight="1">
      <c r="B741" s="260"/>
      <c r="C741" s="130"/>
    </row>
    <row r="742" ht="12.0" customHeight="1">
      <c r="B742" s="260"/>
      <c r="C742" s="130"/>
    </row>
    <row r="743" ht="12.0" customHeight="1">
      <c r="B743" s="260"/>
      <c r="C743" s="130"/>
    </row>
    <row r="744" ht="12.0" customHeight="1">
      <c r="B744" s="260"/>
      <c r="C744" s="130"/>
    </row>
    <row r="745" ht="12.0" customHeight="1">
      <c r="B745" s="260"/>
      <c r="C745" s="130"/>
    </row>
    <row r="746" ht="12.0" customHeight="1">
      <c r="B746" s="260"/>
      <c r="C746" s="130"/>
    </row>
    <row r="747" ht="12.0" customHeight="1">
      <c r="B747" s="260"/>
      <c r="C747" s="130"/>
    </row>
    <row r="748" ht="12.0" customHeight="1">
      <c r="B748" s="260"/>
      <c r="C748" s="130"/>
    </row>
    <row r="749" ht="12.0" customHeight="1">
      <c r="B749" s="260"/>
      <c r="C749" s="130"/>
    </row>
    <row r="750" ht="12.0" customHeight="1">
      <c r="B750" s="260"/>
      <c r="C750" s="130"/>
    </row>
    <row r="751" ht="12.0" customHeight="1">
      <c r="B751" s="260"/>
      <c r="C751" s="130"/>
    </row>
    <row r="752" ht="12.0" customHeight="1">
      <c r="B752" s="260"/>
      <c r="C752" s="130"/>
    </row>
    <row r="753" ht="12.0" customHeight="1">
      <c r="B753" s="260"/>
      <c r="C753" s="130"/>
    </row>
    <row r="754" ht="12.0" customHeight="1">
      <c r="B754" s="260"/>
      <c r="C754" s="130"/>
    </row>
    <row r="755" ht="12.0" customHeight="1">
      <c r="B755" s="260"/>
      <c r="C755" s="130"/>
    </row>
    <row r="756" ht="12.0" customHeight="1">
      <c r="B756" s="260"/>
      <c r="C756" s="130"/>
    </row>
    <row r="757" ht="12.0" customHeight="1">
      <c r="B757" s="260"/>
      <c r="C757" s="130"/>
    </row>
    <row r="758" ht="12.0" customHeight="1">
      <c r="B758" s="260"/>
      <c r="C758" s="130"/>
    </row>
    <row r="759" ht="12.0" customHeight="1">
      <c r="B759" s="260"/>
      <c r="C759" s="130"/>
    </row>
    <row r="760" ht="12.0" customHeight="1">
      <c r="B760" s="260"/>
      <c r="C760" s="130"/>
    </row>
    <row r="761" ht="12.0" customHeight="1">
      <c r="B761" s="260"/>
      <c r="C761" s="130"/>
    </row>
    <row r="762" ht="12.0" customHeight="1">
      <c r="B762" s="260"/>
      <c r="C762" s="130"/>
    </row>
    <row r="763" ht="12.0" customHeight="1">
      <c r="B763" s="260"/>
      <c r="C763" s="130"/>
    </row>
    <row r="764" ht="12.0" customHeight="1">
      <c r="B764" s="260"/>
      <c r="C764" s="130"/>
    </row>
    <row r="765" ht="12.0" customHeight="1">
      <c r="B765" s="260"/>
      <c r="C765" s="130"/>
    </row>
    <row r="766" ht="12.0" customHeight="1">
      <c r="B766" s="260"/>
      <c r="C766" s="130"/>
    </row>
    <row r="767" ht="12.0" customHeight="1">
      <c r="B767" s="260"/>
      <c r="C767" s="130"/>
    </row>
    <row r="768" ht="12.0" customHeight="1">
      <c r="B768" s="260"/>
      <c r="C768" s="130"/>
    </row>
    <row r="769" ht="12.0" customHeight="1">
      <c r="B769" s="260"/>
      <c r="C769" s="130"/>
    </row>
    <row r="770" ht="12.0" customHeight="1">
      <c r="B770" s="260"/>
      <c r="C770" s="130"/>
    </row>
    <row r="771" ht="12.0" customHeight="1">
      <c r="B771" s="260"/>
      <c r="C771" s="130"/>
    </row>
    <row r="772" ht="12.0" customHeight="1">
      <c r="B772" s="260"/>
      <c r="C772" s="130"/>
    </row>
    <row r="773" ht="12.0" customHeight="1">
      <c r="B773" s="260"/>
      <c r="C773" s="130"/>
    </row>
    <row r="774" ht="12.0" customHeight="1">
      <c r="B774" s="260"/>
      <c r="C774" s="130"/>
    </row>
    <row r="775" ht="12.0" customHeight="1">
      <c r="B775" s="260"/>
      <c r="C775" s="130"/>
    </row>
    <row r="776" ht="12.0" customHeight="1">
      <c r="B776" s="260"/>
      <c r="C776" s="130"/>
    </row>
    <row r="777" ht="12.0" customHeight="1">
      <c r="B777" s="260"/>
      <c r="C777" s="130"/>
    </row>
    <row r="778" ht="12.0" customHeight="1">
      <c r="B778" s="260"/>
      <c r="C778" s="130"/>
    </row>
    <row r="779" ht="12.0" customHeight="1">
      <c r="B779" s="260"/>
      <c r="C779" s="130"/>
    </row>
    <row r="780" ht="12.0" customHeight="1">
      <c r="B780" s="260"/>
      <c r="C780" s="130"/>
    </row>
    <row r="781" ht="12.0" customHeight="1">
      <c r="B781" s="260"/>
      <c r="C781" s="130"/>
    </row>
    <row r="782" ht="12.0" customHeight="1">
      <c r="B782" s="260"/>
      <c r="C782" s="130"/>
    </row>
    <row r="783" ht="12.0" customHeight="1">
      <c r="B783" s="260"/>
      <c r="C783" s="130"/>
    </row>
    <row r="784" ht="12.0" customHeight="1">
      <c r="B784" s="260"/>
      <c r="C784" s="130"/>
    </row>
    <row r="785" ht="12.0" customHeight="1">
      <c r="B785" s="260"/>
      <c r="C785" s="130"/>
    </row>
    <row r="786" ht="12.0" customHeight="1">
      <c r="B786" s="260"/>
      <c r="C786" s="130"/>
    </row>
    <row r="787" ht="12.0" customHeight="1">
      <c r="B787" s="260"/>
      <c r="C787" s="130"/>
    </row>
    <row r="788" ht="12.0" customHeight="1">
      <c r="B788" s="260"/>
      <c r="C788" s="130"/>
    </row>
    <row r="789" ht="12.0" customHeight="1">
      <c r="B789" s="260"/>
      <c r="C789" s="130"/>
    </row>
    <row r="790" ht="12.0" customHeight="1">
      <c r="B790" s="260"/>
      <c r="C790" s="130"/>
    </row>
    <row r="791" ht="12.0" customHeight="1">
      <c r="B791" s="260"/>
      <c r="C791" s="130"/>
    </row>
    <row r="792" ht="12.0" customHeight="1">
      <c r="B792" s="260"/>
      <c r="C792" s="130"/>
    </row>
    <row r="793" ht="12.0" customHeight="1">
      <c r="B793" s="260"/>
      <c r="C793" s="130"/>
    </row>
    <row r="794" ht="12.0" customHeight="1">
      <c r="B794" s="260"/>
      <c r="C794" s="130"/>
    </row>
    <row r="795" ht="12.0" customHeight="1">
      <c r="B795" s="260"/>
      <c r="C795" s="130"/>
    </row>
    <row r="796" ht="12.0" customHeight="1">
      <c r="B796" s="260"/>
      <c r="C796" s="130"/>
    </row>
    <row r="797" ht="12.0" customHeight="1">
      <c r="B797" s="260"/>
      <c r="C797" s="130"/>
    </row>
    <row r="798" ht="12.0" customHeight="1">
      <c r="B798" s="260"/>
      <c r="C798" s="130"/>
    </row>
    <row r="799" ht="12.0" customHeight="1">
      <c r="B799" s="260"/>
      <c r="C799" s="130"/>
    </row>
    <row r="800" ht="12.0" customHeight="1">
      <c r="B800" s="260"/>
      <c r="C800" s="130"/>
    </row>
    <row r="801" ht="12.0" customHeight="1">
      <c r="B801" s="260"/>
      <c r="C801" s="130"/>
    </row>
    <row r="802" ht="12.0" customHeight="1">
      <c r="B802" s="260"/>
      <c r="C802" s="130"/>
    </row>
    <row r="803" ht="12.0" customHeight="1">
      <c r="B803" s="260"/>
      <c r="C803" s="130"/>
    </row>
    <row r="804" ht="12.0" customHeight="1">
      <c r="B804" s="260"/>
      <c r="C804" s="130"/>
    </row>
    <row r="805" ht="12.0" customHeight="1">
      <c r="B805" s="260"/>
      <c r="C805" s="130"/>
    </row>
    <row r="806" ht="12.0" customHeight="1">
      <c r="B806" s="260"/>
      <c r="C806" s="130"/>
    </row>
    <row r="807" ht="12.0" customHeight="1">
      <c r="B807" s="260"/>
      <c r="C807" s="130"/>
    </row>
    <row r="808" ht="12.0" customHeight="1">
      <c r="B808" s="260"/>
      <c r="C808" s="130"/>
    </row>
    <row r="809" ht="12.0" customHeight="1">
      <c r="B809" s="260"/>
      <c r="C809" s="130"/>
    </row>
    <row r="810" ht="12.0" customHeight="1">
      <c r="B810" s="260"/>
      <c r="C810" s="130"/>
    </row>
    <row r="811" ht="12.0" customHeight="1">
      <c r="B811" s="260"/>
      <c r="C811" s="130"/>
    </row>
    <row r="812" ht="12.0" customHeight="1">
      <c r="B812" s="260"/>
      <c r="C812" s="130"/>
    </row>
    <row r="813" ht="12.0" customHeight="1">
      <c r="B813" s="260"/>
      <c r="C813" s="130"/>
    </row>
    <row r="814" ht="12.0" customHeight="1">
      <c r="B814" s="260"/>
      <c r="C814" s="130"/>
    </row>
    <row r="815" ht="12.0" customHeight="1">
      <c r="B815" s="260"/>
      <c r="C815" s="130"/>
    </row>
    <row r="816" ht="12.0" customHeight="1">
      <c r="B816" s="260"/>
      <c r="C816" s="130"/>
    </row>
    <row r="817" ht="12.0" customHeight="1">
      <c r="B817" s="260"/>
      <c r="C817" s="130"/>
    </row>
    <row r="818" ht="12.0" customHeight="1">
      <c r="B818" s="260"/>
      <c r="C818" s="130"/>
    </row>
    <row r="819" ht="12.0" customHeight="1">
      <c r="B819" s="260"/>
      <c r="C819" s="130"/>
    </row>
    <row r="820" ht="12.0" customHeight="1">
      <c r="B820" s="260"/>
      <c r="C820" s="130"/>
    </row>
    <row r="821" ht="12.0" customHeight="1">
      <c r="B821" s="260"/>
      <c r="C821" s="130"/>
    </row>
    <row r="822" ht="12.0" customHeight="1">
      <c r="B822" s="260"/>
      <c r="C822" s="130"/>
    </row>
    <row r="823" ht="12.0" customHeight="1">
      <c r="B823" s="260"/>
      <c r="C823" s="130"/>
    </row>
    <row r="824" ht="12.0" customHeight="1">
      <c r="B824" s="260"/>
      <c r="C824" s="130"/>
    </row>
    <row r="825" ht="12.0" customHeight="1">
      <c r="B825" s="260"/>
      <c r="C825" s="130"/>
    </row>
    <row r="826" ht="12.0" customHeight="1">
      <c r="B826" s="260"/>
      <c r="C826" s="130"/>
    </row>
    <row r="827" ht="12.0" customHeight="1">
      <c r="B827" s="260"/>
      <c r="C827" s="130"/>
    </row>
    <row r="828" ht="12.0" customHeight="1">
      <c r="B828" s="260"/>
      <c r="C828" s="130"/>
    </row>
    <row r="829" ht="12.0" customHeight="1">
      <c r="B829" s="260"/>
      <c r="C829" s="130"/>
    </row>
    <row r="830" ht="12.0" customHeight="1">
      <c r="B830" s="260"/>
      <c r="C830" s="130"/>
    </row>
    <row r="831" ht="12.0" customHeight="1">
      <c r="B831" s="260"/>
      <c r="C831" s="130"/>
    </row>
    <row r="832" ht="12.0" customHeight="1">
      <c r="B832" s="260"/>
      <c r="C832" s="130"/>
    </row>
    <row r="833" ht="12.0" customHeight="1">
      <c r="B833" s="260"/>
      <c r="C833" s="130"/>
    </row>
    <row r="834" ht="12.0" customHeight="1">
      <c r="B834" s="260"/>
      <c r="C834" s="130"/>
    </row>
    <row r="835" ht="12.0" customHeight="1">
      <c r="B835" s="260"/>
      <c r="C835" s="130"/>
    </row>
    <row r="836" ht="12.0" customHeight="1">
      <c r="B836" s="260"/>
      <c r="C836" s="130"/>
    </row>
    <row r="837" ht="12.0" customHeight="1">
      <c r="B837" s="260"/>
      <c r="C837" s="130"/>
    </row>
    <row r="838" ht="12.0" customHeight="1">
      <c r="B838" s="260"/>
      <c r="C838" s="130"/>
    </row>
    <row r="839" ht="12.0" customHeight="1">
      <c r="B839" s="260"/>
      <c r="C839" s="130"/>
    </row>
    <row r="840" ht="12.0" customHeight="1">
      <c r="B840" s="260"/>
      <c r="C840" s="130"/>
    </row>
    <row r="841" ht="12.0" customHeight="1">
      <c r="B841" s="260"/>
      <c r="C841" s="130"/>
    </row>
    <row r="842" ht="12.0" customHeight="1">
      <c r="B842" s="260"/>
      <c r="C842" s="130"/>
    </row>
    <row r="843" ht="12.0" customHeight="1">
      <c r="B843" s="260"/>
      <c r="C843" s="130"/>
    </row>
    <row r="844" ht="12.0" customHeight="1">
      <c r="B844" s="260"/>
      <c r="C844" s="130"/>
    </row>
    <row r="845" ht="12.0" customHeight="1">
      <c r="B845" s="260"/>
      <c r="C845" s="130"/>
    </row>
    <row r="846" ht="12.0" customHeight="1">
      <c r="B846" s="260"/>
      <c r="C846" s="130"/>
    </row>
    <row r="847" ht="12.0" customHeight="1">
      <c r="B847" s="260"/>
      <c r="C847" s="130"/>
    </row>
    <row r="848" ht="12.0" customHeight="1">
      <c r="B848" s="260"/>
      <c r="C848" s="130"/>
    </row>
    <row r="849" ht="12.0" customHeight="1">
      <c r="B849" s="260"/>
      <c r="C849" s="130"/>
    </row>
    <row r="850" ht="12.0" customHeight="1">
      <c r="B850" s="260"/>
      <c r="C850" s="130"/>
    </row>
    <row r="851" ht="12.0" customHeight="1">
      <c r="B851" s="260"/>
      <c r="C851" s="130"/>
    </row>
    <row r="852" ht="12.0" customHeight="1">
      <c r="B852" s="260"/>
      <c r="C852" s="130"/>
    </row>
    <row r="853" ht="12.0" customHeight="1">
      <c r="B853" s="260"/>
      <c r="C853" s="130"/>
    </row>
    <row r="854" ht="12.0" customHeight="1">
      <c r="B854" s="260"/>
      <c r="C854" s="130"/>
    </row>
    <row r="855" ht="12.0" customHeight="1">
      <c r="B855" s="260"/>
      <c r="C855" s="130"/>
    </row>
    <row r="856" ht="12.0" customHeight="1">
      <c r="B856" s="260"/>
      <c r="C856" s="130"/>
    </row>
    <row r="857" ht="12.0" customHeight="1">
      <c r="B857" s="260"/>
      <c r="C857" s="130"/>
    </row>
    <row r="858" ht="12.0" customHeight="1">
      <c r="B858" s="260"/>
      <c r="C858" s="130"/>
    </row>
    <row r="859" ht="12.0" customHeight="1">
      <c r="B859" s="260"/>
      <c r="C859" s="130"/>
    </row>
    <row r="860" ht="12.0" customHeight="1">
      <c r="B860" s="260"/>
      <c r="C860" s="130"/>
    </row>
    <row r="861" ht="12.0" customHeight="1">
      <c r="B861" s="260"/>
      <c r="C861" s="130"/>
    </row>
    <row r="862" ht="12.0" customHeight="1">
      <c r="B862" s="260"/>
      <c r="C862" s="130"/>
    </row>
    <row r="863" ht="12.0" customHeight="1">
      <c r="B863" s="260"/>
      <c r="C863" s="130"/>
    </row>
    <row r="864" ht="12.0" customHeight="1">
      <c r="B864" s="260"/>
      <c r="C864" s="130"/>
    </row>
    <row r="865" ht="12.0" customHeight="1">
      <c r="B865" s="260"/>
      <c r="C865" s="130"/>
    </row>
    <row r="866" ht="12.0" customHeight="1">
      <c r="B866" s="260"/>
      <c r="C866" s="130"/>
    </row>
    <row r="867" ht="12.0" customHeight="1">
      <c r="B867" s="260"/>
      <c r="C867" s="130"/>
    </row>
    <row r="868" ht="12.0" customHeight="1">
      <c r="B868" s="260"/>
      <c r="C868" s="130"/>
    </row>
    <row r="869" ht="12.0" customHeight="1">
      <c r="B869" s="260"/>
      <c r="C869" s="130"/>
    </row>
    <row r="870" ht="12.0" customHeight="1">
      <c r="B870" s="260"/>
      <c r="C870" s="130"/>
    </row>
    <row r="871" ht="12.0" customHeight="1">
      <c r="B871" s="260"/>
      <c r="C871" s="130"/>
    </row>
    <row r="872" ht="12.0" customHeight="1">
      <c r="B872" s="260"/>
      <c r="C872" s="130"/>
    </row>
    <row r="873" ht="12.0" customHeight="1">
      <c r="B873" s="260"/>
      <c r="C873" s="130"/>
    </row>
    <row r="874" ht="12.0" customHeight="1">
      <c r="B874" s="260"/>
      <c r="C874" s="130"/>
    </row>
    <row r="875" ht="12.0" customHeight="1">
      <c r="B875" s="260"/>
      <c r="C875" s="130"/>
    </row>
    <row r="876" ht="12.0" customHeight="1">
      <c r="B876" s="260"/>
      <c r="C876" s="130"/>
    </row>
    <row r="877" ht="12.0" customHeight="1">
      <c r="B877" s="260"/>
      <c r="C877" s="130"/>
    </row>
    <row r="878" ht="12.0" customHeight="1">
      <c r="B878" s="260"/>
      <c r="C878" s="130"/>
    </row>
    <row r="879" ht="12.0" customHeight="1">
      <c r="B879" s="260"/>
      <c r="C879" s="130"/>
    </row>
    <row r="880" ht="12.0" customHeight="1">
      <c r="B880" s="260"/>
      <c r="C880" s="130"/>
    </row>
    <row r="881" ht="12.0" customHeight="1">
      <c r="B881" s="260"/>
      <c r="C881" s="130"/>
    </row>
    <row r="882" ht="12.0" customHeight="1">
      <c r="B882" s="260"/>
      <c r="C882" s="130"/>
    </row>
    <row r="883" ht="12.0" customHeight="1">
      <c r="B883" s="260"/>
      <c r="C883" s="130"/>
    </row>
    <row r="884" ht="12.0" customHeight="1">
      <c r="B884" s="260"/>
      <c r="C884" s="130"/>
    </row>
    <row r="885" ht="12.0" customHeight="1">
      <c r="B885" s="260"/>
      <c r="C885" s="130"/>
    </row>
    <row r="886" ht="12.0" customHeight="1">
      <c r="B886" s="260"/>
      <c r="C886" s="130"/>
    </row>
    <row r="887" ht="12.0" customHeight="1">
      <c r="B887" s="260"/>
      <c r="C887" s="130"/>
    </row>
    <row r="888" ht="12.0" customHeight="1">
      <c r="B888" s="260"/>
      <c r="C888" s="130"/>
    </row>
    <row r="889" ht="12.0" customHeight="1">
      <c r="B889" s="260"/>
      <c r="C889" s="130"/>
    </row>
    <row r="890" ht="12.0" customHeight="1">
      <c r="B890" s="260"/>
      <c r="C890" s="130"/>
    </row>
    <row r="891" ht="12.0" customHeight="1">
      <c r="B891" s="260"/>
      <c r="C891" s="130"/>
    </row>
    <row r="892" ht="12.0" customHeight="1">
      <c r="B892" s="260"/>
      <c r="C892" s="130"/>
    </row>
    <row r="893" ht="12.0" customHeight="1">
      <c r="B893" s="260"/>
      <c r="C893" s="130"/>
    </row>
    <row r="894" ht="12.0" customHeight="1">
      <c r="B894" s="260"/>
      <c r="C894" s="130"/>
    </row>
    <row r="895" ht="12.0" customHeight="1">
      <c r="B895" s="260"/>
      <c r="C895" s="130"/>
    </row>
    <row r="896" ht="12.0" customHeight="1">
      <c r="B896" s="260"/>
      <c r="C896" s="130"/>
    </row>
    <row r="897" ht="12.0" customHeight="1">
      <c r="B897" s="260"/>
      <c r="C897" s="130"/>
    </row>
    <row r="898" ht="12.0" customHeight="1">
      <c r="B898" s="260"/>
      <c r="C898" s="130"/>
    </row>
    <row r="899" ht="12.0" customHeight="1">
      <c r="B899" s="260"/>
      <c r="C899" s="130"/>
    </row>
    <row r="900" ht="12.0" customHeight="1">
      <c r="B900" s="260"/>
      <c r="C900" s="130"/>
    </row>
    <row r="901" ht="12.0" customHeight="1">
      <c r="B901" s="260"/>
      <c r="C901" s="130"/>
    </row>
    <row r="902" ht="12.0" customHeight="1">
      <c r="B902" s="260"/>
      <c r="C902" s="130"/>
    </row>
    <row r="903" ht="12.0" customHeight="1">
      <c r="B903" s="260"/>
      <c r="C903" s="130"/>
    </row>
    <row r="904" ht="12.0" customHeight="1">
      <c r="B904" s="260"/>
      <c r="C904" s="130"/>
    </row>
    <row r="905" ht="12.0" customHeight="1">
      <c r="B905" s="260"/>
      <c r="C905" s="130"/>
    </row>
    <row r="906" ht="12.0" customHeight="1">
      <c r="B906" s="260"/>
      <c r="C906" s="130"/>
    </row>
    <row r="907" ht="12.0" customHeight="1">
      <c r="B907" s="260"/>
      <c r="C907" s="130"/>
    </row>
    <row r="908" ht="12.0" customHeight="1">
      <c r="B908" s="260"/>
      <c r="C908" s="130"/>
    </row>
    <row r="909" ht="12.0" customHeight="1">
      <c r="B909" s="260"/>
      <c r="C909" s="130"/>
    </row>
    <row r="910" ht="12.0" customHeight="1">
      <c r="B910" s="260"/>
      <c r="C910" s="130"/>
    </row>
    <row r="911" ht="12.0" customHeight="1">
      <c r="B911" s="260"/>
      <c r="C911" s="130"/>
    </row>
    <row r="912" ht="12.0" customHeight="1">
      <c r="B912" s="260"/>
      <c r="C912" s="130"/>
    </row>
    <row r="913" ht="12.0" customHeight="1">
      <c r="B913" s="260"/>
      <c r="C913" s="130"/>
    </row>
    <row r="914" ht="12.0" customHeight="1">
      <c r="B914" s="260"/>
      <c r="C914" s="130"/>
    </row>
    <row r="915" ht="12.0" customHeight="1">
      <c r="B915" s="260"/>
      <c r="C915" s="130"/>
    </row>
    <row r="916" ht="12.0" customHeight="1">
      <c r="B916" s="260"/>
      <c r="C916" s="130"/>
    </row>
    <row r="917" ht="12.0" customHeight="1">
      <c r="B917" s="260"/>
      <c r="C917" s="130"/>
    </row>
    <row r="918" ht="12.0" customHeight="1">
      <c r="B918" s="260"/>
      <c r="C918" s="130"/>
    </row>
    <row r="919" ht="12.0" customHeight="1">
      <c r="B919" s="260"/>
      <c r="C919" s="130"/>
    </row>
    <row r="920" ht="12.0" customHeight="1">
      <c r="B920" s="260"/>
      <c r="C920" s="130"/>
    </row>
    <row r="921" ht="12.0" customHeight="1">
      <c r="B921" s="260"/>
      <c r="C921" s="130"/>
    </row>
    <row r="922" ht="12.0" customHeight="1">
      <c r="B922" s="260"/>
      <c r="C922" s="130"/>
    </row>
    <row r="923" ht="12.0" customHeight="1">
      <c r="B923" s="260"/>
      <c r="C923" s="130"/>
    </row>
    <row r="924" ht="12.0" customHeight="1">
      <c r="B924" s="260"/>
      <c r="C924" s="130"/>
    </row>
    <row r="925" ht="12.0" customHeight="1">
      <c r="B925" s="260"/>
      <c r="C925" s="130"/>
    </row>
    <row r="926" ht="12.0" customHeight="1">
      <c r="B926" s="260"/>
      <c r="C926" s="130"/>
    </row>
    <row r="927" ht="12.0" customHeight="1">
      <c r="B927" s="260"/>
      <c r="C927" s="130"/>
    </row>
    <row r="928" ht="12.0" customHeight="1">
      <c r="B928" s="260"/>
      <c r="C928" s="130"/>
    </row>
    <row r="929" ht="12.0" customHeight="1">
      <c r="B929" s="260"/>
      <c r="C929" s="130"/>
    </row>
    <row r="930" ht="12.0" customHeight="1">
      <c r="B930" s="260"/>
      <c r="C930" s="130"/>
    </row>
    <row r="931" ht="12.0" customHeight="1">
      <c r="B931" s="260"/>
      <c r="C931" s="130"/>
    </row>
    <row r="932" ht="12.0" customHeight="1">
      <c r="B932" s="260"/>
      <c r="C932" s="130"/>
    </row>
    <row r="933" ht="12.0" customHeight="1">
      <c r="B933" s="260"/>
      <c r="C933" s="130"/>
    </row>
    <row r="934" ht="12.0" customHeight="1">
      <c r="B934" s="260"/>
      <c r="C934" s="130"/>
    </row>
    <row r="935" ht="12.0" customHeight="1">
      <c r="B935" s="260"/>
      <c r="C935" s="130"/>
    </row>
    <row r="936" ht="12.0" customHeight="1">
      <c r="B936" s="260"/>
      <c r="C936" s="130"/>
    </row>
    <row r="937" ht="12.0" customHeight="1">
      <c r="B937" s="260"/>
      <c r="C937" s="130"/>
    </row>
    <row r="938" ht="12.0" customHeight="1">
      <c r="B938" s="260"/>
      <c r="C938" s="130"/>
    </row>
    <row r="939" ht="12.0" customHeight="1">
      <c r="B939" s="260"/>
      <c r="C939" s="130"/>
    </row>
    <row r="940" ht="12.0" customHeight="1">
      <c r="B940" s="260"/>
      <c r="C940" s="130"/>
    </row>
    <row r="941" ht="12.0" customHeight="1">
      <c r="B941" s="260"/>
      <c r="C941" s="130"/>
    </row>
    <row r="942" ht="12.0" customHeight="1">
      <c r="B942" s="260"/>
      <c r="C942" s="130"/>
    </row>
    <row r="943" ht="12.0" customHeight="1">
      <c r="B943" s="260"/>
      <c r="C943" s="130"/>
    </row>
    <row r="944" ht="12.0" customHeight="1">
      <c r="B944" s="260"/>
      <c r="C944" s="130"/>
    </row>
    <row r="945" ht="12.0" customHeight="1">
      <c r="B945" s="260"/>
      <c r="C945" s="130"/>
    </row>
    <row r="946" ht="12.0" customHeight="1">
      <c r="B946" s="260"/>
      <c r="C946" s="130"/>
    </row>
    <row r="947" ht="12.0" customHeight="1">
      <c r="B947" s="260"/>
      <c r="C947" s="130"/>
    </row>
    <row r="948" ht="12.0" customHeight="1">
      <c r="B948" s="260"/>
      <c r="C948" s="130"/>
    </row>
    <row r="949" ht="12.0" customHeight="1">
      <c r="B949" s="260"/>
      <c r="C949" s="130"/>
    </row>
    <row r="950" ht="12.0" customHeight="1">
      <c r="B950" s="260"/>
      <c r="C950" s="130"/>
    </row>
    <row r="951" ht="12.0" customHeight="1">
      <c r="B951" s="260"/>
      <c r="C951" s="130"/>
    </row>
    <row r="952" ht="12.0" customHeight="1">
      <c r="B952" s="260"/>
      <c r="C952" s="130"/>
    </row>
    <row r="953" ht="12.0" customHeight="1">
      <c r="B953" s="260"/>
      <c r="C953" s="130"/>
    </row>
    <row r="954" ht="12.0" customHeight="1">
      <c r="B954" s="260"/>
      <c r="C954" s="130"/>
    </row>
    <row r="955" ht="12.0" customHeight="1">
      <c r="B955" s="260"/>
      <c r="C955" s="130"/>
    </row>
    <row r="956" ht="12.0" customHeight="1">
      <c r="B956" s="260"/>
      <c r="C956" s="130"/>
    </row>
    <row r="957" ht="12.0" customHeight="1">
      <c r="B957" s="260"/>
      <c r="C957" s="130"/>
    </row>
    <row r="958" ht="12.0" customHeight="1">
      <c r="B958" s="260"/>
      <c r="C958" s="130"/>
    </row>
    <row r="959" ht="12.0" customHeight="1">
      <c r="B959" s="260"/>
      <c r="C959" s="130"/>
    </row>
    <row r="960" ht="12.0" customHeight="1">
      <c r="B960" s="260"/>
      <c r="C960" s="130"/>
    </row>
    <row r="961" ht="12.0" customHeight="1">
      <c r="B961" s="260"/>
      <c r="C961" s="130"/>
    </row>
    <row r="962" ht="12.0" customHeight="1">
      <c r="B962" s="260"/>
      <c r="C962" s="130"/>
    </row>
    <row r="963" ht="12.0" customHeight="1">
      <c r="B963" s="260"/>
      <c r="C963" s="130"/>
    </row>
    <row r="964" ht="12.0" customHeight="1">
      <c r="B964" s="260"/>
      <c r="C964" s="130"/>
    </row>
    <row r="965" ht="12.0" customHeight="1">
      <c r="B965" s="260"/>
      <c r="C965" s="130"/>
    </row>
    <row r="966" ht="12.0" customHeight="1">
      <c r="B966" s="260"/>
      <c r="C966" s="130"/>
    </row>
    <row r="967" ht="12.0" customHeight="1">
      <c r="B967" s="260"/>
      <c r="C967" s="130"/>
    </row>
    <row r="968" ht="12.0" customHeight="1">
      <c r="B968" s="260"/>
      <c r="C968" s="130"/>
    </row>
    <row r="969" ht="12.0" customHeight="1">
      <c r="B969" s="260"/>
      <c r="C969" s="130"/>
    </row>
    <row r="970" ht="12.0" customHeight="1">
      <c r="B970" s="260"/>
      <c r="C970" s="130"/>
    </row>
    <row r="971" ht="12.0" customHeight="1">
      <c r="B971" s="260"/>
      <c r="C971" s="130"/>
    </row>
    <row r="972" ht="12.0" customHeight="1">
      <c r="B972" s="260"/>
      <c r="C972" s="130"/>
    </row>
    <row r="973" ht="12.0" customHeight="1">
      <c r="B973" s="260"/>
      <c r="C973" s="130"/>
    </row>
    <row r="974" ht="12.0" customHeight="1">
      <c r="B974" s="260"/>
      <c r="C974" s="130"/>
    </row>
    <row r="975" ht="12.0" customHeight="1">
      <c r="B975" s="260"/>
      <c r="C975" s="130"/>
    </row>
    <row r="976" ht="12.0" customHeight="1">
      <c r="B976" s="260"/>
      <c r="C976" s="130"/>
    </row>
    <row r="977" ht="12.0" customHeight="1">
      <c r="B977" s="260"/>
      <c r="C977" s="130"/>
    </row>
    <row r="978" ht="12.0" customHeight="1">
      <c r="B978" s="260"/>
      <c r="C978" s="130"/>
    </row>
    <row r="979" ht="12.0" customHeight="1">
      <c r="B979" s="260"/>
      <c r="C979" s="130"/>
    </row>
    <row r="980" ht="12.0" customHeight="1">
      <c r="B980" s="260"/>
      <c r="C980" s="130"/>
    </row>
    <row r="981" ht="12.0" customHeight="1">
      <c r="B981" s="260"/>
      <c r="C981" s="130"/>
    </row>
    <row r="982" ht="12.0" customHeight="1">
      <c r="B982" s="260"/>
      <c r="C982" s="130"/>
    </row>
    <row r="983" ht="12.0" customHeight="1">
      <c r="B983" s="260"/>
      <c r="C983" s="130"/>
    </row>
    <row r="984" ht="12.0" customHeight="1">
      <c r="B984" s="260"/>
      <c r="C984" s="130"/>
    </row>
    <row r="985" ht="12.0" customHeight="1">
      <c r="B985" s="260"/>
      <c r="C985" s="130"/>
    </row>
    <row r="986" ht="12.0" customHeight="1">
      <c r="B986" s="260"/>
      <c r="C986" s="130"/>
    </row>
    <row r="987" ht="12.0" customHeight="1">
      <c r="B987" s="260"/>
      <c r="C987" s="130"/>
    </row>
    <row r="988" ht="12.0" customHeight="1">
      <c r="B988" s="260"/>
      <c r="C988" s="130"/>
    </row>
    <row r="989" ht="12.0" customHeight="1">
      <c r="B989" s="260"/>
      <c r="C989" s="130"/>
    </row>
    <row r="990" ht="12.0" customHeight="1">
      <c r="B990" s="260"/>
      <c r="C990" s="130"/>
    </row>
    <row r="991" ht="12.0" customHeight="1">
      <c r="B991" s="260"/>
      <c r="C991" s="130"/>
    </row>
    <row r="992" ht="12.0" customHeight="1">
      <c r="B992" s="260"/>
      <c r="C992" s="130"/>
    </row>
    <row r="993" ht="12.0" customHeight="1">
      <c r="B993" s="260"/>
      <c r="C993" s="130"/>
    </row>
    <row r="994" ht="12.0" customHeight="1">
      <c r="B994" s="260"/>
      <c r="C994" s="130"/>
    </row>
    <row r="995" ht="12.0" customHeight="1">
      <c r="B995" s="260"/>
      <c r="C995" s="130"/>
    </row>
    <row r="996" ht="12.0" customHeight="1">
      <c r="B996" s="260"/>
      <c r="C996" s="130"/>
    </row>
    <row r="997" ht="12.0" customHeight="1">
      <c r="B997" s="260"/>
      <c r="C997" s="130"/>
    </row>
    <row r="998" ht="12.0" customHeight="1">
      <c r="B998" s="260"/>
      <c r="C998" s="130"/>
    </row>
    <row r="999" ht="12.0" customHeight="1">
      <c r="B999" s="260"/>
      <c r="C999" s="130"/>
    </row>
    <row r="1000" ht="12.0" customHeight="1">
      <c r="B1000" s="260"/>
      <c r="C1000" s="130"/>
    </row>
    <row r="1001" ht="12.0" customHeight="1">
      <c r="B1001" s="260"/>
      <c r="C1001" s="130"/>
    </row>
  </sheetData>
  <mergeCells count="19">
    <mergeCell ref="B40:C40"/>
    <mergeCell ref="F40:G40"/>
    <mergeCell ref="B49:C49"/>
    <mergeCell ref="B51:H54"/>
    <mergeCell ref="B56:D56"/>
    <mergeCell ref="F56:H56"/>
    <mergeCell ref="G57:H57"/>
    <mergeCell ref="E69:F71"/>
    <mergeCell ref="G69:H71"/>
    <mergeCell ref="B72:D72"/>
    <mergeCell ref="E72:F72"/>
    <mergeCell ref="G72:H72"/>
    <mergeCell ref="G58:H58"/>
    <mergeCell ref="G59:H59"/>
    <mergeCell ref="G60:H60"/>
    <mergeCell ref="G61:H61"/>
    <mergeCell ref="G62:H62"/>
    <mergeCell ref="G63:H63"/>
    <mergeCell ref="B69:D71"/>
  </mergeCells>
  <dataValidations>
    <dataValidation type="list" allowBlank="1" showErrorMessage="1" sqref="C22">
      <formula1>LS3B!$A$6:$A$27</formula1>
    </dataValidation>
  </dataValidations>
  <printOptions/>
  <pageMargins bottom="0.75" footer="0.0" header="0.0" left="0.7" right="0.7" top="0.75"/>
  <pageSetup paperSize="8"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113"/>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401">
        <v>19.0</v>
      </c>
      <c r="D22" s="2"/>
      <c r="E22" s="2"/>
      <c r="F22" s="2"/>
      <c r="G22" s="2"/>
      <c r="H22" s="2"/>
    </row>
    <row r="23" ht="21.0" customHeight="1">
      <c r="A23" s="2"/>
      <c r="B23" s="260"/>
      <c r="D23" s="2"/>
      <c r="E23" s="2"/>
      <c r="F23" s="2"/>
      <c r="G23" s="2"/>
      <c r="H23" s="2"/>
    </row>
    <row r="24" ht="12.0" customHeight="1">
      <c r="A24" s="2"/>
      <c r="B24" s="260"/>
      <c r="D24" s="2"/>
      <c r="E24" s="2"/>
      <c r="F24" s="2"/>
      <c r="G24" s="273"/>
      <c r="H24" s="2"/>
    </row>
    <row r="25" ht="21.75" customHeight="1">
      <c r="A25" s="2"/>
      <c r="B25" s="375" t="s">
        <v>619</v>
      </c>
      <c r="C25" s="353" t="str">
        <f>VLOOKUP($C$22,'IGCSE 1A'!$A$2:$B$30,2,0)</f>
        <v>Blumears Malik</v>
      </c>
      <c r="D25" s="354" t="s">
        <v>620</v>
      </c>
      <c r="E25" s="402" t="s">
        <v>43</v>
      </c>
      <c r="F25" s="403"/>
      <c r="G25" s="404"/>
      <c r="H25" s="283"/>
    </row>
    <row r="26" ht="12.0" customHeight="1">
      <c r="A26" s="2"/>
      <c r="B26" s="271"/>
      <c r="C26" s="273"/>
      <c r="D26" s="273"/>
      <c r="E26" s="273"/>
      <c r="F26" s="273"/>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1A'!$A$2:$V$30,3,0)</f>
        <v>59</v>
      </c>
      <c r="D28" s="390" t="str">
        <f>VLOOKUP($C$22,'IGCSE 1A'!$A$2:$V$30,4,0)</f>
        <v>D</v>
      </c>
      <c r="E28" s="390" t="str">
        <f t="shared" ref="E28:E33" si="1">IF(C28&gt;80,"Very good",IF(C28&gt;49,"Good","Workhard"))</f>
        <v>Good</v>
      </c>
      <c r="F28" s="390" t="str">
        <f t="shared" ref="F28:F33" si="2">IF(C28&gt;49,"Pass","Fail")</f>
        <v>Pass</v>
      </c>
      <c r="G28" s="390">
        <f>RANK(C28,'IGCSE 1A'!$C$2:$C$30)</f>
        <v>12</v>
      </c>
      <c r="H28" s="283"/>
    </row>
    <row r="29" ht="28.5" customHeight="1">
      <c r="A29" s="280"/>
      <c r="B29" s="390" t="s">
        <v>24</v>
      </c>
      <c r="C29" s="390">
        <f>VLOOKUP($C$22,'IGCSE 1A'!$A$2:$V$30,5,0)</f>
        <v>42</v>
      </c>
      <c r="D29" s="390" t="str">
        <f>VLOOKUP($C$22,'IGCSE 1A'!$A$2:$V$30,6,0)</f>
        <v>E</v>
      </c>
      <c r="E29" s="390" t="str">
        <f t="shared" si="1"/>
        <v>Workhard</v>
      </c>
      <c r="F29" s="390" t="str">
        <f t="shared" si="2"/>
        <v>Fail</v>
      </c>
      <c r="G29" s="390">
        <f>RANK(C29,'IGCSE 1A'!$E$2:$E$30)</f>
        <v>16</v>
      </c>
      <c r="H29" s="283"/>
    </row>
    <row r="30" ht="33.0" customHeight="1">
      <c r="A30" s="280"/>
      <c r="B30" s="390" t="s">
        <v>44</v>
      </c>
      <c r="C30" s="390">
        <f>VLOOKUP($C$22,'IGCSE 1A'!$A$2:$V$30,7,0)</f>
        <v>69</v>
      </c>
      <c r="D30" s="390" t="str">
        <f>VLOOKUP($C$22,'IGCSE 1A'!$A$2:$V$30,8,0)</f>
        <v>C</v>
      </c>
      <c r="E30" s="390" t="str">
        <f t="shared" si="1"/>
        <v>Good</v>
      </c>
      <c r="F30" s="390" t="str">
        <f t="shared" si="2"/>
        <v>Pass</v>
      </c>
      <c r="G30" s="390">
        <f>RANK(C30,'IGCSE 1A'!$G$2:$G$30)</f>
        <v>11</v>
      </c>
      <c r="H30" s="283"/>
    </row>
    <row r="31" ht="28.5" customHeight="1">
      <c r="A31" s="280"/>
      <c r="B31" s="390" t="s">
        <v>45</v>
      </c>
      <c r="C31" s="390">
        <f>VLOOKUP($C$22,'IGCSE 1A'!$A$2:$V$30,9,0)</f>
        <v>45</v>
      </c>
      <c r="D31" s="390" t="str">
        <f>VLOOKUP($C$22,'IGCSE 1A'!$A$2:$V$30,10,0)</f>
        <v>E</v>
      </c>
      <c r="E31" s="390" t="str">
        <f t="shared" si="1"/>
        <v>Workhard</v>
      </c>
      <c r="F31" s="390" t="str">
        <f t="shared" si="2"/>
        <v>Fail</v>
      </c>
      <c r="G31" s="390">
        <f>RANK(C31,'IGCSE 1A'!$I$2:$I$30)</f>
        <v>15</v>
      </c>
      <c r="H31" s="283"/>
    </row>
    <row r="32" ht="30.75" customHeight="1">
      <c r="A32" s="280"/>
      <c r="B32" s="390" t="s">
        <v>49</v>
      </c>
      <c r="C32" s="390">
        <f>VLOOKUP($C$22,'IGCSE 1A'!$A$2:$V$30,19,0)</f>
        <v>85</v>
      </c>
      <c r="D32" s="390" t="str">
        <f>VLOOKUP($C$22,'IGCSE 1A'!$A$2:$V$30,20,0)</f>
        <v>A</v>
      </c>
      <c r="E32" s="390" t="str">
        <f t="shared" si="1"/>
        <v>Very good</v>
      </c>
      <c r="F32" s="390" t="str">
        <f t="shared" si="2"/>
        <v>Pass</v>
      </c>
      <c r="G32" s="390">
        <f>RANK(C32,'IGCSE 1A'!$S$2:$S$30)</f>
        <v>7</v>
      </c>
      <c r="H32" s="283"/>
    </row>
    <row r="33" ht="35.25" customHeight="1">
      <c r="A33" s="280"/>
      <c r="B33" s="390" t="s">
        <v>32</v>
      </c>
      <c r="C33" s="390">
        <f>VLOOKUP($C$22,'IGCSE 1A'!$A$2:$V$30,21,0)</f>
        <v>62</v>
      </c>
      <c r="D33" s="390" t="str">
        <f>VLOOKUP($C$22,'IGCSE 1A'!$A$2:$V$30,22,0)</f>
        <v>C</v>
      </c>
      <c r="E33" s="390" t="str">
        <f t="shared" si="1"/>
        <v>Good</v>
      </c>
      <c r="F33" s="390" t="str">
        <f t="shared" si="2"/>
        <v>Pass</v>
      </c>
      <c r="G33" s="390">
        <f>RANK(C33,'IGCSE 1A'!$U$2:$U$30)</f>
        <v>4</v>
      </c>
      <c r="H33" s="283"/>
    </row>
    <row r="34" ht="21.75" customHeight="1">
      <c r="A34" s="2"/>
      <c r="B34" s="260"/>
      <c r="D34" s="284"/>
      <c r="E34" s="284"/>
      <c r="F34" s="284"/>
      <c r="G34" s="284"/>
      <c r="H34" s="2"/>
    </row>
    <row r="35" ht="22.5" customHeight="1">
      <c r="A35" s="280"/>
      <c r="B35" s="388" t="s">
        <v>655</v>
      </c>
      <c r="C35" s="46"/>
      <c r="D35" s="283"/>
      <c r="E35" s="2"/>
      <c r="F35" s="289" t="s">
        <v>627</v>
      </c>
      <c r="G35" s="46"/>
      <c r="H35" s="2"/>
    </row>
    <row r="36" ht="28.5" customHeight="1">
      <c r="A36" s="280"/>
      <c r="B36" s="360" t="s">
        <v>74</v>
      </c>
      <c r="C36" s="405" t="str">
        <f>VLOOKUP($C$22,'IGCSE 1A'!A1:$AE$30,26,0)</f>
        <v>A</v>
      </c>
      <c r="E36" s="280"/>
      <c r="F36" s="382" t="s">
        <v>628</v>
      </c>
      <c r="G36" s="294">
        <f>AVERAGE(C28:C33)</f>
        <v>60.33333333</v>
      </c>
      <c r="H36" s="283"/>
    </row>
    <row r="37" ht="26.25" customHeight="1">
      <c r="A37" s="280"/>
      <c r="B37" s="360" t="s">
        <v>75</v>
      </c>
      <c r="C37" s="405" t="str">
        <f>VLOOKUP($C$22,'IGCSE 1A'!A2:$AE$30,27,0)</f>
        <v>B</v>
      </c>
      <c r="E37" s="280"/>
      <c r="F37" s="382" t="s">
        <v>629</v>
      </c>
      <c r="G37" s="295">
        <f>COUNTIF(C28:C33,"&gt;=50")</f>
        <v>4</v>
      </c>
      <c r="H37" s="283"/>
    </row>
    <row r="38" ht="24.0" customHeight="1">
      <c r="A38" s="280"/>
      <c r="B38" s="360" t="s">
        <v>76</v>
      </c>
      <c r="C38" s="405" t="str">
        <f>VLOOKUP($C$22,'IGCSE 1A'!$A$1:$AE$30,28,0)</f>
        <v>A</v>
      </c>
      <c r="E38" s="280"/>
      <c r="F38" s="382" t="s">
        <v>630</v>
      </c>
      <c r="G38" s="295">
        <f>COUNTIF(C28:C33,"&lt;=50")</f>
        <v>2</v>
      </c>
      <c r="H38" s="296"/>
    </row>
    <row r="39" ht="28.5" customHeight="1">
      <c r="A39" s="280"/>
      <c r="B39" s="360" t="s">
        <v>77</v>
      </c>
      <c r="C39" s="405" t="str">
        <f>VLOOKUP($C$22,'IGCSE 1A'!A2:$AE$30,29,0)</f>
        <v>A</v>
      </c>
      <c r="E39" s="280"/>
      <c r="F39" s="382" t="s">
        <v>632</v>
      </c>
      <c r="G39" s="299">
        <f>COUNT('IGCSE 1A'!A2:A21)</f>
        <v>20</v>
      </c>
      <c r="H39" s="296"/>
    </row>
    <row r="40" ht="19.5" customHeight="1">
      <c r="A40" s="280"/>
      <c r="B40" s="363" t="s">
        <v>78</v>
      </c>
      <c r="C40" s="405" t="str">
        <f>VLOOKUP($C$22,'IGCSE 1A'!$A$1:$AE$30,30,0)</f>
        <v>A</v>
      </c>
      <c r="E40" s="280"/>
      <c r="H40" s="296"/>
    </row>
    <row r="41" ht="8.25" customHeight="1">
      <c r="A41" s="2"/>
      <c r="B41" s="300"/>
      <c r="C41" s="284"/>
      <c r="D41" s="2"/>
      <c r="E41" s="2"/>
      <c r="F41" s="301" t="s">
        <v>633</v>
      </c>
      <c r="G41" s="284"/>
      <c r="H41" s="261"/>
    </row>
    <row r="42" ht="12.0" customHeight="1">
      <c r="A42" s="2"/>
      <c r="B42" s="261"/>
      <c r="C42" s="2"/>
      <c r="D42" s="2"/>
      <c r="E42" s="2"/>
      <c r="F42" s="2"/>
      <c r="G42" s="2"/>
      <c r="H42" s="261"/>
    </row>
    <row r="43" ht="12.0" customHeight="1">
      <c r="A43" s="2"/>
      <c r="B43" s="261"/>
      <c r="C43" s="2"/>
      <c r="D43" s="2"/>
      <c r="E43" s="2"/>
      <c r="F43" s="2"/>
      <c r="G43" s="2"/>
      <c r="H43" s="261"/>
    </row>
    <row r="44" ht="26.25" customHeight="1">
      <c r="A44" s="2"/>
      <c r="B44" s="406" t="s">
        <v>634</v>
      </c>
      <c r="C44" s="10"/>
      <c r="D44" s="2"/>
      <c r="E44" s="2"/>
      <c r="F44" s="2"/>
      <c r="G44" s="2"/>
      <c r="H44" s="261"/>
    </row>
    <row r="45" ht="14.25" customHeight="1">
      <c r="A45" s="2"/>
      <c r="B45" s="271"/>
      <c r="C45" s="273"/>
      <c r="D45" s="273"/>
      <c r="E45" s="273"/>
      <c r="F45" s="273"/>
      <c r="G45" s="273"/>
      <c r="H45" s="261"/>
    </row>
    <row r="46" ht="33.75" customHeight="1">
      <c r="A46" s="280"/>
      <c r="B46" s="407" t="str">
        <f>VLOOKUP($C$22,'IGCSE 1A'!$A$1:$AE$30,31,0)</f>
        <v>Malik is a respectful and inquisitive learner. He is creative and always determined to complete his school work. He has shown good understanding in most subjects, as reflected in his results. He should keep working hard and put more concerted effort in Physics. However, he should avoid chatting with his peers when lessons are in progress to ensure he maintains focus and maximizes his learning. With continued effort, he can further improve his overall performance.</v>
      </c>
      <c r="C46" s="304"/>
      <c r="D46" s="304"/>
      <c r="E46" s="304"/>
      <c r="F46" s="304"/>
      <c r="G46" s="305"/>
      <c r="H46" s="296"/>
    </row>
    <row r="47" ht="28.5" customHeight="1">
      <c r="A47" s="280"/>
      <c r="B47" s="306"/>
      <c r="G47" s="307"/>
      <c r="H47" s="296"/>
    </row>
    <row r="48" ht="23.25" customHeight="1">
      <c r="A48" s="280"/>
      <c r="B48" s="306"/>
      <c r="G48" s="307"/>
      <c r="H48" s="296"/>
    </row>
    <row r="49" ht="76.5" customHeight="1">
      <c r="A49" s="280"/>
      <c r="B49" s="308"/>
      <c r="C49" s="309"/>
      <c r="D49" s="309"/>
      <c r="E49" s="309"/>
      <c r="F49" s="309"/>
      <c r="G49" s="310"/>
      <c r="H49" s="283"/>
    </row>
    <row r="50" ht="12.0" customHeight="1">
      <c r="A50" s="2"/>
      <c r="B50" s="314"/>
      <c r="C50" s="286"/>
      <c r="D50" s="286"/>
      <c r="E50" s="284"/>
      <c r="F50" s="286"/>
      <c r="G50" s="286"/>
      <c r="H50" s="273"/>
    </row>
    <row r="51" ht="24.75" customHeight="1">
      <c r="A51" s="280"/>
      <c r="B51" s="317" t="s">
        <v>635</v>
      </c>
      <c r="C51" s="45"/>
      <c r="D51" s="46"/>
      <c r="E51" s="368"/>
      <c r="F51" s="319" t="s">
        <v>636</v>
      </c>
      <c r="G51" s="45"/>
      <c r="H51" s="46"/>
    </row>
    <row r="52" ht="22.5" customHeight="1">
      <c r="A52" s="280"/>
      <c r="B52" s="320" t="s">
        <v>637</v>
      </c>
      <c r="C52" s="320" t="s">
        <v>638</v>
      </c>
      <c r="D52" s="320" t="s">
        <v>639</v>
      </c>
      <c r="E52" s="368"/>
      <c r="F52" s="323" t="s">
        <v>637</v>
      </c>
      <c r="G52" s="324" t="s">
        <v>638</v>
      </c>
      <c r="H52" s="325"/>
    </row>
    <row r="53" ht="24.0" customHeight="1">
      <c r="A53" s="280"/>
      <c r="B53" s="371" t="s">
        <v>151</v>
      </c>
      <c r="C53" s="371" t="s">
        <v>86</v>
      </c>
      <c r="D53" s="371" t="s">
        <v>640</v>
      </c>
      <c r="E53" s="368"/>
      <c r="F53" s="327" t="s">
        <v>641</v>
      </c>
      <c r="G53" s="328" t="s">
        <v>86</v>
      </c>
      <c r="H53" s="325"/>
    </row>
    <row r="54" ht="21.0" customHeight="1">
      <c r="A54" s="280"/>
      <c r="B54" s="371" t="s">
        <v>150</v>
      </c>
      <c r="C54" s="371" t="s">
        <v>85</v>
      </c>
      <c r="D54" s="371" t="s">
        <v>640</v>
      </c>
      <c r="E54" s="368"/>
      <c r="F54" s="327" t="s">
        <v>149</v>
      </c>
      <c r="G54" s="328" t="s">
        <v>85</v>
      </c>
      <c r="H54" s="325"/>
    </row>
    <row r="55" ht="23.25" customHeight="1">
      <c r="A55" s="280"/>
      <c r="B55" s="371" t="s">
        <v>149</v>
      </c>
      <c r="C55" s="371" t="s">
        <v>87</v>
      </c>
      <c r="D55" s="371" t="s">
        <v>642</v>
      </c>
      <c r="E55" s="368"/>
      <c r="F55" s="327" t="s">
        <v>148</v>
      </c>
      <c r="G55" s="328" t="s">
        <v>87</v>
      </c>
      <c r="H55" s="325"/>
    </row>
    <row r="56" ht="22.5" customHeight="1">
      <c r="A56" s="280"/>
      <c r="B56" s="371" t="s">
        <v>148</v>
      </c>
      <c r="C56" s="371" t="s">
        <v>90</v>
      </c>
      <c r="D56" s="371" t="s">
        <v>643</v>
      </c>
      <c r="E56" s="368"/>
      <c r="F56" s="327" t="s">
        <v>147</v>
      </c>
      <c r="G56" s="328" t="s">
        <v>90</v>
      </c>
      <c r="H56" s="325"/>
    </row>
    <row r="57" ht="23.25" customHeight="1">
      <c r="A57" s="280"/>
      <c r="B57" s="371" t="s">
        <v>147</v>
      </c>
      <c r="C57" s="371" t="s">
        <v>93</v>
      </c>
      <c r="D57" s="371" t="s">
        <v>644</v>
      </c>
      <c r="E57" s="368"/>
      <c r="F57" s="386" t="s">
        <v>645</v>
      </c>
      <c r="G57" s="372" t="s">
        <v>93</v>
      </c>
      <c r="H57" s="343"/>
    </row>
    <row r="58" ht="21.75" customHeight="1">
      <c r="A58" s="280"/>
      <c r="B58" s="371" t="s">
        <v>145</v>
      </c>
      <c r="C58" s="371" t="s">
        <v>146</v>
      </c>
      <c r="D58" s="371" t="s">
        <v>644</v>
      </c>
      <c r="E58" s="368"/>
      <c r="F58" s="372"/>
      <c r="G58" s="372"/>
    </row>
    <row r="59" ht="21.0" customHeight="1">
      <c r="A59" s="280"/>
      <c r="B59" s="371" t="s">
        <v>143</v>
      </c>
      <c r="C59" s="371" t="s">
        <v>144</v>
      </c>
      <c r="D59" s="371" t="s">
        <v>646</v>
      </c>
      <c r="E59" s="283"/>
      <c r="F59" s="286"/>
      <c r="G59" s="286"/>
      <c r="H59" s="284"/>
    </row>
    <row r="60" ht="21.75" customHeight="1">
      <c r="A60" s="280"/>
      <c r="B60" s="371" t="s">
        <v>141</v>
      </c>
      <c r="C60" s="371" t="s">
        <v>142</v>
      </c>
      <c r="D60" s="371" t="s">
        <v>646</v>
      </c>
      <c r="E60" s="368"/>
      <c r="F60" s="334" t="s">
        <v>647</v>
      </c>
      <c r="G60" s="334"/>
      <c r="H60" s="283"/>
    </row>
    <row r="61" ht="23.25" customHeight="1">
      <c r="A61" s="280"/>
      <c r="B61" s="371" t="s">
        <v>139</v>
      </c>
      <c r="C61" s="371" t="s">
        <v>140</v>
      </c>
      <c r="D61" s="371" t="s">
        <v>646</v>
      </c>
      <c r="E61" s="368"/>
      <c r="F61" s="334" t="s">
        <v>648</v>
      </c>
      <c r="G61" s="334"/>
      <c r="H61" s="283"/>
    </row>
    <row r="62" ht="12.0" customHeight="1">
      <c r="A62" s="280"/>
      <c r="B62" s="311"/>
      <c r="C62" s="313"/>
      <c r="D62" s="313"/>
      <c r="E62" s="283"/>
      <c r="F62" s="284"/>
      <c r="G62" s="284"/>
      <c r="H62" s="2"/>
    </row>
    <row r="63" ht="12.0" customHeight="1">
      <c r="B63" s="260"/>
    </row>
    <row r="64" ht="12.0" customHeight="1">
      <c r="B64" s="335" t="s">
        <v>665</v>
      </c>
      <c r="C64" s="336"/>
      <c r="D64" s="337"/>
      <c r="E64" s="374"/>
      <c r="F64" s="339"/>
      <c r="G64" s="340"/>
      <c r="H64" s="341"/>
    </row>
    <row r="65" ht="12.0" customHeight="1">
      <c r="B65" s="342"/>
      <c r="D65" s="343"/>
      <c r="F65" s="344"/>
      <c r="H65" s="343"/>
    </row>
    <row r="66" ht="12.0" customHeight="1">
      <c r="B66" s="345"/>
      <c r="C66" s="346"/>
      <c r="D66" s="325"/>
      <c r="E66" s="346"/>
      <c r="F66" s="347"/>
      <c r="G66" s="346"/>
      <c r="H66" s="325"/>
    </row>
    <row r="67" ht="12.0" customHeight="1">
      <c r="B67" s="348" t="s">
        <v>650</v>
      </c>
      <c r="C67" s="346"/>
      <c r="D67" s="325"/>
      <c r="E67" s="349" t="s">
        <v>651</v>
      </c>
      <c r="F67" s="325"/>
      <c r="G67" s="350" t="s">
        <v>652</v>
      </c>
      <c r="H67" s="325"/>
    </row>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c r="B94" s="260"/>
    </row>
    <row r="95" ht="12.0" customHeight="1">
      <c r="B95" s="260"/>
    </row>
    <row r="96" ht="12.0" customHeight="1">
      <c r="B96" s="260"/>
    </row>
    <row r="97" ht="12.0" customHeight="1">
      <c r="B97" s="260"/>
    </row>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sheetData>
  <mergeCells count="19">
    <mergeCell ref="B35:C35"/>
    <mergeCell ref="F35:G35"/>
    <mergeCell ref="B44:C44"/>
    <mergeCell ref="B46:G49"/>
    <mergeCell ref="B51:D51"/>
    <mergeCell ref="F51:H51"/>
    <mergeCell ref="G52:H52"/>
    <mergeCell ref="E64:F66"/>
    <mergeCell ref="G64:H66"/>
    <mergeCell ref="B67:D67"/>
    <mergeCell ref="E67:F67"/>
    <mergeCell ref="G67:H67"/>
    <mergeCell ref="G53:H53"/>
    <mergeCell ref="G54:H54"/>
    <mergeCell ref="G55:H55"/>
    <mergeCell ref="G56:H56"/>
    <mergeCell ref="G57:H57"/>
    <mergeCell ref="G58:H58"/>
    <mergeCell ref="B64:D66"/>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113"/>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401">
        <v>8.0</v>
      </c>
      <c r="D22" s="2"/>
      <c r="E22" s="2"/>
      <c r="F22" s="2"/>
      <c r="G22" s="2"/>
      <c r="H22" s="2"/>
    </row>
    <row r="23" ht="21.0" customHeight="1">
      <c r="A23" s="2"/>
      <c r="B23" s="260"/>
      <c r="D23" s="2"/>
      <c r="E23" s="2"/>
      <c r="F23" s="2"/>
      <c r="G23" s="2"/>
      <c r="H23" s="2"/>
    </row>
    <row r="24" ht="12.0" customHeight="1">
      <c r="A24" s="2"/>
      <c r="B24" s="260"/>
      <c r="D24" s="2"/>
      <c r="E24" s="2"/>
      <c r="F24" s="2"/>
      <c r="G24" s="273"/>
      <c r="H24" s="2"/>
    </row>
    <row r="25" ht="21.75" customHeight="1">
      <c r="A25" s="2"/>
      <c r="B25" s="375" t="s">
        <v>619</v>
      </c>
      <c r="C25" s="353" t="str">
        <f>VLOOKUP($C$22,'IGCSE 1B'!$A$2:$B$30,2,0)</f>
        <v>Gabriel Chikopela</v>
      </c>
      <c r="D25" s="354" t="s">
        <v>620</v>
      </c>
      <c r="E25" s="402" t="s">
        <v>50</v>
      </c>
      <c r="F25" s="403"/>
      <c r="G25" s="404"/>
      <c r="H25" s="283"/>
    </row>
    <row r="26" ht="12.0" customHeight="1">
      <c r="A26" s="2"/>
      <c r="B26" s="271"/>
      <c r="C26" s="273"/>
      <c r="D26" s="273"/>
      <c r="E26" s="273"/>
      <c r="F26" s="273"/>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1B'!$A$2:$V$30,3,0)</f>
        <v>40</v>
      </c>
      <c r="D28" s="390" t="str">
        <f>VLOOKUP($C$22,'IGCSE 1B'!$A$2:$V$30,4,0)</f>
        <v>E</v>
      </c>
      <c r="E28" s="390" t="str">
        <f t="shared" ref="E28:E36" si="1">IF(C28&gt;80,"Very good",IF(C28&gt;49,"Good","Workhard"))</f>
        <v>Workhard</v>
      </c>
      <c r="F28" s="390" t="str">
        <f t="shared" ref="F28:F36" si="2">IF(C28&gt;49,"Pass","Fail")</f>
        <v>Fail</v>
      </c>
      <c r="G28" s="390">
        <f>RANK(C28,'IGCSE 1B'!$C$2:$C$30)</f>
        <v>3</v>
      </c>
      <c r="H28" s="283"/>
    </row>
    <row r="29" ht="28.5" customHeight="1">
      <c r="A29" s="280"/>
      <c r="B29" s="390" t="s">
        <v>24</v>
      </c>
      <c r="C29" s="390">
        <f>VLOOKUP($C$22,'IGCSE 1B'!$A$2:$V$30,5,0)</f>
        <v>48</v>
      </c>
      <c r="D29" s="390" t="str">
        <f>VLOOKUP($C$22,'IGCSE 1B'!$A$2:$V$30,6,0)</f>
        <v>E</v>
      </c>
      <c r="E29" s="390" t="str">
        <f t="shared" si="1"/>
        <v>Workhard</v>
      </c>
      <c r="F29" s="390" t="str">
        <f t="shared" si="2"/>
        <v>Fail</v>
      </c>
      <c r="G29" s="390">
        <f>RANK(C29,'IGCSE 1B'!$E$2:$E$30)</f>
        <v>3</v>
      </c>
      <c r="H29" s="283"/>
    </row>
    <row r="30" ht="33.0" customHeight="1">
      <c r="A30" s="280"/>
      <c r="B30" s="390" t="s">
        <v>44</v>
      </c>
      <c r="C30" s="390">
        <f>VLOOKUP($C$22,'IGCSE 1B'!$A$2:$V$30,7,0)</f>
        <v>51</v>
      </c>
      <c r="D30" s="390" t="str">
        <f>VLOOKUP($C$22,'IGCSE 1B'!$A$2:$V$30,8,0)</f>
        <v>D</v>
      </c>
      <c r="E30" s="390" t="str">
        <f t="shared" si="1"/>
        <v>Good</v>
      </c>
      <c r="F30" s="390" t="str">
        <f t="shared" si="2"/>
        <v>Pass</v>
      </c>
      <c r="G30" s="390">
        <f>RANK(C30,'IGCSE 1B'!$G$2:$G$30)</f>
        <v>2</v>
      </c>
      <c r="H30" s="283"/>
    </row>
    <row r="31" ht="28.5" customHeight="1">
      <c r="A31" s="280"/>
      <c r="B31" s="390" t="s">
        <v>28</v>
      </c>
      <c r="C31" s="390">
        <f>VLOOKUP($C$22,'IGCSE 1B'!$A$2:$V$22,13,0)</f>
        <v>29</v>
      </c>
      <c r="D31" s="390" t="str">
        <f>VLOOKUP($C$22,'IGCSE 1B'!$A$2:$V$22,14,0)</f>
        <v>G</v>
      </c>
      <c r="E31" s="390" t="str">
        <f t="shared" si="1"/>
        <v>Workhard</v>
      </c>
      <c r="F31" s="390" t="str">
        <f t="shared" si="2"/>
        <v>Fail</v>
      </c>
      <c r="G31" s="390">
        <f>RANK(C31,'IGCSE 1B'!$M$2:$M$22)</f>
        <v>6</v>
      </c>
      <c r="H31" s="283"/>
    </row>
    <row r="32" ht="30.75" hidden="1" customHeight="1">
      <c r="A32" s="280"/>
      <c r="B32" s="390" t="s">
        <v>49</v>
      </c>
      <c r="C32" s="390">
        <f>VLOOKUP($C$22,'IGCSE 1B'!$A$2:$V$30,19,0)</f>
        <v>55</v>
      </c>
      <c r="D32" s="390" t="str">
        <f>VLOOKUP($C$22,'IGCSE 1B'!$A$2:$V$30,20,0)</f>
        <v>D</v>
      </c>
      <c r="E32" s="390" t="str">
        <f t="shared" si="1"/>
        <v>Good</v>
      </c>
      <c r="F32" s="390" t="str">
        <f t="shared" si="2"/>
        <v>Pass</v>
      </c>
      <c r="G32" s="390">
        <f>RANK(C32,'IGCSE 1B'!$S$2:$S$30)</f>
        <v>3</v>
      </c>
      <c r="H32" s="283"/>
    </row>
    <row r="33" ht="35.25" hidden="1" customHeight="1">
      <c r="A33" s="280"/>
      <c r="B33" s="408" t="s">
        <v>47</v>
      </c>
      <c r="C33" s="390" t="str">
        <f>VLOOKUP($C$22,'IGCSE 1B'!$A$2:$V$22,15,0)</f>
        <v/>
      </c>
      <c r="D33" s="390" t="str">
        <f>VLOOKUP($C$22,'IGCSE 1B'!$A$2:$V$22,16,0)</f>
        <v/>
      </c>
      <c r="E33" s="390" t="str">
        <f t="shared" si="1"/>
        <v>Workhard</v>
      </c>
      <c r="F33" s="390" t="str">
        <f t="shared" si="2"/>
        <v>Fail</v>
      </c>
      <c r="G33" s="390" t="str">
        <f>RANK(C33,'IGCSE 1B'!$O$2:$O$22)</f>
        <v>#DIV/0!</v>
      </c>
      <c r="H33" s="283"/>
    </row>
    <row r="34" ht="35.25" hidden="1" customHeight="1">
      <c r="A34" s="280"/>
      <c r="B34" s="408" t="s">
        <v>46</v>
      </c>
      <c r="C34" s="390" t="str">
        <f>VLOOKUP($C$22,'IGCSE 1B'!$A$2:$V$22,11,0)</f>
        <v/>
      </c>
      <c r="D34" s="390" t="str">
        <f>VLOOKUP($C$22,'IGCSE 1B'!$A$2:$V$22,12,0)</f>
        <v/>
      </c>
      <c r="E34" s="390" t="str">
        <f t="shared" si="1"/>
        <v>Workhard</v>
      </c>
      <c r="F34" s="390" t="str">
        <f t="shared" si="2"/>
        <v>Fail</v>
      </c>
      <c r="G34" s="390" t="str">
        <f>RANK(C34,'IGCSE 1B'!$K$2:$K$22)</f>
        <v>#N/A</v>
      </c>
      <c r="H34" s="283"/>
    </row>
    <row r="35" ht="35.25" customHeight="1">
      <c r="A35" s="280"/>
      <c r="B35" s="390" t="s">
        <v>48</v>
      </c>
      <c r="C35" s="390">
        <f>VLOOKUP($C$22,'IGCSE 1B'!$A$2:$V$22,17,0)</f>
        <v>54</v>
      </c>
      <c r="D35" s="390" t="str">
        <f>VLOOKUP($C$22,'IGCSE 1B'!$A$2:$V$22,18,0)</f>
        <v>D</v>
      </c>
      <c r="E35" s="390" t="str">
        <f t="shared" si="1"/>
        <v>Good</v>
      </c>
      <c r="F35" s="390" t="str">
        <f t="shared" si="2"/>
        <v>Pass</v>
      </c>
      <c r="G35" s="390">
        <f>RANK(C35,'IGCSE 1B'!$Q$2:$Q$22)</f>
        <v>2</v>
      </c>
      <c r="H35" s="283"/>
    </row>
    <row r="36" ht="35.25" hidden="1" customHeight="1">
      <c r="A36" s="280"/>
      <c r="B36" s="390" t="s">
        <v>32</v>
      </c>
      <c r="C36" s="390" t="str">
        <f>VLOOKUP($C$22,'IGCSE 1B'!$A$2:$V$30,21,0)</f>
        <v/>
      </c>
      <c r="D36" s="390" t="str">
        <f>VLOOKUP($C$22,'IGCSE 1B'!$A$2:$V$30,22,0)</f>
        <v/>
      </c>
      <c r="E36" s="390" t="str">
        <f t="shared" si="1"/>
        <v>Workhard</v>
      </c>
      <c r="F36" s="390" t="str">
        <f t="shared" si="2"/>
        <v>Fail</v>
      </c>
      <c r="G36" s="390">
        <f>RANK(C36,'IGCSE 1B'!$U$2:$U$30)</f>
        <v>7</v>
      </c>
      <c r="H36" s="283"/>
    </row>
    <row r="37" ht="21.75" customHeight="1">
      <c r="A37" s="2"/>
      <c r="B37" s="260"/>
      <c r="D37" s="284"/>
      <c r="E37" s="284"/>
      <c r="F37" s="284"/>
      <c r="G37" s="284"/>
      <c r="H37" s="2"/>
    </row>
    <row r="38" ht="22.5" customHeight="1">
      <c r="A38" s="280"/>
      <c r="B38" s="388" t="s">
        <v>655</v>
      </c>
      <c r="C38" s="46"/>
      <c r="D38" s="283"/>
      <c r="E38" s="2"/>
      <c r="F38" s="289" t="s">
        <v>627</v>
      </c>
      <c r="G38" s="46"/>
      <c r="H38" s="2"/>
    </row>
    <row r="39" ht="28.5" customHeight="1">
      <c r="A39" s="280"/>
      <c r="B39" s="360" t="s">
        <v>74</v>
      </c>
      <c r="C39" s="405" t="str">
        <f>VLOOKUP($C$22,'IGCSE 1B'!A1:$AE$30,26,0)</f>
        <v>A</v>
      </c>
      <c r="E39" s="280"/>
      <c r="F39" s="382" t="s">
        <v>628</v>
      </c>
      <c r="G39" s="294">
        <f>AVERAGE(C28:C36)</f>
        <v>46.16666667</v>
      </c>
      <c r="H39" s="283"/>
    </row>
    <row r="40" ht="26.25" customHeight="1">
      <c r="A40" s="280"/>
      <c r="B40" s="360" t="s">
        <v>75</v>
      </c>
      <c r="C40" s="405" t="str">
        <f>VLOOKUP($C$22,'IGCSE 1B'!A2:$AE$30,27,0)</f>
        <v>B</v>
      </c>
      <c r="E40" s="280"/>
      <c r="F40" s="382" t="s">
        <v>629</v>
      </c>
      <c r="G40" s="295">
        <f>COUNTIF(C28:C36,"&gt;=50")</f>
        <v>3</v>
      </c>
      <c r="H40" s="283"/>
    </row>
    <row r="41" ht="24.0" customHeight="1">
      <c r="A41" s="280"/>
      <c r="B41" s="360" t="s">
        <v>76</v>
      </c>
      <c r="C41" s="405" t="str">
        <f>VLOOKUP($C$22,'IGCSE 1B'!$A$1:$AE$30,28,0)</f>
        <v>C</v>
      </c>
      <c r="E41" s="280"/>
      <c r="F41" s="382" t="s">
        <v>630</v>
      </c>
      <c r="G41" s="295">
        <f>COUNTIF(C28:C36,"&lt;=50")</f>
        <v>3</v>
      </c>
      <c r="H41" s="296"/>
    </row>
    <row r="42" ht="28.5" customHeight="1">
      <c r="A42" s="280"/>
      <c r="B42" s="360" t="s">
        <v>77</v>
      </c>
      <c r="C42" s="405" t="str">
        <f>VLOOKUP($C$22,'IGCSE 1B'!A2:$AE$30,29,0)</f>
        <v>B</v>
      </c>
      <c r="E42" s="280"/>
      <c r="F42" s="382" t="s">
        <v>632</v>
      </c>
      <c r="G42" s="299">
        <f>COUNT('IGCSE 1B'!A2:A21)</f>
        <v>13</v>
      </c>
      <c r="H42" s="296"/>
    </row>
    <row r="43" ht="19.5" customHeight="1">
      <c r="A43" s="280"/>
      <c r="B43" s="363" t="s">
        <v>78</v>
      </c>
      <c r="C43" s="405" t="str">
        <f>VLOOKUP($C$22,'IGCSE 1B'!$A$1:$AE$30,30,0)</f>
        <v>B</v>
      </c>
      <c r="E43" s="280"/>
      <c r="H43" s="296"/>
    </row>
    <row r="44" ht="8.25" customHeight="1">
      <c r="A44" s="2"/>
      <c r="B44" s="300"/>
      <c r="C44" s="284"/>
      <c r="D44" s="2"/>
      <c r="E44" s="2"/>
      <c r="F44" s="301" t="s">
        <v>633</v>
      </c>
      <c r="G44" s="284"/>
      <c r="H44" s="261"/>
    </row>
    <row r="45" ht="12.0" customHeight="1">
      <c r="A45" s="2"/>
      <c r="B45" s="261"/>
      <c r="C45" s="2"/>
      <c r="D45" s="2"/>
      <c r="E45" s="2"/>
      <c r="F45" s="2"/>
      <c r="G45" s="2"/>
      <c r="H45" s="261"/>
    </row>
    <row r="46" ht="12.0" customHeight="1">
      <c r="A46" s="2"/>
      <c r="B46" s="261"/>
      <c r="C46" s="2"/>
      <c r="D46" s="2"/>
      <c r="E46" s="2"/>
      <c r="F46" s="2"/>
      <c r="G46" s="2"/>
      <c r="H46" s="261"/>
    </row>
    <row r="47" ht="26.25" customHeight="1">
      <c r="A47" s="2"/>
      <c r="B47" s="406" t="s">
        <v>634</v>
      </c>
      <c r="C47" s="10"/>
      <c r="D47" s="2"/>
      <c r="E47" s="2"/>
      <c r="F47" s="2"/>
      <c r="G47" s="2"/>
      <c r="H47" s="261"/>
    </row>
    <row r="48" ht="14.25" customHeight="1">
      <c r="A48" s="2"/>
      <c r="B48" s="271"/>
      <c r="C48" s="273"/>
      <c r="D48" s="273"/>
      <c r="E48" s="273"/>
      <c r="F48" s="273"/>
      <c r="G48" s="273"/>
      <c r="H48" s="261"/>
    </row>
    <row r="49" ht="33.75" customHeight="1">
      <c r="A49" s="280"/>
      <c r="B49" s="407" t="str">
        <f>VLOOKUP($C$22,'IGCSE 1B'!$A$1:$AE$30,31,0)</f>
        <v>Gabriel is good student who is well behaved. He has settled in well. He has the potential to do better with continued effort.</v>
      </c>
      <c r="C49" s="304"/>
      <c r="D49" s="304"/>
      <c r="E49" s="304"/>
      <c r="F49" s="304"/>
      <c r="G49" s="305"/>
      <c r="H49" s="296"/>
    </row>
    <row r="50" ht="28.5" customHeight="1">
      <c r="A50" s="280"/>
      <c r="B50" s="306"/>
      <c r="G50" s="307"/>
      <c r="H50" s="296"/>
    </row>
    <row r="51" ht="23.25" customHeight="1">
      <c r="A51" s="280"/>
      <c r="B51" s="306"/>
      <c r="G51" s="307"/>
      <c r="H51" s="296"/>
    </row>
    <row r="52" ht="76.5" customHeight="1">
      <c r="A52" s="280"/>
      <c r="B52" s="308"/>
      <c r="C52" s="309"/>
      <c r="D52" s="309"/>
      <c r="E52" s="309"/>
      <c r="F52" s="309"/>
      <c r="G52" s="310"/>
      <c r="H52" s="283"/>
    </row>
    <row r="53" ht="12.0" customHeight="1">
      <c r="A53" s="2"/>
      <c r="B53" s="314"/>
      <c r="C53" s="286"/>
      <c r="D53" s="286"/>
      <c r="E53" s="284"/>
      <c r="F53" s="286"/>
      <c r="G53" s="286"/>
      <c r="H53" s="273"/>
    </row>
    <row r="54" ht="24.75" customHeight="1">
      <c r="A54" s="280"/>
      <c r="B54" s="317" t="s">
        <v>635</v>
      </c>
      <c r="C54" s="45"/>
      <c r="D54" s="46"/>
      <c r="E54" s="368"/>
      <c r="F54" s="319" t="s">
        <v>636</v>
      </c>
      <c r="G54" s="45"/>
      <c r="H54" s="46"/>
    </row>
    <row r="55" ht="22.5" customHeight="1">
      <c r="A55" s="280"/>
      <c r="B55" s="320" t="s">
        <v>637</v>
      </c>
      <c r="C55" s="320" t="s">
        <v>638</v>
      </c>
      <c r="D55" s="320" t="s">
        <v>639</v>
      </c>
      <c r="E55" s="368"/>
      <c r="F55" s="323" t="s">
        <v>637</v>
      </c>
      <c r="G55" s="324" t="s">
        <v>638</v>
      </c>
      <c r="H55" s="325"/>
    </row>
    <row r="56" ht="24.0" customHeight="1">
      <c r="A56" s="280"/>
      <c r="B56" s="371" t="s">
        <v>151</v>
      </c>
      <c r="C56" s="371" t="s">
        <v>86</v>
      </c>
      <c r="D56" s="371" t="s">
        <v>640</v>
      </c>
      <c r="E56" s="368"/>
      <c r="F56" s="327" t="s">
        <v>641</v>
      </c>
      <c r="G56" s="328" t="s">
        <v>86</v>
      </c>
      <c r="H56" s="325"/>
    </row>
    <row r="57" ht="21.0" customHeight="1">
      <c r="A57" s="280"/>
      <c r="B57" s="371" t="s">
        <v>150</v>
      </c>
      <c r="C57" s="371" t="s">
        <v>85</v>
      </c>
      <c r="D57" s="371" t="s">
        <v>640</v>
      </c>
      <c r="E57" s="368"/>
      <c r="F57" s="327" t="s">
        <v>149</v>
      </c>
      <c r="G57" s="328" t="s">
        <v>85</v>
      </c>
      <c r="H57" s="325"/>
    </row>
    <row r="58" ht="23.25" customHeight="1">
      <c r="A58" s="280"/>
      <c r="B58" s="371" t="s">
        <v>149</v>
      </c>
      <c r="C58" s="371" t="s">
        <v>87</v>
      </c>
      <c r="D58" s="371" t="s">
        <v>642</v>
      </c>
      <c r="E58" s="368"/>
      <c r="F58" s="327" t="s">
        <v>148</v>
      </c>
      <c r="G58" s="328" t="s">
        <v>87</v>
      </c>
      <c r="H58" s="325"/>
    </row>
    <row r="59" ht="22.5" customHeight="1">
      <c r="A59" s="280"/>
      <c r="B59" s="371" t="s">
        <v>148</v>
      </c>
      <c r="C59" s="371" t="s">
        <v>90</v>
      </c>
      <c r="D59" s="371" t="s">
        <v>643</v>
      </c>
      <c r="E59" s="368"/>
      <c r="F59" s="327" t="s">
        <v>147</v>
      </c>
      <c r="G59" s="328" t="s">
        <v>90</v>
      </c>
      <c r="H59" s="325"/>
    </row>
    <row r="60" ht="23.25" customHeight="1">
      <c r="A60" s="280"/>
      <c r="B60" s="371" t="s">
        <v>147</v>
      </c>
      <c r="C60" s="371" t="s">
        <v>93</v>
      </c>
      <c r="D60" s="371" t="s">
        <v>644</v>
      </c>
      <c r="E60" s="368"/>
      <c r="F60" s="386" t="s">
        <v>645</v>
      </c>
      <c r="G60" s="372" t="s">
        <v>93</v>
      </c>
      <c r="H60" s="343"/>
    </row>
    <row r="61" ht="21.75" customHeight="1">
      <c r="A61" s="280"/>
      <c r="B61" s="371" t="s">
        <v>145</v>
      </c>
      <c r="C61" s="371" t="s">
        <v>146</v>
      </c>
      <c r="D61" s="371" t="s">
        <v>644</v>
      </c>
      <c r="E61" s="368"/>
      <c r="F61" s="372"/>
      <c r="G61" s="372"/>
    </row>
    <row r="62" ht="21.0" customHeight="1">
      <c r="A62" s="280"/>
      <c r="B62" s="371" t="s">
        <v>143</v>
      </c>
      <c r="C62" s="371" t="s">
        <v>144</v>
      </c>
      <c r="D62" s="371" t="s">
        <v>646</v>
      </c>
      <c r="E62" s="283"/>
      <c r="F62" s="286"/>
      <c r="G62" s="286"/>
      <c r="H62" s="284"/>
    </row>
    <row r="63" ht="21.75" customHeight="1">
      <c r="A63" s="280"/>
      <c r="B63" s="371" t="s">
        <v>141</v>
      </c>
      <c r="C63" s="371" t="s">
        <v>142</v>
      </c>
      <c r="D63" s="371" t="s">
        <v>646</v>
      </c>
      <c r="E63" s="368"/>
      <c r="F63" s="334" t="s">
        <v>647</v>
      </c>
      <c r="G63" s="334"/>
      <c r="H63" s="283"/>
    </row>
    <row r="64" ht="23.25" customHeight="1">
      <c r="A64" s="280"/>
      <c r="B64" s="371" t="s">
        <v>139</v>
      </c>
      <c r="C64" s="371" t="s">
        <v>140</v>
      </c>
      <c r="D64" s="371" t="s">
        <v>646</v>
      </c>
      <c r="E64" s="368"/>
      <c r="F64" s="334" t="s">
        <v>648</v>
      </c>
      <c r="G64" s="334"/>
      <c r="H64" s="283"/>
    </row>
    <row r="65" ht="12.0" customHeight="1">
      <c r="A65" s="280"/>
      <c r="B65" s="311"/>
      <c r="C65" s="313"/>
      <c r="D65" s="313"/>
      <c r="E65" s="283"/>
      <c r="F65" s="284"/>
      <c r="G65" s="284"/>
      <c r="H65" s="2"/>
    </row>
    <row r="66" ht="12.0" customHeight="1">
      <c r="B66" s="260"/>
    </row>
    <row r="67" ht="12.0" customHeight="1">
      <c r="B67" s="335" t="s">
        <v>665</v>
      </c>
      <c r="C67" s="336"/>
      <c r="D67" s="337"/>
      <c r="E67" s="374"/>
      <c r="F67" s="339"/>
      <c r="G67" s="340"/>
      <c r="H67" s="341"/>
    </row>
    <row r="68" ht="12.0" customHeight="1">
      <c r="B68" s="342"/>
      <c r="D68" s="343"/>
      <c r="F68" s="344"/>
      <c r="H68" s="343"/>
    </row>
    <row r="69" ht="12.0" customHeight="1">
      <c r="B69" s="345"/>
      <c r="C69" s="346"/>
      <c r="D69" s="325"/>
      <c r="E69" s="346"/>
      <c r="F69" s="347"/>
      <c r="G69" s="346"/>
      <c r="H69" s="325"/>
    </row>
    <row r="70" ht="12.0" customHeight="1">
      <c r="B70" s="348" t="s">
        <v>650</v>
      </c>
      <c r="C70" s="346"/>
      <c r="D70" s="325"/>
      <c r="E70" s="349" t="s">
        <v>651</v>
      </c>
      <c r="F70" s="325"/>
      <c r="G70" s="350" t="s">
        <v>652</v>
      </c>
      <c r="H70" s="325"/>
    </row>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c r="B97" s="260"/>
    </row>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row r="997" ht="12.0" customHeight="1">
      <c r="B997" s="260"/>
    </row>
    <row r="998" ht="12.0" customHeight="1">
      <c r="B998" s="260"/>
    </row>
    <row r="999" ht="12.0" customHeight="1">
      <c r="B999" s="260"/>
    </row>
  </sheetData>
  <mergeCells count="19">
    <mergeCell ref="B38:C38"/>
    <mergeCell ref="F38:G38"/>
    <mergeCell ref="B47:C47"/>
    <mergeCell ref="B49:G52"/>
    <mergeCell ref="B54:D54"/>
    <mergeCell ref="F54:H54"/>
    <mergeCell ref="G55:H55"/>
    <mergeCell ref="E67:F69"/>
    <mergeCell ref="G67:H69"/>
    <mergeCell ref="B70:D70"/>
    <mergeCell ref="E70:F70"/>
    <mergeCell ref="G70:H70"/>
    <mergeCell ref="G56:H56"/>
    <mergeCell ref="G57:H57"/>
    <mergeCell ref="G58:H58"/>
    <mergeCell ref="G59:H59"/>
    <mergeCell ref="G60:H60"/>
    <mergeCell ref="G61:H61"/>
    <mergeCell ref="B67:D69"/>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113"/>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401">
        <v>15.0</v>
      </c>
      <c r="D22" s="2"/>
      <c r="E22" s="2"/>
      <c r="F22" s="2"/>
      <c r="G22" s="2"/>
      <c r="H22" s="2"/>
    </row>
    <row r="23" ht="21.0" customHeight="1">
      <c r="A23" s="2"/>
      <c r="B23" s="260"/>
      <c r="D23" s="2"/>
      <c r="E23" s="2"/>
      <c r="F23" s="2"/>
      <c r="G23" s="2"/>
      <c r="H23" s="2"/>
    </row>
    <row r="24" ht="12.0" customHeight="1">
      <c r="A24" s="2"/>
      <c r="B24" s="260"/>
      <c r="D24" s="2"/>
      <c r="E24" s="2"/>
      <c r="F24" s="273"/>
      <c r="G24" s="273"/>
      <c r="H24" s="2"/>
    </row>
    <row r="25" ht="21.75" customHeight="1">
      <c r="A25" s="2"/>
      <c r="B25" s="375" t="s">
        <v>619</v>
      </c>
      <c r="C25" s="353" t="str">
        <f>VLOOKUP($C$22,'IGCSE 1C'!$A$2:$B$22,2,0)</f>
        <v>Lwiito Sikapoto</v>
      </c>
      <c r="D25" s="354" t="s">
        <v>620</v>
      </c>
      <c r="E25" s="409" t="s">
        <v>51</v>
      </c>
      <c r="F25" s="410"/>
      <c r="G25" s="404"/>
      <c r="H25" s="283"/>
    </row>
    <row r="26" ht="12.0" customHeight="1">
      <c r="A26" s="2"/>
      <c r="B26" s="271"/>
      <c r="C26" s="273"/>
      <c r="D26" s="273"/>
      <c r="E26" s="273"/>
      <c r="F26" s="286"/>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1C'!$A$2:$V$22,3,0)</f>
        <v>71</v>
      </c>
      <c r="D28" s="390" t="str">
        <f>VLOOKUP($C$22,'IGCSE 1C'!$A$2:$V$22,4,0)</f>
        <v>B</v>
      </c>
      <c r="E28" s="390" t="str">
        <f t="shared" ref="E28:E36" si="1">IF(C28&gt;80,"Very good",IF(C28&gt;49,"Good","Workhard"))</f>
        <v>Good</v>
      </c>
      <c r="F28" s="390" t="str">
        <f t="shared" ref="F28:F36" si="2">IF(C28&gt;49,"Pass","Fail")</f>
        <v>Pass</v>
      </c>
      <c r="G28" s="390">
        <f>RANK(C28,'IGCSE 1C'!$C$2:$C$22)</f>
        <v>3</v>
      </c>
      <c r="H28" s="283"/>
    </row>
    <row r="29" ht="28.5" customHeight="1">
      <c r="A29" s="280"/>
      <c r="B29" s="390" t="s">
        <v>24</v>
      </c>
      <c r="C29" s="390">
        <f>VLOOKUP($C$22,'IGCSE 1C'!$A$2:$V$22,5,0)</f>
        <v>30</v>
      </c>
      <c r="D29" s="390" t="str">
        <f>VLOOKUP($C$22,'IGCSE 1C'!$A$2:$V$22,6,0)</f>
        <v>F</v>
      </c>
      <c r="E29" s="390" t="str">
        <f t="shared" si="1"/>
        <v>Workhard</v>
      </c>
      <c r="F29" s="390" t="str">
        <f t="shared" si="2"/>
        <v>Fail</v>
      </c>
      <c r="G29" s="390">
        <f>RANK(C29,'IGCSE 1C'!$E$2:$E$22)</f>
        <v>15</v>
      </c>
      <c r="H29" s="283"/>
    </row>
    <row r="30" ht="33.0" customHeight="1">
      <c r="A30" s="280"/>
      <c r="B30" s="390" t="s">
        <v>44</v>
      </c>
      <c r="C30" s="390" t="str">
        <f>VLOOKUP($C$22,'IGCSE 1C'!$A$2:$V$30,7,0)</f>
        <v/>
      </c>
      <c r="D30" s="390" t="str">
        <f>VLOOKUP($C$22,'IGCSE 1C'!$A$2:$V$30,8,0)</f>
        <v>U</v>
      </c>
      <c r="E30" s="390" t="str">
        <f t="shared" si="1"/>
        <v>Workhard</v>
      </c>
      <c r="F30" s="390" t="str">
        <f t="shared" si="2"/>
        <v>Fail</v>
      </c>
      <c r="G30" s="390">
        <f>RANK(C30,'IGCSE 1C'!$G$2:$G$30)</f>
        <v>7</v>
      </c>
      <c r="H30" s="283"/>
    </row>
    <row r="31" ht="33.0" customHeight="1">
      <c r="A31" s="280"/>
      <c r="B31" s="408" t="s">
        <v>47</v>
      </c>
      <c r="C31" s="390">
        <f>VLOOKUP($C$22,'IGCSE 1C'!$A$2:$V$22,15,0)</f>
        <v>60</v>
      </c>
      <c r="D31" s="390" t="str">
        <f>VLOOKUP($C$22,'IGCSE 1C'!$A$2:$V$22,16,0)</f>
        <v>C</v>
      </c>
      <c r="E31" s="390" t="str">
        <f t="shared" si="1"/>
        <v>Good</v>
      </c>
      <c r="F31" s="390" t="str">
        <f t="shared" si="2"/>
        <v>Pass</v>
      </c>
      <c r="G31" s="390">
        <f>RANK(C31,'IGCSE 1C'!$O$2:$O$22)</f>
        <v>15</v>
      </c>
      <c r="H31" s="283"/>
    </row>
    <row r="32" ht="28.5" customHeight="1">
      <c r="A32" s="280"/>
      <c r="B32" s="390" t="s">
        <v>48</v>
      </c>
      <c r="C32" s="390">
        <f>VLOOKUP($C$22,'IGCSE 1C'!$A$2:$V$22,17,0)</f>
        <v>39</v>
      </c>
      <c r="D32" s="390" t="str">
        <f>VLOOKUP($C$22,'IGCSE 1C'!$A$2:$V$22,18,0)</f>
        <v>F</v>
      </c>
      <c r="E32" s="390" t="str">
        <f t="shared" si="1"/>
        <v>Workhard</v>
      </c>
      <c r="F32" s="390" t="str">
        <f t="shared" si="2"/>
        <v>Fail</v>
      </c>
      <c r="G32" s="390">
        <f>RANK(C32,'IGCSE 1C'!$Q$2:$Q$22)</f>
        <v>10</v>
      </c>
      <c r="H32" s="283"/>
    </row>
    <row r="33" ht="30.75" customHeight="1">
      <c r="A33" s="280"/>
      <c r="B33" s="390" t="s">
        <v>28</v>
      </c>
      <c r="C33" s="390">
        <f>VLOOKUP($C$22,'IGCSE 1C'!$A$2:$V$22,13,0)</f>
        <v>53</v>
      </c>
      <c r="D33" s="390" t="str">
        <f>VLOOKUP($C$22,'IGCSE 1C'!$A$2:$V$22,14,0)</f>
        <v>D</v>
      </c>
      <c r="E33" s="390" t="str">
        <f t="shared" si="1"/>
        <v>Good</v>
      </c>
      <c r="F33" s="390" t="str">
        <f t="shared" si="2"/>
        <v>Pass</v>
      </c>
      <c r="G33" s="390">
        <f>RANK(C33,'IGCSE 1C'!$M$2:$M$22)</f>
        <v>4</v>
      </c>
      <c r="H33" s="283"/>
    </row>
    <row r="34" ht="33.0" customHeight="1">
      <c r="A34" s="280"/>
      <c r="B34" s="408" t="s">
        <v>46</v>
      </c>
      <c r="C34" s="390">
        <f>VLOOKUP($C$22,'IGCSE 1C'!$A$2:$V$22,11,0)</f>
        <v>76</v>
      </c>
      <c r="D34" s="390" t="str">
        <f>VLOOKUP($C$22,'IGCSE 1C'!$A$2:$V$22,12,0)</f>
        <v>B</v>
      </c>
      <c r="E34" s="390" t="str">
        <f t="shared" si="1"/>
        <v>Good</v>
      </c>
      <c r="F34" s="390" t="str">
        <f t="shared" si="2"/>
        <v>Pass</v>
      </c>
      <c r="G34" s="390">
        <f>RANK(C34,'IGCSE 1C'!$K$2:$K$22)</f>
        <v>2</v>
      </c>
      <c r="H34" s="283"/>
    </row>
    <row r="35" ht="33.0" customHeight="1">
      <c r="A35" s="280"/>
      <c r="B35" s="390" t="s">
        <v>32</v>
      </c>
      <c r="C35" s="390" t="str">
        <f>VLOOKUP($C$22,'IGCSE 1C'!$A$2:$V$30,21,0)</f>
        <v/>
      </c>
      <c r="D35" s="390" t="str">
        <f>VLOOKUP($C$22,'IGCSE 1C'!$A$2:$V$30,22,0)</f>
        <v>U</v>
      </c>
      <c r="E35" s="390" t="str">
        <f t="shared" si="1"/>
        <v>Workhard</v>
      </c>
      <c r="F35" s="390" t="str">
        <f t="shared" si="2"/>
        <v>Fail</v>
      </c>
      <c r="G35" s="390">
        <f>RANK(C35,'IGCSE 1C'!$U$2:$U$30)</f>
        <v>6</v>
      </c>
      <c r="H35" s="283"/>
    </row>
    <row r="36" ht="33.0" customHeight="1">
      <c r="A36" s="280"/>
      <c r="B36" s="390" t="s">
        <v>49</v>
      </c>
      <c r="C36" s="390" t="str">
        <f>VLOOKUP($C$22,'IGCSE 1C'!$A$2:$V$22,19,0)</f>
        <v/>
      </c>
      <c r="D36" s="390" t="str">
        <f>VLOOKUP($C$22,'IGCSE 1C'!$A$2:$V$22,20,0)</f>
        <v>U</v>
      </c>
      <c r="E36" s="390" t="str">
        <f t="shared" si="1"/>
        <v>Workhard</v>
      </c>
      <c r="F36" s="390" t="str">
        <f t="shared" si="2"/>
        <v>Fail</v>
      </c>
      <c r="G36" s="390" t="str">
        <f>RANK(C36,'IGCSE 1C'!$S$2:$S$22)</f>
        <v>#N/A</v>
      </c>
      <c r="H36" s="283"/>
    </row>
    <row r="37" ht="21.75" customHeight="1">
      <c r="A37" s="2"/>
      <c r="B37" s="260"/>
      <c r="D37" s="284"/>
      <c r="E37" s="284"/>
      <c r="F37" s="284"/>
      <c r="G37" s="284"/>
      <c r="H37" s="2"/>
    </row>
    <row r="38" ht="22.5" customHeight="1">
      <c r="A38" s="280"/>
      <c r="B38" s="388" t="s">
        <v>655</v>
      </c>
      <c r="C38" s="46"/>
      <c r="D38" s="283"/>
      <c r="E38" s="2"/>
      <c r="F38" s="289" t="s">
        <v>627</v>
      </c>
      <c r="G38" s="46"/>
      <c r="H38" s="2"/>
    </row>
    <row r="39" ht="28.5" customHeight="1">
      <c r="A39" s="280"/>
      <c r="B39" s="360" t="s">
        <v>74</v>
      </c>
      <c r="C39" s="405" t="str">
        <f>VLOOKUP($C$22,'IGCSE 1C'!A1:$AG$22,28,0)</f>
        <v>B</v>
      </c>
      <c r="E39" s="280"/>
      <c r="F39" s="382" t="s">
        <v>628</v>
      </c>
      <c r="G39" s="294">
        <f>AVERAGE(C28:C36)</f>
        <v>54.83333333</v>
      </c>
      <c r="H39" s="283"/>
    </row>
    <row r="40" ht="26.25" customHeight="1">
      <c r="A40" s="280"/>
      <c r="B40" s="360" t="s">
        <v>75</v>
      </c>
      <c r="C40" s="405" t="str">
        <f>VLOOKUP($C$22,'IGCSE 1C'!A2:$AG$22,29,0)</f>
        <v>B</v>
      </c>
      <c r="E40" s="280"/>
      <c r="F40" s="382" t="s">
        <v>629</v>
      </c>
      <c r="G40" s="295">
        <f>COUNTIF(C28:C36,"&gt;=50")</f>
        <v>4</v>
      </c>
      <c r="H40" s="283"/>
    </row>
    <row r="41" ht="24.0" customHeight="1">
      <c r="A41" s="280"/>
      <c r="B41" s="360" t="s">
        <v>76</v>
      </c>
      <c r="C41" s="405" t="str">
        <f>VLOOKUP($C$22,'IGCSE 1C'!$A$1:$AG$22,30,0)</f>
        <v>B</v>
      </c>
      <c r="E41" s="280"/>
      <c r="F41" s="382" t="s">
        <v>630</v>
      </c>
      <c r="G41" s="295">
        <f>COUNTIF(C28:C36,"&lt;=50")</f>
        <v>2</v>
      </c>
      <c r="H41" s="296"/>
    </row>
    <row r="42" ht="28.5" customHeight="1">
      <c r="A42" s="280"/>
      <c r="B42" s="360" t="s">
        <v>77</v>
      </c>
      <c r="C42" s="405" t="str">
        <f>VLOOKUP($C$22,'IGCSE 1C'!A2:$AG$22,31,0)</f>
        <v>B</v>
      </c>
      <c r="E42" s="280"/>
      <c r="F42" s="382" t="s">
        <v>632</v>
      </c>
      <c r="G42" s="299">
        <f>COUNT('IGCSE 1C'!A2:A18)</f>
        <v>17</v>
      </c>
      <c r="H42" s="296"/>
    </row>
    <row r="43" ht="19.5" customHeight="1">
      <c r="A43" s="280"/>
      <c r="B43" s="363" t="s">
        <v>78</v>
      </c>
      <c r="C43" s="405" t="str">
        <f>VLOOKUP($C$22,'IGCSE 1C'!$A$1:$AG$22,32,0)</f>
        <v>B</v>
      </c>
      <c r="E43" s="280"/>
      <c r="H43" s="296"/>
    </row>
    <row r="44" ht="8.25" customHeight="1">
      <c r="A44" s="2"/>
      <c r="B44" s="300"/>
      <c r="C44" s="284"/>
      <c r="D44" s="2"/>
      <c r="E44" s="2"/>
      <c r="F44" s="301" t="s">
        <v>633</v>
      </c>
      <c r="G44" s="284"/>
      <c r="H44" s="261"/>
    </row>
    <row r="45" ht="12.0" customHeight="1">
      <c r="A45" s="2"/>
      <c r="B45" s="261"/>
      <c r="C45" s="2"/>
      <c r="D45" s="2"/>
      <c r="E45" s="2"/>
      <c r="F45" s="2"/>
      <c r="G45" s="2"/>
      <c r="H45" s="261"/>
    </row>
    <row r="46" ht="12.0" customHeight="1">
      <c r="A46" s="2"/>
      <c r="B46" s="261"/>
      <c r="C46" s="2"/>
      <c r="D46" s="2"/>
      <c r="E46" s="2"/>
      <c r="F46" s="2"/>
      <c r="G46" s="2"/>
      <c r="H46" s="261"/>
    </row>
    <row r="47" ht="26.25" customHeight="1">
      <c r="A47" s="2"/>
      <c r="B47" s="406" t="s">
        <v>634</v>
      </c>
      <c r="C47" s="10"/>
      <c r="D47" s="2"/>
      <c r="E47" s="2"/>
      <c r="F47" s="2"/>
      <c r="G47" s="2"/>
      <c r="H47" s="261"/>
    </row>
    <row r="48" ht="14.25" customHeight="1">
      <c r="A48" s="2"/>
      <c r="B48" s="271"/>
      <c r="C48" s="273"/>
      <c r="D48" s="273"/>
      <c r="E48" s="273"/>
      <c r="F48" s="273"/>
      <c r="G48" s="273"/>
      <c r="H48" s="261"/>
    </row>
    <row r="49" ht="33.75" customHeight="1">
      <c r="A49" s="280"/>
      <c r="B49" s="407" t="str">
        <f>VLOOKUP($C$22,'IGCSE 1C'!$A$1:$AG$22,33,0)</f>
        <v>Lwiito is an enthusiastic student who excels in English and Social Scinces showing strong comprehension and communication skills. She faces challenges in Mathematics and  ICT. I recommend consistent practice, attending targeted support lessons and parental reinforcement at home. With balanced effort, she can improve significantly.</v>
      </c>
      <c r="C49" s="304"/>
      <c r="D49" s="304"/>
      <c r="E49" s="304"/>
      <c r="F49" s="304"/>
      <c r="G49" s="305"/>
      <c r="H49" s="296"/>
    </row>
    <row r="50" ht="28.5" customHeight="1">
      <c r="A50" s="280"/>
      <c r="B50" s="306"/>
      <c r="G50" s="307"/>
      <c r="H50" s="296"/>
    </row>
    <row r="51" ht="23.25" customHeight="1">
      <c r="A51" s="280"/>
      <c r="B51" s="306"/>
      <c r="G51" s="307"/>
      <c r="H51" s="296"/>
    </row>
    <row r="52" ht="76.5" customHeight="1">
      <c r="A52" s="280"/>
      <c r="B52" s="308"/>
      <c r="C52" s="309"/>
      <c r="D52" s="309"/>
      <c r="E52" s="309"/>
      <c r="F52" s="309"/>
      <c r="G52" s="310"/>
      <c r="H52" s="283"/>
    </row>
    <row r="53" ht="12.0" customHeight="1">
      <c r="A53" s="2"/>
      <c r="B53" s="314"/>
      <c r="C53" s="286"/>
      <c r="D53" s="286"/>
      <c r="E53" s="284"/>
      <c r="F53" s="286"/>
      <c r="G53" s="286"/>
      <c r="H53" s="273"/>
    </row>
    <row r="54" ht="24.75" customHeight="1">
      <c r="A54" s="280"/>
      <c r="B54" s="317" t="s">
        <v>635</v>
      </c>
      <c r="C54" s="45"/>
      <c r="D54" s="46"/>
      <c r="E54" s="368"/>
      <c r="F54" s="319" t="s">
        <v>636</v>
      </c>
      <c r="G54" s="45"/>
      <c r="H54" s="46"/>
    </row>
    <row r="55" ht="22.5" customHeight="1">
      <c r="A55" s="280"/>
      <c r="B55" s="320" t="s">
        <v>637</v>
      </c>
      <c r="C55" s="320" t="s">
        <v>638</v>
      </c>
      <c r="D55" s="320" t="s">
        <v>639</v>
      </c>
      <c r="E55" s="368"/>
      <c r="F55" s="323" t="s">
        <v>637</v>
      </c>
      <c r="G55" s="324" t="s">
        <v>638</v>
      </c>
      <c r="H55" s="325"/>
    </row>
    <row r="56" ht="24.0" customHeight="1">
      <c r="A56" s="280"/>
      <c r="B56" s="371" t="s">
        <v>151</v>
      </c>
      <c r="C56" s="371" t="s">
        <v>86</v>
      </c>
      <c r="D56" s="371" t="s">
        <v>640</v>
      </c>
      <c r="E56" s="368"/>
      <c r="F56" s="327" t="s">
        <v>641</v>
      </c>
      <c r="G56" s="328" t="s">
        <v>86</v>
      </c>
      <c r="H56" s="325"/>
    </row>
    <row r="57" ht="21.0" customHeight="1">
      <c r="A57" s="280"/>
      <c r="B57" s="371" t="s">
        <v>150</v>
      </c>
      <c r="C57" s="371" t="s">
        <v>85</v>
      </c>
      <c r="D57" s="371" t="s">
        <v>640</v>
      </c>
      <c r="E57" s="368"/>
      <c r="F57" s="327" t="s">
        <v>149</v>
      </c>
      <c r="G57" s="328" t="s">
        <v>85</v>
      </c>
      <c r="H57" s="325"/>
    </row>
    <row r="58" ht="23.25" customHeight="1">
      <c r="A58" s="280"/>
      <c r="B58" s="371" t="s">
        <v>149</v>
      </c>
      <c r="C58" s="371" t="s">
        <v>87</v>
      </c>
      <c r="D58" s="371" t="s">
        <v>642</v>
      </c>
      <c r="E58" s="368"/>
      <c r="F58" s="327" t="s">
        <v>148</v>
      </c>
      <c r="G58" s="328" t="s">
        <v>87</v>
      </c>
      <c r="H58" s="325"/>
    </row>
    <row r="59" ht="22.5" customHeight="1">
      <c r="A59" s="280"/>
      <c r="B59" s="371" t="s">
        <v>148</v>
      </c>
      <c r="C59" s="371" t="s">
        <v>90</v>
      </c>
      <c r="D59" s="371" t="s">
        <v>643</v>
      </c>
      <c r="E59" s="368"/>
      <c r="F59" s="327" t="s">
        <v>147</v>
      </c>
      <c r="G59" s="328" t="s">
        <v>90</v>
      </c>
      <c r="H59" s="325"/>
    </row>
    <row r="60" ht="23.25" customHeight="1">
      <c r="A60" s="280"/>
      <c r="B60" s="371" t="s">
        <v>147</v>
      </c>
      <c r="C60" s="371" t="s">
        <v>93</v>
      </c>
      <c r="D60" s="371" t="s">
        <v>644</v>
      </c>
      <c r="E60" s="368"/>
      <c r="F60" s="386" t="s">
        <v>645</v>
      </c>
      <c r="G60" s="372" t="s">
        <v>93</v>
      </c>
      <c r="H60" s="343"/>
    </row>
    <row r="61" ht="21.75" customHeight="1">
      <c r="A61" s="280"/>
      <c r="B61" s="371" t="s">
        <v>145</v>
      </c>
      <c r="C61" s="371" t="s">
        <v>146</v>
      </c>
      <c r="D61" s="371" t="s">
        <v>644</v>
      </c>
      <c r="E61" s="368"/>
      <c r="F61" s="372"/>
      <c r="G61" s="372"/>
    </row>
    <row r="62" ht="21.0" customHeight="1">
      <c r="A62" s="280"/>
      <c r="B62" s="371" t="s">
        <v>143</v>
      </c>
      <c r="C62" s="371" t="s">
        <v>144</v>
      </c>
      <c r="D62" s="371" t="s">
        <v>646</v>
      </c>
      <c r="E62" s="283"/>
      <c r="F62" s="286"/>
      <c r="G62" s="286"/>
      <c r="H62" s="284"/>
    </row>
    <row r="63" ht="21.75" customHeight="1">
      <c r="A63" s="280"/>
      <c r="B63" s="371" t="s">
        <v>141</v>
      </c>
      <c r="C63" s="371" t="s">
        <v>142</v>
      </c>
      <c r="D63" s="371" t="s">
        <v>646</v>
      </c>
      <c r="E63" s="368"/>
      <c r="F63" s="334" t="s">
        <v>647</v>
      </c>
      <c r="G63" s="334"/>
      <c r="H63" s="283"/>
    </row>
    <row r="64" ht="23.25" customHeight="1">
      <c r="A64" s="280"/>
      <c r="B64" s="371" t="s">
        <v>139</v>
      </c>
      <c r="C64" s="371" t="s">
        <v>140</v>
      </c>
      <c r="D64" s="371" t="s">
        <v>646</v>
      </c>
      <c r="E64" s="368"/>
      <c r="F64" s="334" t="s">
        <v>648</v>
      </c>
      <c r="G64" s="334"/>
      <c r="H64" s="283"/>
    </row>
    <row r="65" ht="12.0" customHeight="1">
      <c r="A65" s="280"/>
      <c r="B65" s="311"/>
      <c r="C65" s="313"/>
      <c r="D65" s="313"/>
      <c r="E65" s="283"/>
      <c r="F65" s="284"/>
      <c r="G65" s="284"/>
      <c r="H65" s="2"/>
    </row>
    <row r="66" ht="12.0" customHeight="1">
      <c r="B66" s="260"/>
    </row>
    <row r="67" ht="12.0" customHeight="1">
      <c r="B67" s="335" t="s">
        <v>666</v>
      </c>
      <c r="C67" s="336"/>
      <c r="D67" s="337"/>
      <c r="E67" s="374"/>
      <c r="F67" s="339"/>
      <c r="G67" s="340"/>
      <c r="H67" s="341"/>
    </row>
    <row r="68" ht="12.0" customHeight="1">
      <c r="B68" s="342"/>
      <c r="D68" s="343"/>
      <c r="F68" s="344"/>
      <c r="H68" s="343"/>
    </row>
    <row r="69" ht="12.0" customHeight="1">
      <c r="B69" s="345"/>
      <c r="C69" s="346"/>
      <c r="D69" s="325"/>
      <c r="E69" s="346"/>
      <c r="F69" s="347"/>
      <c r="G69" s="346"/>
      <c r="H69" s="325"/>
    </row>
    <row r="70" ht="12.0" customHeight="1">
      <c r="B70" s="348" t="s">
        <v>650</v>
      </c>
      <c r="C70" s="346"/>
      <c r="D70" s="325"/>
      <c r="E70" s="349" t="s">
        <v>651</v>
      </c>
      <c r="F70" s="325"/>
      <c r="G70" s="350" t="s">
        <v>652</v>
      </c>
      <c r="H70" s="325"/>
    </row>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c r="B97" s="260"/>
    </row>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row r="997" ht="12.0" customHeight="1">
      <c r="B997" s="260"/>
    </row>
    <row r="998" ht="12.0" customHeight="1">
      <c r="B998" s="260"/>
    </row>
    <row r="999" ht="12.0" customHeight="1">
      <c r="B999" s="260"/>
    </row>
  </sheetData>
  <mergeCells count="19">
    <mergeCell ref="B38:C38"/>
    <mergeCell ref="F38:G38"/>
    <mergeCell ref="B47:C47"/>
    <mergeCell ref="B49:G52"/>
    <mergeCell ref="B54:D54"/>
    <mergeCell ref="F54:H54"/>
    <mergeCell ref="G55:H55"/>
    <mergeCell ref="E67:F69"/>
    <mergeCell ref="G67:H69"/>
    <mergeCell ref="B70:D70"/>
    <mergeCell ref="E70:F70"/>
    <mergeCell ref="G70:H70"/>
    <mergeCell ref="G56:H56"/>
    <mergeCell ref="G57:H57"/>
    <mergeCell ref="G58:H58"/>
    <mergeCell ref="G59:H59"/>
    <mergeCell ref="G60:H60"/>
    <mergeCell ref="G61:H61"/>
    <mergeCell ref="B67:D69"/>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218"/>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401">
        <v>5.0</v>
      </c>
      <c r="D22" s="2"/>
      <c r="E22" s="2"/>
      <c r="F22" s="2"/>
      <c r="G22" s="2"/>
      <c r="H22" s="2"/>
    </row>
    <row r="23" ht="21.0" customHeight="1">
      <c r="A23" s="2"/>
      <c r="B23" s="260"/>
      <c r="D23" s="2"/>
      <c r="E23" s="2"/>
      <c r="F23" s="2"/>
      <c r="G23" s="2"/>
      <c r="H23" s="2"/>
    </row>
    <row r="24" ht="12.0" customHeight="1">
      <c r="A24" s="2"/>
      <c r="B24" s="260"/>
      <c r="D24" s="2"/>
      <c r="E24" s="2"/>
      <c r="F24" s="2"/>
      <c r="G24" s="273"/>
      <c r="H24" s="2"/>
    </row>
    <row r="25" ht="21.75" customHeight="1">
      <c r="A25" s="2"/>
      <c r="B25" s="375" t="s">
        <v>619</v>
      </c>
      <c r="C25" s="353" t="str">
        <f>VLOOKUP($C$22,'IGCSE 2A'!$A$2:$B$30,2,0)</f>
        <v>Samuel Chikaka</v>
      </c>
      <c r="E25" s="354" t="s">
        <v>620</v>
      </c>
      <c r="F25" s="402" t="s">
        <v>667</v>
      </c>
      <c r="G25" s="404"/>
      <c r="H25" s="283"/>
    </row>
    <row r="26" ht="12.0" customHeight="1">
      <c r="A26" s="2"/>
      <c r="B26" s="271"/>
      <c r="C26" s="273"/>
      <c r="D26" s="273"/>
      <c r="E26" s="273"/>
      <c r="F26" s="273"/>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2A'!$A$2:$V$30,3,0)</f>
        <v>56</v>
      </c>
      <c r="D28" s="390" t="str">
        <f>VLOOKUP($C$22,'IGCSE 2A'!$A$2:$V$30,4,0)</f>
        <v>D</v>
      </c>
      <c r="E28" s="390" t="str">
        <f t="shared" ref="E28:E33" si="1">IF(C28&gt;80,"Very good",IF(C28&gt;49,"Good","Workhard"))</f>
        <v>Good</v>
      </c>
      <c r="F28" s="390" t="str">
        <f t="shared" ref="F28:F33" si="2">IF(C28&gt;49,"Pass","Fail")</f>
        <v>Pass</v>
      </c>
      <c r="G28" s="390">
        <f>RANK(C28,'IGCSE 2A'!$C$2:$C$30)</f>
        <v>4</v>
      </c>
      <c r="H28" s="283"/>
    </row>
    <row r="29" ht="28.5" customHeight="1">
      <c r="A29" s="280"/>
      <c r="B29" s="390" t="s">
        <v>24</v>
      </c>
      <c r="C29" s="390">
        <f>VLOOKUP($C$22,'IGCSE 2A'!$A$2:$V$30,5,0)</f>
        <v>28</v>
      </c>
      <c r="D29" s="390" t="str">
        <f>VLOOKUP($C$22,'IGCSE 2A'!$A$2:$V$30,6,0)</f>
        <v>G</v>
      </c>
      <c r="E29" s="390" t="str">
        <f t="shared" si="1"/>
        <v>Workhard</v>
      </c>
      <c r="F29" s="390" t="str">
        <f t="shared" si="2"/>
        <v>Fail</v>
      </c>
      <c r="G29" s="390">
        <f>RANK(C29,'IGCSE 2A'!$E$2:$E$30)</f>
        <v>21</v>
      </c>
      <c r="H29" s="283"/>
    </row>
    <row r="30" ht="33.0" customHeight="1">
      <c r="A30" s="280"/>
      <c r="B30" s="390" t="s">
        <v>44</v>
      </c>
      <c r="C30" s="390" t="str">
        <f>VLOOKUP($C$22,'IGCSE 2A'!$A$2:$V$30,7,0)</f>
        <v/>
      </c>
      <c r="D30" s="390" t="str">
        <f>VLOOKUP($C$22,'IGCSE 2A'!$A$2:$V$30,8,0)</f>
        <v>U</v>
      </c>
      <c r="E30" s="390" t="str">
        <f t="shared" si="1"/>
        <v>Workhard</v>
      </c>
      <c r="F30" s="390" t="str">
        <f t="shared" si="2"/>
        <v>Fail</v>
      </c>
      <c r="G30" s="390" t="str">
        <f>RANK(C30,'IGCSE 2A'!$G$2:$G$30)</f>
        <v>#N/A</v>
      </c>
      <c r="H30" s="283"/>
    </row>
    <row r="31" ht="28.5" customHeight="1">
      <c r="A31" s="280"/>
      <c r="B31" s="390" t="s">
        <v>45</v>
      </c>
      <c r="C31" s="390" t="str">
        <f>VLOOKUP($C$22,'IGCSE 2A'!$A$2:$V$30,9,0)</f>
        <v/>
      </c>
      <c r="D31" s="390" t="str">
        <f>VLOOKUP($C$22,'IGCSE 2A'!$A$2:$V$30,10,0)</f>
        <v>U</v>
      </c>
      <c r="E31" s="390" t="str">
        <f t="shared" si="1"/>
        <v>Workhard</v>
      </c>
      <c r="F31" s="390" t="str">
        <f t="shared" si="2"/>
        <v>Fail</v>
      </c>
      <c r="G31" s="390" t="str">
        <f>RANK(C31,'IGCSE 2A'!$I$2:$I$30)</f>
        <v>#N/A</v>
      </c>
      <c r="H31" s="283"/>
    </row>
    <row r="32" ht="30.75" customHeight="1">
      <c r="A32" s="280"/>
      <c r="B32" s="390" t="s">
        <v>49</v>
      </c>
      <c r="C32" s="390" t="str">
        <f>VLOOKUP($C$22,'IGCSE 2A'!$A$2:$V$30,19,0)</f>
        <v/>
      </c>
      <c r="D32" s="390" t="str">
        <f>VLOOKUP($C$22,'IGCSE 2A'!$A$2:$V$30,20,0)</f>
        <v>U</v>
      </c>
      <c r="E32" s="390" t="str">
        <f t="shared" si="1"/>
        <v>Workhard</v>
      </c>
      <c r="F32" s="390" t="str">
        <f t="shared" si="2"/>
        <v>Fail</v>
      </c>
      <c r="G32" s="390">
        <f>RANK(C32,'IGCSE 2A'!$S$2:$S$30)</f>
        <v>17</v>
      </c>
      <c r="H32" s="283"/>
    </row>
    <row r="33" ht="30.75" customHeight="1">
      <c r="A33" s="280"/>
      <c r="B33" s="390" t="s">
        <v>48</v>
      </c>
      <c r="C33" s="390">
        <f>VLOOKUP($C$22,'IGCSE 2A'!$A$2:$V$30,17,0)</f>
        <v>41</v>
      </c>
      <c r="D33" s="390" t="str">
        <f>VLOOKUP($C$22,'IGCSE 2A'!$A$2:$V$30,18,0)</f>
        <v>E</v>
      </c>
      <c r="E33" s="390" t="str">
        <f t="shared" si="1"/>
        <v>Workhard</v>
      </c>
      <c r="F33" s="390" t="str">
        <f t="shared" si="2"/>
        <v>Fail</v>
      </c>
      <c r="G33" s="390">
        <f>RANK(C33,'IGCSE 2A'!$Q$2:$Q$30)</f>
        <v>9</v>
      </c>
      <c r="H33" s="283"/>
    </row>
    <row r="34" ht="21.75" customHeight="1">
      <c r="A34" s="2"/>
      <c r="B34" s="260"/>
      <c r="D34" s="284"/>
      <c r="E34" s="284"/>
      <c r="F34" s="284"/>
      <c r="G34" s="284"/>
      <c r="H34" s="2"/>
    </row>
    <row r="35" ht="22.5" customHeight="1">
      <c r="A35" s="280"/>
      <c r="B35" s="388" t="s">
        <v>655</v>
      </c>
      <c r="C35" s="46"/>
      <c r="D35" s="283"/>
      <c r="E35" s="2"/>
      <c r="F35" s="289" t="s">
        <v>627</v>
      </c>
      <c r="G35" s="46"/>
      <c r="H35" s="2"/>
    </row>
    <row r="36" ht="28.5" customHeight="1">
      <c r="A36" s="280"/>
      <c r="B36" s="360" t="s">
        <v>74</v>
      </c>
      <c r="C36" s="405" t="str">
        <f>VLOOKUP($C$22,'IGCSE 2A'!A1:$AE$30,26,0)</f>
        <v>B</v>
      </c>
      <c r="E36" s="280"/>
      <c r="F36" s="382" t="s">
        <v>628</v>
      </c>
      <c r="G36" s="361">
        <f>VLOOKUP($C$22,'IGCSE 2A'!$A$2:$X$30,24,0)</f>
        <v>40.6</v>
      </c>
      <c r="H36" s="283"/>
    </row>
    <row r="37" ht="26.25" customHeight="1">
      <c r="A37" s="280"/>
      <c r="B37" s="360" t="s">
        <v>75</v>
      </c>
      <c r="C37" s="405" t="str">
        <f>VLOOKUP($C$22,'IGCSE 2A'!A2:$AE$30,27,0)</f>
        <v>A</v>
      </c>
      <c r="E37" s="280"/>
      <c r="F37" s="382" t="s">
        <v>629</v>
      </c>
      <c r="G37" s="411">
        <f>COUNTIF(F28:F33,"Pass")</f>
        <v>1</v>
      </c>
      <c r="H37" s="283"/>
    </row>
    <row r="38" ht="24.0" customHeight="1">
      <c r="A38" s="280"/>
      <c r="B38" s="360" t="s">
        <v>76</v>
      </c>
      <c r="C38" s="405" t="str">
        <f>VLOOKUP($C$22,'IGCSE 2A'!$A$1:$AE$30,28,0)</f>
        <v>D</v>
      </c>
      <c r="E38" s="280"/>
      <c r="F38" s="382" t="s">
        <v>630</v>
      </c>
      <c r="G38" s="411">
        <f>COUNTIF(F28:F33,"Fail")-COUNTIF(D28:D33,"U")</f>
        <v>2</v>
      </c>
      <c r="H38" s="296"/>
    </row>
    <row r="39" ht="28.5" customHeight="1">
      <c r="A39" s="280"/>
      <c r="B39" s="360" t="s">
        <v>77</v>
      </c>
      <c r="C39" s="405" t="str">
        <f>VLOOKUP($C$22,'IGCSE 2A'!A2:$AE$30,29,0)</f>
        <v>A</v>
      </c>
      <c r="E39" s="280"/>
      <c r="F39" s="382" t="s">
        <v>632</v>
      </c>
      <c r="G39" s="382">
        <f>COUNT('IGCSE 2A'!$A$2:$A$29)</f>
        <v>28</v>
      </c>
      <c r="H39" s="296"/>
    </row>
    <row r="40" ht="19.5" customHeight="1">
      <c r="A40" s="280"/>
      <c r="B40" s="363" t="s">
        <v>78</v>
      </c>
      <c r="C40" s="405" t="str">
        <f>VLOOKUP($C$22,'IGCSE 2A'!$A$1:$AE$30,30,0)</f>
        <v>A+</v>
      </c>
      <c r="E40" s="280"/>
      <c r="H40" s="296"/>
    </row>
    <row r="41" ht="8.25" customHeight="1">
      <c r="A41" s="2"/>
      <c r="B41" s="300"/>
      <c r="C41" s="284"/>
      <c r="D41" s="2"/>
      <c r="E41" s="2"/>
      <c r="F41" s="301" t="s">
        <v>633</v>
      </c>
      <c r="G41" s="284"/>
      <c r="H41" s="261"/>
    </row>
    <row r="42" ht="12.0" customHeight="1">
      <c r="A42" s="2"/>
      <c r="B42" s="261"/>
      <c r="C42" s="2"/>
      <c r="D42" s="2"/>
      <c r="E42" s="2"/>
      <c r="F42" s="2"/>
      <c r="G42" s="2"/>
      <c r="H42" s="261"/>
    </row>
    <row r="43" ht="12.0" customHeight="1">
      <c r="A43" s="2"/>
      <c r="B43" s="261"/>
      <c r="C43" s="2"/>
      <c r="D43" s="2"/>
      <c r="E43" s="2"/>
      <c r="F43" s="2"/>
      <c r="G43" s="2"/>
      <c r="H43" s="261"/>
    </row>
    <row r="44" ht="26.25" customHeight="1">
      <c r="A44" s="2"/>
      <c r="B44" s="406" t="s">
        <v>634</v>
      </c>
      <c r="C44" s="10"/>
      <c r="D44" s="2"/>
      <c r="E44" s="2"/>
      <c r="F44" s="2"/>
      <c r="G44" s="2"/>
      <c r="H44" s="261"/>
    </row>
    <row r="45" ht="14.25" customHeight="1">
      <c r="A45" s="2"/>
      <c r="B45" s="271"/>
      <c r="C45" s="273"/>
      <c r="D45" s="273"/>
      <c r="E45" s="273"/>
      <c r="F45" s="273"/>
      <c r="G45" s="273"/>
      <c r="H45" s="261"/>
    </row>
    <row r="46" ht="33.75" customHeight="1">
      <c r="A46" s="280"/>
      <c r="B46" s="407" t="str">
        <f>VLOOKUP($C$22,'IGCSE 2A'!$A$1:$AE$30,31,0)</f>
        <v>Samuel possesses immense potential to make progress, but currently requires additional support to improve his academic performance. He is a very well behaved student. To enhance learning outcomes, Samuel should concentrate on completing tasks on time, reviewing foundational concepts, making use of available learner resources provided by the school, and seeking help whenever needed, especially in subjects he has shown clear weaknesses. Consistent and collaborative efforts between the school and home will significantly benefit his overall progress. Beyond the classroom, Samuel remains fully dedicated and involved in extra curricula activities such as sports, where he has attained success and recognition.</v>
      </c>
      <c r="C46" s="304"/>
      <c r="D46" s="304"/>
      <c r="E46" s="304"/>
      <c r="F46" s="304"/>
      <c r="G46" s="305"/>
      <c r="H46" s="296"/>
    </row>
    <row r="47" ht="28.5" customHeight="1">
      <c r="A47" s="280"/>
      <c r="B47" s="306"/>
      <c r="G47" s="307"/>
      <c r="H47" s="296"/>
    </row>
    <row r="48" ht="23.25" customHeight="1">
      <c r="A48" s="280"/>
      <c r="B48" s="306"/>
      <c r="G48" s="307"/>
      <c r="H48" s="296"/>
    </row>
    <row r="49" ht="76.5" customHeight="1">
      <c r="A49" s="280"/>
      <c r="B49" s="308"/>
      <c r="C49" s="309"/>
      <c r="D49" s="309"/>
      <c r="E49" s="309"/>
      <c r="F49" s="309"/>
      <c r="G49" s="310"/>
      <c r="H49" s="283"/>
    </row>
    <row r="50" ht="12.0" customHeight="1">
      <c r="A50" s="2"/>
      <c r="B50" s="314"/>
      <c r="C50" s="286"/>
      <c r="D50" s="286"/>
      <c r="E50" s="284"/>
      <c r="F50" s="286"/>
      <c r="G50" s="286"/>
      <c r="H50" s="273"/>
    </row>
    <row r="51" ht="24.75" customHeight="1">
      <c r="A51" s="280"/>
      <c r="B51" s="317" t="s">
        <v>635</v>
      </c>
      <c r="C51" s="45"/>
      <c r="D51" s="46"/>
      <c r="E51" s="368"/>
      <c r="F51" s="319" t="s">
        <v>636</v>
      </c>
      <c r="G51" s="45"/>
      <c r="H51" s="46"/>
    </row>
    <row r="52" ht="22.5" customHeight="1">
      <c r="A52" s="280"/>
      <c r="B52" s="320" t="s">
        <v>637</v>
      </c>
      <c r="C52" s="320" t="s">
        <v>638</v>
      </c>
      <c r="D52" s="320" t="s">
        <v>639</v>
      </c>
      <c r="E52" s="368"/>
      <c r="F52" s="323" t="s">
        <v>637</v>
      </c>
      <c r="G52" s="324" t="s">
        <v>638</v>
      </c>
      <c r="H52" s="325"/>
    </row>
    <row r="53" ht="24.0" customHeight="1">
      <c r="A53" s="280"/>
      <c r="B53" s="371" t="s">
        <v>151</v>
      </c>
      <c r="C53" s="371" t="s">
        <v>86</v>
      </c>
      <c r="D53" s="371" t="s">
        <v>640</v>
      </c>
      <c r="E53" s="368"/>
      <c r="F53" s="327" t="s">
        <v>641</v>
      </c>
      <c r="G53" s="328" t="s">
        <v>86</v>
      </c>
      <c r="H53" s="325"/>
    </row>
    <row r="54" ht="21.0" customHeight="1">
      <c r="A54" s="280"/>
      <c r="B54" s="371" t="s">
        <v>150</v>
      </c>
      <c r="C54" s="371" t="s">
        <v>85</v>
      </c>
      <c r="D54" s="371" t="s">
        <v>640</v>
      </c>
      <c r="E54" s="368"/>
      <c r="F54" s="327" t="s">
        <v>149</v>
      </c>
      <c r="G54" s="328" t="s">
        <v>85</v>
      </c>
      <c r="H54" s="325"/>
    </row>
    <row r="55" ht="23.25" customHeight="1">
      <c r="A55" s="280"/>
      <c r="B55" s="371" t="s">
        <v>149</v>
      </c>
      <c r="C55" s="371" t="s">
        <v>87</v>
      </c>
      <c r="D55" s="371" t="s">
        <v>642</v>
      </c>
      <c r="E55" s="368"/>
      <c r="F55" s="327" t="s">
        <v>148</v>
      </c>
      <c r="G55" s="328" t="s">
        <v>87</v>
      </c>
      <c r="H55" s="325"/>
    </row>
    <row r="56" ht="22.5" customHeight="1">
      <c r="A56" s="280"/>
      <c r="B56" s="371" t="s">
        <v>148</v>
      </c>
      <c r="C56" s="371" t="s">
        <v>90</v>
      </c>
      <c r="D56" s="371" t="s">
        <v>643</v>
      </c>
      <c r="E56" s="368"/>
      <c r="F56" s="327" t="s">
        <v>147</v>
      </c>
      <c r="G56" s="328" t="s">
        <v>90</v>
      </c>
      <c r="H56" s="325"/>
    </row>
    <row r="57" ht="23.25" customHeight="1">
      <c r="A57" s="280"/>
      <c r="B57" s="371" t="s">
        <v>147</v>
      </c>
      <c r="C57" s="371" t="s">
        <v>93</v>
      </c>
      <c r="D57" s="371" t="s">
        <v>644</v>
      </c>
      <c r="E57" s="368"/>
      <c r="F57" s="386" t="s">
        <v>645</v>
      </c>
      <c r="G57" s="372" t="s">
        <v>93</v>
      </c>
      <c r="H57" s="343"/>
    </row>
    <row r="58" ht="21.75" customHeight="1">
      <c r="A58" s="280"/>
      <c r="B58" s="371" t="s">
        <v>145</v>
      </c>
      <c r="C58" s="371" t="s">
        <v>146</v>
      </c>
      <c r="D58" s="371" t="s">
        <v>644</v>
      </c>
      <c r="E58" s="368"/>
      <c r="F58" s="372"/>
      <c r="G58" s="372"/>
    </row>
    <row r="59" ht="21.0" customHeight="1">
      <c r="A59" s="280"/>
      <c r="B59" s="371" t="s">
        <v>143</v>
      </c>
      <c r="C59" s="371" t="s">
        <v>144</v>
      </c>
      <c r="D59" s="371" t="s">
        <v>646</v>
      </c>
      <c r="E59" s="283"/>
      <c r="F59" s="286"/>
      <c r="G59" s="286"/>
      <c r="H59" s="284"/>
    </row>
    <row r="60" ht="21.75" customHeight="1">
      <c r="A60" s="280"/>
      <c r="B60" s="371" t="s">
        <v>141</v>
      </c>
      <c r="C60" s="371" t="s">
        <v>142</v>
      </c>
      <c r="D60" s="371" t="s">
        <v>646</v>
      </c>
      <c r="E60" s="368"/>
      <c r="F60" s="334" t="s">
        <v>647</v>
      </c>
      <c r="G60" s="334"/>
      <c r="H60" s="283"/>
    </row>
    <row r="61" ht="23.25" customHeight="1">
      <c r="A61" s="280"/>
      <c r="B61" s="371" t="s">
        <v>139</v>
      </c>
      <c r="C61" s="371" t="s">
        <v>140</v>
      </c>
      <c r="D61" s="371" t="s">
        <v>646</v>
      </c>
      <c r="E61" s="368"/>
      <c r="F61" s="334" t="s">
        <v>648</v>
      </c>
      <c r="G61" s="334"/>
      <c r="H61" s="283"/>
    </row>
    <row r="62" ht="12.0" customHeight="1">
      <c r="A62" s="280"/>
      <c r="B62" s="311"/>
      <c r="C62" s="313"/>
      <c r="D62" s="313"/>
      <c r="E62" s="283"/>
      <c r="F62" s="284"/>
      <c r="G62" s="284"/>
      <c r="H62" s="2"/>
    </row>
    <row r="63" ht="12.0" customHeight="1">
      <c r="B63" s="260"/>
    </row>
    <row r="64" ht="12.0" customHeight="1">
      <c r="B64" s="335" t="s">
        <v>668</v>
      </c>
      <c r="C64" s="336"/>
      <c r="D64" s="337"/>
      <c r="E64" s="374"/>
      <c r="F64" s="339"/>
      <c r="G64" s="340"/>
      <c r="H64" s="341"/>
    </row>
    <row r="65" ht="12.0" customHeight="1">
      <c r="B65" s="342"/>
      <c r="D65" s="343"/>
      <c r="F65" s="344"/>
      <c r="H65" s="343"/>
    </row>
    <row r="66" ht="12.0" customHeight="1">
      <c r="B66" s="345"/>
      <c r="C66" s="346"/>
      <c r="D66" s="325"/>
      <c r="E66" s="346"/>
      <c r="F66" s="347"/>
      <c r="G66" s="346"/>
      <c r="H66" s="325"/>
    </row>
    <row r="67" ht="12.0" customHeight="1">
      <c r="B67" s="348" t="s">
        <v>650</v>
      </c>
      <c r="C67" s="346"/>
      <c r="D67" s="325"/>
      <c r="E67" s="349" t="s">
        <v>651</v>
      </c>
      <c r="F67" s="325"/>
      <c r="G67" s="350" t="s">
        <v>652</v>
      </c>
      <c r="H67" s="325"/>
    </row>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c r="B94" s="260"/>
    </row>
    <row r="95" ht="12.0" customHeight="1">
      <c r="B95" s="260"/>
    </row>
    <row r="96" ht="12.0" customHeight="1">
      <c r="B96" s="260"/>
    </row>
    <row r="97" ht="12.0" customHeight="1">
      <c r="B97" s="260"/>
    </row>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sheetData>
  <mergeCells count="19">
    <mergeCell ref="B35:C35"/>
    <mergeCell ref="F35:G35"/>
    <mergeCell ref="B44:C44"/>
    <mergeCell ref="B46:G49"/>
    <mergeCell ref="B51:D51"/>
    <mergeCell ref="F51:H51"/>
    <mergeCell ref="G52:H52"/>
    <mergeCell ref="E64:F66"/>
    <mergeCell ref="G64:H66"/>
    <mergeCell ref="B67:D67"/>
    <mergeCell ref="E67:F67"/>
    <mergeCell ref="G67:H67"/>
    <mergeCell ref="G53:H53"/>
    <mergeCell ref="G54:H54"/>
    <mergeCell ref="G55:H55"/>
    <mergeCell ref="G56:H56"/>
    <mergeCell ref="G57:H57"/>
    <mergeCell ref="G58:H58"/>
    <mergeCell ref="B64:D66"/>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113"/>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401">
        <v>9.0</v>
      </c>
      <c r="D22" s="2"/>
      <c r="E22" s="2"/>
      <c r="F22" s="2"/>
      <c r="G22" s="2"/>
      <c r="H22" s="2"/>
    </row>
    <row r="23" ht="21.0" customHeight="1">
      <c r="A23" s="2"/>
      <c r="B23" s="260"/>
      <c r="D23" s="2"/>
      <c r="E23" s="2"/>
      <c r="F23" s="2"/>
      <c r="G23" s="2"/>
      <c r="H23" s="2"/>
    </row>
    <row r="24" ht="12.0" customHeight="1">
      <c r="A24" s="2"/>
      <c r="B24" s="260"/>
      <c r="D24" s="2"/>
      <c r="E24" s="2"/>
      <c r="F24" s="273"/>
      <c r="G24" s="273"/>
      <c r="H24" s="2"/>
    </row>
    <row r="25" ht="21.75" customHeight="1">
      <c r="A25" s="2"/>
      <c r="B25" s="375" t="s">
        <v>619</v>
      </c>
      <c r="C25" s="353" t="str">
        <f>VLOOKUP($C$22,'IGCSE 2B'!$A$2:$B$11,2,0)</f>
        <v>Nour Rassalan</v>
      </c>
      <c r="E25" s="354" t="s">
        <v>620</v>
      </c>
      <c r="F25" s="409" t="s">
        <v>667</v>
      </c>
      <c r="G25" s="404"/>
      <c r="H25" s="283"/>
    </row>
    <row r="26" ht="12.0" customHeight="1">
      <c r="A26" s="2"/>
      <c r="B26" s="271"/>
      <c r="C26" s="273"/>
      <c r="D26" s="273"/>
      <c r="E26" s="273"/>
      <c r="F26" s="286"/>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2B'!$A$2:$V$11,3,0)</f>
        <v>36</v>
      </c>
      <c r="D28" s="390" t="str">
        <f>VLOOKUP($C$22,'IGCSE 2B'!$A$2:$V$11,4,0)</f>
        <v>F</v>
      </c>
      <c r="E28" s="390" t="str">
        <f t="shared" ref="E28:E33" si="1">IF(C28&gt;80,"Very good",IF(C28&gt;49,"Good","Workhard"))</f>
        <v>Workhard</v>
      </c>
      <c r="F28" s="390" t="str">
        <f t="shared" ref="F28:F33" si="2">IF(C28&gt;49,"Pass","Fail")</f>
        <v>Fail</v>
      </c>
      <c r="G28" s="390">
        <f>RANK(C28,'IGCSE 2B'!$C$2:$C$11)</f>
        <v>7</v>
      </c>
      <c r="H28" s="283"/>
    </row>
    <row r="29" ht="28.5" customHeight="1">
      <c r="A29" s="280"/>
      <c r="B29" s="390" t="s">
        <v>24</v>
      </c>
      <c r="C29" s="390">
        <f>VLOOKUP($C$22,'IGCSE 2B'!$A$2:$V$11,5,0)</f>
        <v>38</v>
      </c>
      <c r="D29" s="390" t="str">
        <f>VLOOKUP($C$22,'IGCSE 2B'!$A$2:$V$11,6,0)</f>
        <v>F</v>
      </c>
      <c r="E29" s="390" t="str">
        <f t="shared" si="1"/>
        <v>Workhard</v>
      </c>
      <c r="F29" s="390" t="str">
        <f t="shared" si="2"/>
        <v>Fail</v>
      </c>
      <c r="G29" s="390">
        <f>RANK(C29,'IGCSE 2B'!$E$2:$E$11)</f>
        <v>3</v>
      </c>
      <c r="H29" s="283"/>
    </row>
    <row r="30" ht="33.0" customHeight="1">
      <c r="A30" s="280"/>
      <c r="B30" s="390" t="s">
        <v>44</v>
      </c>
      <c r="C30" s="390" t="str">
        <f>VLOOKUP($C$22,'IGCSE 2B'!$A$2:$V$11,7,0)</f>
        <v/>
      </c>
      <c r="D30" s="390" t="str">
        <f>VLOOKUP($C$22,'IGCSE 2B'!$A$2:$V$11,8,0)</f>
        <v>U</v>
      </c>
      <c r="E30" s="390" t="str">
        <f t="shared" si="1"/>
        <v>Workhard</v>
      </c>
      <c r="F30" s="390" t="str">
        <f t="shared" si="2"/>
        <v>Fail</v>
      </c>
      <c r="G30" s="390" t="str">
        <f>RANK(C30,'IGCSE 2B'!$G$2:$G$11)</f>
        <v>#N/A</v>
      </c>
      <c r="H30" s="283"/>
    </row>
    <row r="31" ht="28.5" customHeight="1">
      <c r="A31" s="280"/>
      <c r="B31" s="390" t="s">
        <v>45</v>
      </c>
      <c r="C31" s="390" t="str">
        <f>VLOOKUP($C$22,'IGCSE 2B'!$A$2:$V$11,9,0)</f>
        <v/>
      </c>
      <c r="D31" s="390" t="str">
        <f>VLOOKUP($C$22,'IGCSE 2B'!$A$2:$V$11,10,0)</f>
        <v>U</v>
      </c>
      <c r="E31" s="390" t="str">
        <f t="shared" si="1"/>
        <v>Workhard</v>
      </c>
      <c r="F31" s="390" t="str">
        <f t="shared" si="2"/>
        <v>Fail</v>
      </c>
      <c r="G31" s="390" t="str">
        <f>RANK(C31,'IGCSE 2B'!$I$2:$I$11)</f>
        <v>#N/A</v>
      </c>
      <c r="H31" s="283"/>
    </row>
    <row r="32" ht="30.75" customHeight="1">
      <c r="A32" s="280"/>
      <c r="B32" s="390" t="s">
        <v>49</v>
      </c>
      <c r="C32" s="390" t="str">
        <f>VLOOKUP($C$22,'IGCSE 2B'!$A$2:$V$11,19,0)</f>
        <v/>
      </c>
      <c r="D32" s="390" t="str">
        <f>VLOOKUP($C$22,'IGCSE 2B'!$A$2:$V$11,20,0)</f>
        <v>U</v>
      </c>
      <c r="E32" s="390" t="str">
        <f t="shared" si="1"/>
        <v>Workhard</v>
      </c>
      <c r="F32" s="390" t="str">
        <f t="shared" si="2"/>
        <v>Fail</v>
      </c>
      <c r="G32" s="390" t="str">
        <f>RANK(C32,'IGCSE 2B'!$S$2:$S$11)</f>
        <v>#N/A</v>
      </c>
      <c r="H32" s="283"/>
    </row>
    <row r="33" ht="30.75" customHeight="1">
      <c r="A33" s="280"/>
      <c r="B33" s="390" t="s">
        <v>48</v>
      </c>
      <c r="C33" s="390" t="str">
        <f>VLOOKUP($C$22,'IGCSE 2B'!$A$2:$V$11,17,0)</f>
        <v/>
      </c>
      <c r="D33" s="390" t="str">
        <f>VLOOKUP($C$22,'IGCSE 2B'!$A$2:$V$11,18,0)</f>
        <v>U</v>
      </c>
      <c r="E33" s="390" t="str">
        <f t="shared" si="1"/>
        <v>Workhard</v>
      </c>
      <c r="F33" s="390" t="str">
        <f t="shared" si="2"/>
        <v>Fail</v>
      </c>
      <c r="G33" s="390" t="str">
        <f>RANK(C33,'IGCSE 2B'!$Q$2:$Q$11)</f>
        <v>#N/A</v>
      </c>
      <c r="H33" s="283"/>
    </row>
    <row r="34" ht="21.75" customHeight="1">
      <c r="A34" s="2"/>
      <c r="B34" s="260"/>
      <c r="D34" s="284"/>
      <c r="E34" s="284"/>
      <c r="F34" s="284"/>
      <c r="G34" s="284"/>
      <c r="H34" s="2"/>
    </row>
    <row r="35" ht="22.5" customHeight="1">
      <c r="A35" s="280"/>
      <c r="B35" s="388" t="s">
        <v>655</v>
      </c>
      <c r="C35" s="46"/>
      <c r="D35" s="283"/>
      <c r="E35" s="2"/>
      <c r="F35" s="289" t="s">
        <v>627</v>
      </c>
      <c r="G35" s="46"/>
      <c r="H35" s="2"/>
    </row>
    <row r="36" ht="28.5" customHeight="1">
      <c r="A36" s="280"/>
      <c r="B36" s="360" t="s">
        <v>74</v>
      </c>
      <c r="C36" s="405" t="str">
        <f>VLOOKUP($C$22,'IGCSE 2B'!A1:$AE$11,26,0)</f>
        <v/>
      </c>
      <c r="E36" s="280"/>
      <c r="F36" s="382" t="s">
        <v>628</v>
      </c>
      <c r="G36" s="361">
        <f>VLOOKUP($C$22,'IGCSE 2B'!$A$2:$X$11,24,0)</f>
        <v>50.75</v>
      </c>
      <c r="H36" s="283"/>
    </row>
    <row r="37" ht="26.25" customHeight="1">
      <c r="A37" s="280"/>
      <c r="B37" s="360" t="s">
        <v>75</v>
      </c>
      <c r="C37" s="405" t="str">
        <f>VLOOKUP($C$22,'IGCSE 2B'!A2:$AE$11,27,0)</f>
        <v/>
      </c>
      <c r="E37" s="280"/>
      <c r="F37" s="382" t="s">
        <v>629</v>
      </c>
      <c r="G37" s="411">
        <f>COUNTIF(F28:F33,"Pass")</f>
        <v>0</v>
      </c>
      <c r="H37" s="283"/>
    </row>
    <row r="38" ht="24.0" customHeight="1">
      <c r="A38" s="280"/>
      <c r="B38" s="360" t="s">
        <v>76</v>
      </c>
      <c r="C38" s="405" t="str">
        <f>VLOOKUP($C$22,'IGCSE 2B'!$A$1:$AE$11,28,0)</f>
        <v/>
      </c>
      <c r="E38" s="280"/>
      <c r="F38" s="382" t="s">
        <v>630</v>
      </c>
      <c r="G38" s="411">
        <f>COUNTIF(F28:F33,"Fail")-COUNTIF(D28:D33,"U")</f>
        <v>2</v>
      </c>
      <c r="H38" s="296"/>
    </row>
    <row r="39" ht="28.5" customHeight="1">
      <c r="A39" s="280"/>
      <c r="B39" s="360" t="s">
        <v>77</v>
      </c>
      <c r="C39" s="405" t="str">
        <f>VLOOKUP($C$22,'IGCSE 2B'!A2:$AE$11,29,0)</f>
        <v/>
      </c>
      <c r="E39" s="280"/>
      <c r="F39" s="382" t="s">
        <v>632</v>
      </c>
      <c r="G39" s="382">
        <f>COUNT('IGCSE 2B'!$A$2:$A$11)</f>
        <v>10</v>
      </c>
      <c r="H39" s="296"/>
    </row>
    <row r="40" ht="19.5" customHeight="1">
      <c r="A40" s="280"/>
      <c r="B40" s="363" t="s">
        <v>78</v>
      </c>
      <c r="C40" s="405" t="str">
        <f>VLOOKUP($C$22,'IGCSE 2B'!$A$1:$AE$11,30,0)</f>
        <v/>
      </c>
      <c r="E40" s="280"/>
      <c r="H40" s="296"/>
    </row>
    <row r="41" ht="8.25" customHeight="1">
      <c r="A41" s="2"/>
      <c r="B41" s="300"/>
      <c r="C41" s="284"/>
      <c r="D41" s="2"/>
      <c r="E41" s="2"/>
      <c r="F41" s="301" t="s">
        <v>633</v>
      </c>
      <c r="G41" s="284"/>
      <c r="H41" s="261"/>
    </row>
    <row r="42" ht="12.0" customHeight="1">
      <c r="A42" s="2"/>
      <c r="B42" s="261"/>
      <c r="C42" s="2"/>
      <c r="D42" s="2"/>
      <c r="E42" s="2"/>
      <c r="F42" s="2"/>
      <c r="G42" s="2"/>
      <c r="H42" s="261"/>
    </row>
    <row r="43" ht="12.0" customHeight="1">
      <c r="A43" s="2"/>
      <c r="B43" s="261"/>
      <c r="C43" s="2"/>
      <c r="D43" s="2"/>
      <c r="E43" s="2"/>
      <c r="F43" s="2"/>
      <c r="G43" s="2"/>
      <c r="H43" s="261"/>
    </row>
    <row r="44" ht="26.25" customHeight="1">
      <c r="A44" s="2"/>
      <c r="B44" s="406" t="s">
        <v>634</v>
      </c>
      <c r="C44" s="10"/>
      <c r="D44" s="2"/>
      <c r="E44" s="2"/>
      <c r="F44" s="2"/>
      <c r="G44" s="2"/>
      <c r="H44" s="261"/>
    </row>
    <row r="45" ht="14.25" customHeight="1">
      <c r="A45" s="2"/>
      <c r="B45" s="271"/>
      <c r="C45" s="273"/>
      <c r="D45" s="273"/>
      <c r="E45" s="273"/>
      <c r="F45" s="273"/>
      <c r="G45" s="273"/>
      <c r="H45" s="261"/>
    </row>
    <row r="46" ht="33.75" customHeight="1">
      <c r="A46" s="280"/>
      <c r="B46" s="407" t="str">
        <f>VLOOKUP($C$22,'IGCSE 2B'!$A$1:$AE$11,31,0)</f>
        <v/>
      </c>
      <c r="C46" s="304"/>
      <c r="D46" s="304"/>
      <c r="E46" s="304"/>
      <c r="F46" s="304"/>
      <c r="G46" s="305"/>
      <c r="H46" s="296"/>
    </row>
    <row r="47" ht="28.5" customHeight="1">
      <c r="A47" s="280"/>
      <c r="B47" s="306"/>
      <c r="G47" s="307"/>
      <c r="H47" s="296"/>
    </row>
    <row r="48" ht="23.25" customHeight="1">
      <c r="A48" s="280"/>
      <c r="B48" s="306"/>
      <c r="G48" s="307"/>
      <c r="H48" s="296"/>
    </row>
    <row r="49" ht="76.5" customHeight="1">
      <c r="A49" s="280"/>
      <c r="B49" s="308"/>
      <c r="C49" s="309"/>
      <c r="D49" s="309"/>
      <c r="E49" s="309"/>
      <c r="F49" s="309"/>
      <c r="G49" s="310"/>
      <c r="H49" s="283"/>
    </row>
    <row r="50" ht="12.0" customHeight="1">
      <c r="A50" s="2"/>
      <c r="B50" s="314"/>
      <c r="C50" s="286"/>
      <c r="D50" s="286"/>
      <c r="E50" s="284"/>
      <c r="F50" s="286"/>
      <c r="G50" s="286"/>
      <c r="H50" s="273"/>
    </row>
    <row r="51" ht="24.75" customHeight="1">
      <c r="A51" s="280"/>
      <c r="B51" s="317" t="s">
        <v>635</v>
      </c>
      <c r="C51" s="45"/>
      <c r="D51" s="46"/>
      <c r="E51" s="368"/>
      <c r="F51" s="319" t="s">
        <v>636</v>
      </c>
      <c r="G51" s="45"/>
      <c r="H51" s="46"/>
    </row>
    <row r="52" ht="22.5" customHeight="1">
      <c r="A52" s="280"/>
      <c r="B52" s="320" t="s">
        <v>637</v>
      </c>
      <c r="C52" s="320" t="s">
        <v>638</v>
      </c>
      <c r="D52" s="320" t="s">
        <v>639</v>
      </c>
      <c r="E52" s="368"/>
      <c r="F52" s="323" t="s">
        <v>637</v>
      </c>
      <c r="G52" s="324" t="s">
        <v>638</v>
      </c>
      <c r="H52" s="325"/>
    </row>
    <row r="53" ht="24.0" customHeight="1">
      <c r="A53" s="280"/>
      <c r="B53" s="371" t="s">
        <v>151</v>
      </c>
      <c r="C53" s="371" t="s">
        <v>86</v>
      </c>
      <c r="D53" s="371" t="s">
        <v>640</v>
      </c>
      <c r="E53" s="368"/>
      <c r="F53" s="327" t="s">
        <v>641</v>
      </c>
      <c r="G53" s="328" t="s">
        <v>86</v>
      </c>
      <c r="H53" s="325"/>
    </row>
    <row r="54" ht="21.0" customHeight="1">
      <c r="A54" s="280"/>
      <c r="B54" s="371" t="s">
        <v>150</v>
      </c>
      <c r="C54" s="371" t="s">
        <v>85</v>
      </c>
      <c r="D54" s="371" t="s">
        <v>640</v>
      </c>
      <c r="E54" s="368"/>
      <c r="F54" s="327" t="s">
        <v>149</v>
      </c>
      <c r="G54" s="328" t="s">
        <v>85</v>
      </c>
      <c r="H54" s="325"/>
    </row>
    <row r="55" ht="23.25" customHeight="1">
      <c r="A55" s="280"/>
      <c r="B55" s="371" t="s">
        <v>149</v>
      </c>
      <c r="C55" s="371" t="s">
        <v>87</v>
      </c>
      <c r="D55" s="371" t="s">
        <v>642</v>
      </c>
      <c r="E55" s="368"/>
      <c r="F55" s="327" t="s">
        <v>148</v>
      </c>
      <c r="G55" s="328" t="s">
        <v>87</v>
      </c>
      <c r="H55" s="325"/>
    </row>
    <row r="56" ht="22.5" customHeight="1">
      <c r="A56" s="280"/>
      <c r="B56" s="371" t="s">
        <v>148</v>
      </c>
      <c r="C56" s="371" t="s">
        <v>90</v>
      </c>
      <c r="D56" s="371" t="s">
        <v>643</v>
      </c>
      <c r="E56" s="368"/>
      <c r="F56" s="327" t="s">
        <v>147</v>
      </c>
      <c r="G56" s="328" t="s">
        <v>90</v>
      </c>
      <c r="H56" s="325"/>
    </row>
    <row r="57" ht="23.25" customHeight="1">
      <c r="A57" s="280"/>
      <c r="B57" s="371" t="s">
        <v>147</v>
      </c>
      <c r="C57" s="371" t="s">
        <v>93</v>
      </c>
      <c r="D57" s="371" t="s">
        <v>644</v>
      </c>
      <c r="E57" s="368"/>
      <c r="F57" s="386" t="s">
        <v>645</v>
      </c>
      <c r="G57" s="372" t="s">
        <v>93</v>
      </c>
      <c r="H57" s="343"/>
    </row>
    <row r="58" ht="21.75" customHeight="1">
      <c r="A58" s="280"/>
      <c r="B58" s="371" t="s">
        <v>145</v>
      </c>
      <c r="C58" s="371" t="s">
        <v>146</v>
      </c>
      <c r="D58" s="371" t="s">
        <v>644</v>
      </c>
      <c r="E58" s="368"/>
      <c r="F58" s="412"/>
      <c r="G58" s="412"/>
      <c r="H58" s="336"/>
    </row>
    <row r="59" ht="21.0" customHeight="1">
      <c r="A59" s="280"/>
      <c r="B59" s="371" t="s">
        <v>143</v>
      </c>
      <c r="C59" s="371" t="s">
        <v>144</v>
      </c>
      <c r="D59" s="371" t="s">
        <v>646</v>
      </c>
      <c r="E59" s="283"/>
      <c r="F59" s="286"/>
      <c r="G59" s="286"/>
      <c r="H59" s="284"/>
    </row>
    <row r="60" ht="21.75" customHeight="1">
      <c r="A60" s="280"/>
      <c r="B60" s="371" t="s">
        <v>141</v>
      </c>
      <c r="C60" s="371" t="s">
        <v>142</v>
      </c>
      <c r="D60" s="371" t="s">
        <v>646</v>
      </c>
      <c r="E60" s="368"/>
      <c r="F60" s="334" t="s">
        <v>647</v>
      </c>
      <c r="G60" s="334"/>
      <c r="H60" s="283"/>
    </row>
    <row r="61" ht="23.25" customHeight="1">
      <c r="A61" s="280"/>
      <c r="B61" s="371" t="s">
        <v>139</v>
      </c>
      <c r="C61" s="371" t="s">
        <v>140</v>
      </c>
      <c r="D61" s="371" t="s">
        <v>646</v>
      </c>
      <c r="E61" s="368"/>
      <c r="F61" s="334" t="s">
        <v>648</v>
      </c>
      <c r="G61" s="334"/>
      <c r="H61" s="283"/>
    </row>
    <row r="62" ht="12.0" customHeight="1">
      <c r="A62" s="280"/>
      <c r="B62" s="311"/>
      <c r="C62" s="313"/>
      <c r="D62" s="313"/>
      <c r="E62" s="283"/>
      <c r="F62" s="284"/>
      <c r="G62" s="284"/>
      <c r="H62" s="2"/>
    </row>
    <row r="63" ht="12.0" customHeight="1">
      <c r="B63" s="260"/>
    </row>
    <row r="64" ht="12.0" customHeight="1">
      <c r="B64" s="335" t="s">
        <v>669</v>
      </c>
      <c r="C64" s="336"/>
      <c r="D64" s="337"/>
      <c r="E64" s="374"/>
      <c r="F64" s="339"/>
      <c r="G64" s="340"/>
      <c r="H64" s="341"/>
    </row>
    <row r="65" ht="12.0" customHeight="1">
      <c r="B65" s="342"/>
      <c r="D65" s="343"/>
      <c r="F65" s="344"/>
      <c r="H65" s="343"/>
    </row>
    <row r="66" ht="12.0" customHeight="1">
      <c r="B66" s="345"/>
      <c r="C66" s="346"/>
      <c r="D66" s="325"/>
      <c r="E66" s="346"/>
      <c r="F66" s="347"/>
      <c r="G66" s="346"/>
      <c r="H66" s="325"/>
    </row>
    <row r="67" ht="27.0" customHeight="1">
      <c r="B67" s="348" t="s">
        <v>650</v>
      </c>
      <c r="C67" s="346"/>
      <c r="D67" s="325"/>
      <c r="E67" s="349" t="s">
        <v>651</v>
      </c>
      <c r="F67" s="325"/>
      <c r="G67" s="350" t="s">
        <v>652</v>
      </c>
      <c r="H67" s="325"/>
    </row>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c r="B94" s="260"/>
    </row>
    <row r="95" ht="12.0" customHeight="1">
      <c r="B95" s="260"/>
    </row>
    <row r="96" ht="12.0" customHeight="1">
      <c r="B96" s="260"/>
    </row>
    <row r="97" ht="12.0" customHeight="1">
      <c r="B97" s="260"/>
    </row>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sheetData>
  <mergeCells count="19">
    <mergeCell ref="B35:C35"/>
    <mergeCell ref="F35:G35"/>
    <mergeCell ref="B44:C44"/>
    <mergeCell ref="B46:G49"/>
    <mergeCell ref="B51:D51"/>
    <mergeCell ref="F51:H51"/>
    <mergeCell ref="G52:H52"/>
    <mergeCell ref="E64:F66"/>
    <mergeCell ref="G64:H66"/>
    <mergeCell ref="B67:D67"/>
    <mergeCell ref="E67:F67"/>
    <mergeCell ref="G67:H67"/>
    <mergeCell ref="G53:H53"/>
    <mergeCell ref="G54:H54"/>
    <mergeCell ref="G55:H55"/>
    <mergeCell ref="G56:H56"/>
    <mergeCell ref="G57:H57"/>
    <mergeCell ref="G58:H58"/>
    <mergeCell ref="B64:D66"/>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28.38"/>
    <col customWidth="1" min="4" max="4" width="15.63"/>
    <col customWidth="1" min="5" max="5" width="20.5"/>
    <col customWidth="1" min="6" max="6" width="15.88"/>
    <col customWidth="1" min="7" max="7" width="16.5"/>
    <col customWidth="1" min="8" max="8" width="0.75"/>
    <col customWidth="1" min="9" max="26" width="8.63"/>
  </cols>
  <sheetData>
    <row r="1" ht="12.0" customHeight="1">
      <c r="A1" s="113"/>
      <c r="B1" s="260"/>
      <c r="F1" s="413"/>
    </row>
    <row r="2" ht="12.0" customHeight="1">
      <c r="B2" s="260"/>
      <c r="F2" s="413"/>
    </row>
    <row r="3" ht="12.0" customHeight="1">
      <c r="A3" s="2"/>
      <c r="B3" s="261"/>
      <c r="C3" s="2"/>
      <c r="D3" s="2"/>
      <c r="E3" s="2"/>
      <c r="F3" s="414"/>
      <c r="G3" s="2"/>
      <c r="H3" s="2"/>
    </row>
    <row r="4" ht="12.0" customHeight="1">
      <c r="A4" s="2"/>
      <c r="B4" s="261"/>
      <c r="C4" s="2"/>
      <c r="D4" s="2"/>
      <c r="E4" s="2"/>
      <c r="F4" s="414"/>
      <c r="G4" s="2"/>
      <c r="H4" s="2"/>
    </row>
    <row r="5" ht="12.0" customHeight="1">
      <c r="A5" s="2"/>
      <c r="B5" s="261"/>
      <c r="C5" s="2"/>
      <c r="D5" s="2"/>
      <c r="E5" s="2"/>
      <c r="F5" s="414"/>
      <c r="G5" s="2"/>
      <c r="H5" s="2"/>
    </row>
    <row r="6" ht="12.0" customHeight="1">
      <c r="A6" s="2"/>
      <c r="B6" s="261"/>
      <c r="C6" s="2"/>
      <c r="D6" s="2"/>
      <c r="E6" s="2"/>
      <c r="F6" s="414"/>
      <c r="G6" s="2"/>
      <c r="H6" s="2"/>
    </row>
    <row r="7" ht="12.0" customHeight="1">
      <c r="A7" s="2"/>
      <c r="B7" s="261"/>
      <c r="C7" s="2"/>
      <c r="D7" s="2"/>
      <c r="E7" s="2"/>
      <c r="F7" s="414"/>
      <c r="G7" s="2"/>
      <c r="H7" s="2"/>
    </row>
    <row r="8" ht="12.0" customHeight="1">
      <c r="A8" s="2"/>
      <c r="B8" s="261"/>
      <c r="C8" s="2"/>
      <c r="D8" s="2"/>
      <c r="E8" s="2"/>
      <c r="F8" s="414"/>
      <c r="G8" s="2"/>
      <c r="H8" s="2"/>
    </row>
    <row r="9" ht="12.0" customHeight="1">
      <c r="A9" s="2"/>
      <c r="B9" s="261"/>
      <c r="C9" s="2"/>
      <c r="D9" s="2"/>
      <c r="E9" s="2"/>
      <c r="F9" s="414"/>
      <c r="G9" s="2"/>
      <c r="H9" s="2"/>
    </row>
    <row r="10" ht="12.0" customHeight="1">
      <c r="A10" s="2"/>
      <c r="B10" s="261"/>
      <c r="C10" s="2"/>
      <c r="D10" s="2"/>
      <c r="E10" s="2"/>
      <c r="F10" s="414"/>
      <c r="G10" s="2"/>
      <c r="H10" s="2"/>
    </row>
    <row r="11" ht="12.0" customHeight="1">
      <c r="A11" s="2"/>
      <c r="B11" s="261"/>
      <c r="C11" s="2"/>
      <c r="D11" s="2"/>
      <c r="E11" s="2"/>
      <c r="F11" s="414"/>
      <c r="G11" s="2"/>
      <c r="H11" s="2"/>
    </row>
    <row r="12" ht="12.0" customHeight="1">
      <c r="A12" s="2"/>
      <c r="B12" s="261"/>
      <c r="C12" s="2"/>
      <c r="D12" s="2"/>
      <c r="E12" s="2"/>
      <c r="F12" s="414"/>
      <c r="G12" s="2"/>
      <c r="H12" s="2"/>
    </row>
    <row r="13" ht="12.0" customHeight="1">
      <c r="A13" s="2"/>
      <c r="B13" s="261"/>
      <c r="C13" s="2"/>
      <c r="D13" s="2"/>
      <c r="E13" s="2"/>
      <c r="F13" s="414"/>
      <c r="G13" s="2"/>
      <c r="H13" s="2"/>
    </row>
    <row r="14" ht="12.0" customHeight="1">
      <c r="A14" s="2"/>
      <c r="B14" s="261"/>
      <c r="C14" s="2"/>
      <c r="D14" s="2"/>
      <c r="E14" s="2"/>
      <c r="F14" s="414"/>
      <c r="G14" s="2"/>
      <c r="H14" s="2"/>
    </row>
    <row r="15" ht="12.0" customHeight="1">
      <c r="A15" s="2"/>
      <c r="B15" s="261"/>
      <c r="C15" s="2"/>
      <c r="D15" s="2"/>
      <c r="E15" s="2"/>
      <c r="F15" s="414"/>
      <c r="G15" s="2"/>
      <c r="H15" s="2"/>
    </row>
    <row r="16" ht="12.0" customHeight="1">
      <c r="A16" s="2"/>
      <c r="B16" s="261"/>
      <c r="C16" s="2"/>
      <c r="D16" s="2"/>
      <c r="E16" s="2"/>
      <c r="F16" s="414"/>
      <c r="G16" s="2"/>
      <c r="H16" s="2"/>
    </row>
    <row r="17" ht="12.0" customHeight="1">
      <c r="A17" s="2"/>
      <c r="B17" s="261"/>
      <c r="C17" s="2"/>
      <c r="D17" s="2"/>
      <c r="E17" s="2"/>
      <c r="F17" s="414"/>
      <c r="G17" s="2"/>
      <c r="H17" s="2"/>
    </row>
    <row r="18" ht="12.0" customHeight="1">
      <c r="A18" s="2"/>
      <c r="B18" s="261"/>
      <c r="C18" s="2"/>
      <c r="D18" s="2"/>
      <c r="E18" s="2"/>
      <c r="F18" s="414"/>
      <c r="G18" s="2"/>
      <c r="H18" s="2"/>
    </row>
    <row r="19" ht="12.0" customHeight="1">
      <c r="A19" s="2"/>
      <c r="B19" s="261"/>
      <c r="C19" s="2"/>
      <c r="D19" s="2"/>
      <c r="E19" s="2"/>
      <c r="F19" s="414"/>
      <c r="G19" s="2"/>
      <c r="H19" s="2"/>
    </row>
    <row r="20" ht="9.0" customHeight="1">
      <c r="A20" s="2"/>
      <c r="B20" s="261"/>
      <c r="C20" s="2"/>
      <c r="D20" s="2"/>
      <c r="E20" s="2"/>
      <c r="F20" s="414"/>
      <c r="G20" s="2"/>
      <c r="H20" s="2"/>
    </row>
    <row r="21" ht="12.0" customHeight="1">
      <c r="A21" s="2"/>
      <c r="B21" s="2"/>
      <c r="C21" s="2"/>
      <c r="D21" s="2"/>
      <c r="E21" s="2"/>
      <c r="F21" s="414"/>
      <c r="G21" s="2"/>
      <c r="H21" s="2"/>
    </row>
    <row r="22" ht="21.0" customHeight="1">
      <c r="A22" s="2"/>
      <c r="B22" s="2" t="s">
        <v>618</v>
      </c>
      <c r="C22" s="401">
        <v>2.0</v>
      </c>
      <c r="D22" s="2"/>
      <c r="E22" s="414"/>
      <c r="F22" s="414"/>
      <c r="G22" s="2"/>
      <c r="H22" s="2"/>
    </row>
    <row r="23" ht="21.0" customHeight="1">
      <c r="A23" s="2"/>
      <c r="B23" s="260"/>
      <c r="D23" s="2"/>
      <c r="E23" s="2"/>
      <c r="F23" s="414"/>
      <c r="G23" s="2"/>
      <c r="H23" s="2"/>
    </row>
    <row r="24" ht="12.0" customHeight="1">
      <c r="A24" s="2"/>
      <c r="B24" s="260"/>
      <c r="D24" s="2"/>
      <c r="E24" s="2"/>
      <c r="F24" s="415"/>
      <c r="G24" s="273"/>
      <c r="H24" s="2"/>
    </row>
    <row r="25" ht="21.75" customHeight="1">
      <c r="A25" s="2"/>
      <c r="B25" s="375" t="s">
        <v>619</v>
      </c>
      <c r="C25" s="353" t="str">
        <f>VLOOKUP($C$22,'IGCSE 2C'!$A$2:$B$21,2,0)</f>
        <v>Ahmad Amin</v>
      </c>
      <c r="F25" s="416" t="s">
        <v>620</v>
      </c>
      <c r="G25" s="409" t="s">
        <v>54</v>
      </c>
      <c r="H25" s="283"/>
    </row>
    <row r="26" ht="12.0" customHeight="1">
      <c r="A26" s="2"/>
      <c r="B26" s="271"/>
      <c r="C26" s="273"/>
      <c r="D26" s="273"/>
      <c r="E26" s="273"/>
      <c r="F26" s="417"/>
      <c r="G26" s="286"/>
      <c r="H26" s="2"/>
    </row>
    <row r="27" ht="26.25" customHeight="1">
      <c r="A27" s="274"/>
      <c r="B27" s="275" t="s">
        <v>621</v>
      </c>
      <c r="C27" s="275" t="s">
        <v>661</v>
      </c>
      <c r="D27" s="275" t="s">
        <v>83</v>
      </c>
      <c r="E27" s="275" t="s">
        <v>662</v>
      </c>
      <c r="F27" s="275" t="s">
        <v>663</v>
      </c>
      <c r="G27" s="275" t="s">
        <v>664</v>
      </c>
      <c r="H27" s="278"/>
      <c r="I27" s="279"/>
      <c r="J27" s="279"/>
      <c r="K27" s="279"/>
      <c r="L27" s="279"/>
      <c r="M27" s="279"/>
      <c r="N27" s="279"/>
      <c r="O27" s="279"/>
      <c r="P27" s="279"/>
      <c r="Q27" s="279"/>
      <c r="R27" s="279"/>
      <c r="S27" s="279"/>
      <c r="T27" s="279"/>
      <c r="U27" s="279"/>
      <c r="V27" s="279"/>
      <c r="W27" s="279"/>
      <c r="X27" s="279"/>
      <c r="Y27" s="279"/>
      <c r="Z27" s="279"/>
    </row>
    <row r="28" ht="32.25" customHeight="1">
      <c r="A28" s="280"/>
      <c r="B28" s="390" t="s">
        <v>23</v>
      </c>
      <c r="C28" s="390">
        <f>VLOOKUP($C$22,'IGCSE 2C'!$A$2:$V$21,3,0)</f>
        <v>51</v>
      </c>
      <c r="D28" s="390" t="str">
        <f>VLOOKUP($C$22,'IGCSE 2C'!$A$2:$V$21,4,0)</f>
        <v>D</v>
      </c>
      <c r="E28" s="390" t="str">
        <f t="shared" ref="E28:E33" si="1">IF(C28&gt;80,"Very good",IF(C28&gt;49,"Good","Workhard"))</f>
        <v>Good</v>
      </c>
      <c r="F28" s="390" t="str">
        <f t="shared" ref="F28:F33" si="2">IF(C28&gt;49,"Pass","Fail")</f>
        <v>Pass</v>
      </c>
      <c r="G28" s="390">
        <f>RANK(C28,'IGCSE 2C'!$C$2:$C$21)</f>
        <v>13</v>
      </c>
      <c r="H28" s="283"/>
    </row>
    <row r="29" ht="28.5" customHeight="1">
      <c r="A29" s="280"/>
      <c r="B29" s="390" t="s">
        <v>24</v>
      </c>
      <c r="C29" s="390">
        <f>VLOOKUP($C$22,'IGCSE 2C'!$A$2:$V$21,5,0)</f>
        <v>62</v>
      </c>
      <c r="D29" s="390" t="str">
        <f>VLOOKUP($C$22,'IGCSE 2C'!$A$2:$V$21,6,0)</f>
        <v>C</v>
      </c>
      <c r="E29" s="390" t="str">
        <f t="shared" si="1"/>
        <v>Good</v>
      </c>
      <c r="F29" s="390" t="str">
        <f t="shared" si="2"/>
        <v>Pass</v>
      </c>
      <c r="G29" s="390">
        <f>RANK(C29,'IGCSE 2C'!$E$2:$E$21)</f>
        <v>5</v>
      </c>
      <c r="H29" s="283"/>
    </row>
    <row r="30" ht="33.0" customHeight="1">
      <c r="A30" s="280"/>
      <c r="B30" s="390" t="s">
        <v>44</v>
      </c>
      <c r="C30" s="390" t="str">
        <f>VLOOKUP($C$22,'IGCSE 2C'!$A$2:$V$21,7,0)</f>
        <v/>
      </c>
      <c r="D30" s="390" t="str">
        <f>VLOOKUP($C$22,'IGCSE 2C'!$A$2:$V$21,8,0)</f>
        <v>U</v>
      </c>
      <c r="E30" s="390" t="str">
        <f t="shared" si="1"/>
        <v>Workhard</v>
      </c>
      <c r="F30" s="390" t="str">
        <f t="shared" si="2"/>
        <v>Fail</v>
      </c>
      <c r="G30" s="390" t="str">
        <f>RANK(C30,'IGCSE 2C'!$G$2:$G$21)</f>
        <v>#N/A</v>
      </c>
      <c r="H30" s="283"/>
    </row>
    <row r="31" ht="28.5" customHeight="1">
      <c r="A31" s="280"/>
      <c r="B31" s="390" t="s">
        <v>45</v>
      </c>
      <c r="C31" s="390">
        <f>VLOOKUP($C$22,'IGCSE 2C'!$A$2:$V$21,9,0)</f>
        <v>54</v>
      </c>
      <c r="D31" s="390" t="str">
        <f>VLOOKUP($C$22,'IGCSE 2C'!$A$2:$V$21,10,0)</f>
        <v>D</v>
      </c>
      <c r="E31" s="390" t="str">
        <f t="shared" si="1"/>
        <v>Good</v>
      </c>
      <c r="F31" s="390" t="str">
        <f t="shared" si="2"/>
        <v>Pass</v>
      </c>
      <c r="G31" s="390">
        <f>RANK(C31,'IGCSE 2C'!$I$2:$I$21)</f>
        <v>3</v>
      </c>
      <c r="H31" s="283"/>
    </row>
    <row r="32" ht="35.25" customHeight="1">
      <c r="A32" s="280"/>
      <c r="B32" s="408" t="s">
        <v>46</v>
      </c>
      <c r="C32" s="390">
        <f>VLOOKUP($C$22,'IGCSE 2C'!$A$2:$V$11,11,0)</f>
        <v>54</v>
      </c>
      <c r="D32" s="390" t="str">
        <f>VLOOKUP($C$22,'IGCSE 2C'!$A$2:$V$11,12,0)</f>
        <v>D</v>
      </c>
      <c r="E32" s="390" t="str">
        <f t="shared" si="1"/>
        <v>Good</v>
      </c>
      <c r="F32" s="390" t="str">
        <f t="shared" si="2"/>
        <v>Pass</v>
      </c>
      <c r="G32" s="390">
        <f>RANK(C32,'IGCSE 2C'!$K$2:$K$10)</f>
        <v>2</v>
      </c>
      <c r="H32" s="283"/>
    </row>
    <row r="33" ht="35.25" customHeight="1">
      <c r="A33" s="280"/>
      <c r="B33" s="390" t="s">
        <v>32</v>
      </c>
      <c r="C33" s="390" t="str">
        <f>VLOOKUP($C$22,'IGCSE 2C'!$A$2:$V$21,21,0)</f>
        <v/>
      </c>
      <c r="D33" s="390" t="str">
        <f>VLOOKUP($C$22,'IGCSE 2C'!$A$2:$V$21,22,0)</f>
        <v>U</v>
      </c>
      <c r="E33" s="390" t="str">
        <f t="shared" si="1"/>
        <v>Workhard</v>
      </c>
      <c r="F33" s="390" t="str">
        <f t="shared" si="2"/>
        <v>Fail</v>
      </c>
      <c r="G33" s="390" t="str">
        <f>RANK(C33,'IGCSE 2C'!$U$2:$U$21)</f>
        <v>#N/A</v>
      </c>
      <c r="H33" s="283"/>
    </row>
    <row r="34" ht="21.75" customHeight="1">
      <c r="A34" s="2"/>
      <c r="B34" s="260"/>
      <c r="D34" s="284"/>
      <c r="E34" s="284"/>
      <c r="F34" s="418"/>
      <c r="G34" s="284"/>
      <c r="H34" s="2"/>
    </row>
    <row r="35" ht="22.5" customHeight="1">
      <c r="A35" s="280"/>
      <c r="B35" s="388" t="s">
        <v>655</v>
      </c>
      <c r="C35" s="46"/>
      <c r="D35" s="283"/>
      <c r="E35" s="2"/>
      <c r="F35" s="419" t="s">
        <v>627</v>
      </c>
      <c r="G35" s="46"/>
      <c r="H35" s="2"/>
    </row>
    <row r="36" ht="28.5" customHeight="1">
      <c r="A36" s="280"/>
      <c r="B36" s="360" t="s">
        <v>74</v>
      </c>
      <c r="C36" s="405" t="str">
        <f>VLOOKUP($C$22,'IGCSE 2C'!A1:$AE$21,26,0)</f>
        <v>A</v>
      </c>
      <c r="E36" s="280"/>
      <c r="F36" s="382" t="s">
        <v>628</v>
      </c>
      <c r="G36" s="361">
        <f>VLOOKUP($C$22,'IGCSE 2C'!$A$2:$X$21,24,0)</f>
        <v>52.33333333</v>
      </c>
      <c r="H36" s="283"/>
    </row>
    <row r="37" ht="26.25" customHeight="1">
      <c r="A37" s="280"/>
      <c r="B37" s="360" t="s">
        <v>75</v>
      </c>
      <c r="C37" s="405" t="str">
        <f>VLOOKUP($C$22,'IGCSE 2C'!A2:$AE$21,27,0)</f>
        <v>A</v>
      </c>
      <c r="E37" s="280"/>
      <c r="F37" s="382" t="s">
        <v>629</v>
      </c>
      <c r="G37" s="411">
        <f>COUNTIF(F28:F33,"Pass")</f>
        <v>4</v>
      </c>
      <c r="H37" s="283"/>
    </row>
    <row r="38" ht="24.0" customHeight="1">
      <c r="A38" s="280"/>
      <c r="B38" s="360" t="s">
        <v>76</v>
      </c>
      <c r="C38" s="405" t="str">
        <f>VLOOKUP($C$22,'IGCSE 2C'!$A$1:$AE$21,28,0)</f>
        <v>B</v>
      </c>
      <c r="E38" s="280"/>
      <c r="F38" s="382" t="s">
        <v>630</v>
      </c>
      <c r="G38" s="411">
        <f>COUNTIF(F28:F33,"Fail")-COUNTIF(D28:D33,"U")</f>
        <v>0</v>
      </c>
      <c r="H38" s="296"/>
    </row>
    <row r="39" ht="28.5" customHeight="1">
      <c r="A39" s="280"/>
      <c r="B39" s="360" t="s">
        <v>77</v>
      </c>
      <c r="C39" s="405" t="str">
        <f>VLOOKUP($C$22,'IGCSE 2C'!A2:$AE$21,29,0)</f>
        <v>A</v>
      </c>
      <c r="E39" s="280"/>
      <c r="F39" s="382" t="s">
        <v>632</v>
      </c>
      <c r="G39" s="382">
        <f>COUNT('IGCSE 2C'!$A$2:$A$21)</f>
        <v>20</v>
      </c>
      <c r="H39" s="296"/>
    </row>
    <row r="40" ht="19.5" customHeight="1">
      <c r="A40" s="280"/>
      <c r="B40" s="363" t="s">
        <v>78</v>
      </c>
      <c r="C40" s="405" t="str">
        <f>VLOOKUP($C$22,'IGCSE 2C'!$A$1:$AE$21,30,0)</f>
        <v>B</v>
      </c>
      <c r="E40" s="280"/>
      <c r="F40" s="413"/>
      <c r="H40" s="296"/>
    </row>
    <row r="41" ht="8.25" customHeight="1">
      <c r="A41" s="2"/>
      <c r="B41" s="300"/>
      <c r="C41" s="284"/>
      <c r="D41" s="2"/>
      <c r="E41" s="2"/>
      <c r="F41" s="420" t="s">
        <v>633</v>
      </c>
      <c r="G41" s="284"/>
      <c r="H41" s="261"/>
    </row>
    <row r="42" ht="12.0" customHeight="1">
      <c r="A42" s="2"/>
      <c r="B42" s="261"/>
      <c r="C42" s="2"/>
      <c r="D42" s="2"/>
      <c r="E42" s="2"/>
      <c r="F42" s="414"/>
      <c r="G42" s="2"/>
      <c r="H42" s="261"/>
    </row>
    <row r="43" ht="12.0" customHeight="1">
      <c r="A43" s="2"/>
      <c r="B43" s="261"/>
      <c r="C43" s="2"/>
      <c r="D43" s="2"/>
      <c r="E43" s="2"/>
      <c r="F43" s="414"/>
      <c r="G43" s="2"/>
      <c r="H43" s="261"/>
    </row>
    <row r="44" ht="26.25" customHeight="1">
      <c r="A44" s="2"/>
      <c r="B44" s="406" t="s">
        <v>634</v>
      </c>
      <c r="C44" s="10"/>
      <c r="D44" s="2"/>
      <c r="E44" s="2"/>
      <c r="F44" s="414"/>
      <c r="G44" s="2"/>
      <c r="H44" s="261"/>
    </row>
    <row r="45" ht="14.25" customHeight="1">
      <c r="A45" s="2"/>
      <c r="B45" s="271"/>
      <c r="C45" s="273"/>
      <c r="D45" s="273"/>
      <c r="E45" s="273"/>
      <c r="F45" s="415"/>
      <c r="G45" s="273"/>
      <c r="H45" s="261"/>
    </row>
    <row r="46" ht="33.75" customHeight="1">
      <c r="A46" s="280"/>
      <c r="B46" s="407" t="str">
        <f>VLOOKUP($C$22,'IGCSE 2C'!$A$1:$AE$21,31,0)</f>
        <v>Ahmad has the potential to do considerably better than his current performance suggests. His results reflect periods of effort mixed with inconsistency, which affects his overall progress. A more disciplined approach to classwork and regular revision will help him achieve stronger outcomes. His participation in ISAZ sports demonstrates commitment outside the classroom and this same energy applied academically would lead to significant improvement. With focus and determination, Ahmad can work towards fulfilling his true potential.</v>
      </c>
      <c r="C46" s="304"/>
      <c r="D46" s="304"/>
      <c r="E46" s="304"/>
      <c r="F46" s="304"/>
      <c r="G46" s="305"/>
      <c r="H46" s="296"/>
    </row>
    <row r="47" ht="28.5" customHeight="1">
      <c r="A47" s="280"/>
      <c r="B47" s="306"/>
      <c r="G47" s="307"/>
      <c r="H47" s="296"/>
    </row>
    <row r="48" ht="23.25" customHeight="1">
      <c r="A48" s="280"/>
      <c r="B48" s="306"/>
      <c r="G48" s="307"/>
      <c r="H48" s="296"/>
    </row>
    <row r="49" ht="76.5" customHeight="1">
      <c r="A49" s="280"/>
      <c r="B49" s="308"/>
      <c r="C49" s="309"/>
      <c r="D49" s="309"/>
      <c r="E49" s="309"/>
      <c r="F49" s="309"/>
      <c r="G49" s="310"/>
      <c r="H49" s="283"/>
    </row>
    <row r="50" ht="12.0" customHeight="1">
      <c r="A50" s="2"/>
      <c r="B50" s="314"/>
      <c r="C50" s="286"/>
      <c r="D50" s="286"/>
      <c r="E50" s="284"/>
      <c r="F50" s="417"/>
      <c r="G50" s="286"/>
      <c r="H50" s="273"/>
    </row>
    <row r="51" ht="24.75" customHeight="1">
      <c r="A51" s="280"/>
      <c r="B51" s="317" t="s">
        <v>635</v>
      </c>
      <c r="C51" s="45"/>
      <c r="D51" s="46"/>
      <c r="E51" s="368"/>
      <c r="F51" s="319" t="s">
        <v>636</v>
      </c>
      <c r="G51" s="45"/>
      <c r="H51" s="46"/>
    </row>
    <row r="52" ht="22.5" customHeight="1">
      <c r="A52" s="280"/>
      <c r="B52" s="320" t="s">
        <v>637</v>
      </c>
      <c r="C52" s="320" t="s">
        <v>638</v>
      </c>
      <c r="D52" s="320" t="s">
        <v>639</v>
      </c>
      <c r="E52" s="368"/>
      <c r="F52" s="323" t="s">
        <v>637</v>
      </c>
      <c r="G52" s="324" t="s">
        <v>638</v>
      </c>
      <c r="H52" s="325"/>
    </row>
    <row r="53" ht="24.0" customHeight="1">
      <c r="A53" s="280"/>
      <c r="B53" s="371" t="s">
        <v>151</v>
      </c>
      <c r="C53" s="371" t="s">
        <v>86</v>
      </c>
      <c r="D53" s="371" t="s">
        <v>640</v>
      </c>
      <c r="E53" s="368"/>
      <c r="F53" s="327" t="s">
        <v>641</v>
      </c>
      <c r="G53" s="328" t="s">
        <v>86</v>
      </c>
      <c r="H53" s="325"/>
    </row>
    <row r="54" ht="21.0" customHeight="1">
      <c r="A54" s="280"/>
      <c r="B54" s="371" t="s">
        <v>150</v>
      </c>
      <c r="C54" s="371" t="s">
        <v>85</v>
      </c>
      <c r="D54" s="371" t="s">
        <v>640</v>
      </c>
      <c r="E54" s="368"/>
      <c r="F54" s="327" t="s">
        <v>149</v>
      </c>
      <c r="G54" s="328" t="s">
        <v>85</v>
      </c>
      <c r="H54" s="325"/>
    </row>
    <row r="55" ht="23.25" customHeight="1">
      <c r="A55" s="280"/>
      <c r="B55" s="371" t="s">
        <v>149</v>
      </c>
      <c r="C55" s="371" t="s">
        <v>87</v>
      </c>
      <c r="D55" s="371" t="s">
        <v>642</v>
      </c>
      <c r="E55" s="368"/>
      <c r="F55" s="327" t="s">
        <v>148</v>
      </c>
      <c r="G55" s="328" t="s">
        <v>87</v>
      </c>
      <c r="H55" s="325"/>
    </row>
    <row r="56" ht="22.5" customHeight="1">
      <c r="A56" s="280"/>
      <c r="B56" s="371" t="s">
        <v>148</v>
      </c>
      <c r="C56" s="371" t="s">
        <v>90</v>
      </c>
      <c r="D56" s="371" t="s">
        <v>643</v>
      </c>
      <c r="E56" s="368"/>
      <c r="F56" s="327" t="s">
        <v>147</v>
      </c>
      <c r="G56" s="328" t="s">
        <v>90</v>
      </c>
      <c r="H56" s="325"/>
    </row>
    <row r="57" ht="23.25" customHeight="1">
      <c r="A57" s="280"/>
      <c r="B57" s="371" t="s">
        <v>147</v>
      </c>
      <c r="C57" s="371" t="s">
        <v>93</v>
      </c>
      <c r="D57" s="371" t="s">
        <v>644</v>
      </c>
      <c r="E57" s="368"/>
      <c r="F57" s="386" t="s">
        <v>645</v>
      </c>
      <c r="G57" s="372" t="s">
        <v>93</v>
      </c>
      <c r="H57" s="343"/>
    </row>
    <row r="58" ht="21.75" customHeight="1">
      <c r="A58" s="280"/>
      <c r="B58" s="371" t="s">
        <v>145</v>
      </c>
      <c r="C58" s="371" t="s">
        <v>146</v>
      </c>
      <c r="D58" s="371" t="s">
        <v>644</v>
      </c>
      <c r="E58" s="368"/>
      <c r="F58" s="372"/>
      <c r="G58" s="372"/>
    </row>
    <row r="59" ht="21.0" customHeight="1">
      <c r="A59" s="280"/>
      <c r="B59" s="371" t="s">
        <v>143</v>
      </c>
      <c r="C59" s="371" t="s">
        <v>144</v>
      </c>
      <c r="D59" s="371" t="s">
        <v>646</v>
      </c>
      <c r="E59" s="283"/>
      <c r="F59" s="417"/>
      <c r="G59" s="286"/>
      <c r="H59" s="284"/>
    </row>
    <row r="60" ht="21.75" customHeight="1">
      <c r="A60" s="280"/>
      <c r="B60" s="371" t="s">
        <v>141</v>
      </c>
      <c r="C60" s="371" t="s">
        <v>142</v>
      </c>
      <c r="D60" s="371" t="s">
        <v>646</v>
      </c>
      <c r="E60" s="368"/>
      <c r="F60" s="421" t="s">
        <v>647</v>
      </c>
      <c r="G60" s="334"/>
      <c r="H60" s="283"/>
    </row>
    <row r="61" ht="23.25" customHeight="1">
      <c r="A61" s="280"/>
      <c r="B61" s="371" t="s">
        <v>139</v>
      </c>
      <c r="C61" s="371" t="s">
        <v>140</v>
      </c>
      <c r="D61" s="371" t="s">
        <v>646</v>
      </c>
      <c r="E61" s="368"/>
      <c r="F61" s="421" t="s">
        <v>648</v>
      </c>
      <c r="G61" s="334"/>
      <c r="H61" s="283"/>
    </row>
    <row r="62" ht="12.0" customHeight="1">
      <c r="A62" s="280"/>
      <c r="B62" s="311"/>
      <c r="C62" s="313"/>
      <c r="D62" s="313"/>
      <c r="E62" s="283"/>
      <c r="F62" s="418"/>
      <c r="G62" s="284"/>
      <c r="H62" s="2"/>
    </row>
    <row r="63" ht="12.0" customHeight="1">
      <c r="B63" s="260"/>
      <c r="F63" s="413"/>
    </row>
    <row r="64" ht="12.0" customHeight="1">
      <c r="B64" s="335" t="s">
        <v>670</v>
      </c>
      <c r="C64" s="336"/>
      <c r="D64" s="337"/>
      <c r="E64" s="374"/>
      <c r="F64" s="339"/>
      <c r="G64" s="340"/>
      <c r="H64" s="341"/>
    </row>
    <row r="65" ht="12.0" customHeight="1">
      <c r="B65" s="342"/>
      <c r="D65" s="343"/>
      <c r="F65" s="344"/>
      <c r="H65" s="343"/>
    </row>
    <row r="66" ht="12.0" customHeight="1">
      <c r="B66" s="345"/>
      <c r="C66" s="346"/>
      <c r="D66" s="325"/>
      <c r="E66" s="346"/>
      <c r="F66" s="347"/>
      <c r="G66" s="346"/>
      <c r="H66" s="325"/>
    </row>
    <row r="67" ht="12.0" customHeight="1">
      <c r="B67" s="348" t="s">
        <v>650</v>
      </c>
      <c r="C67" s="346"/>
      <c r="D67" s="325"/>
      <c r="E67" s="349" t="s">
        <v>651</v>
      </c>
      <c r="F67" s="325"/>
      <c r="G67" s="350" t="s">
        <v>652</v>
      </c>
      <c r="H67" s="325"/>
    </row>
    <row r="68" ht="12.0" customHeight="1">
      <c r="F68" s="413"/>
    </row>
    <row r="69" ht="12.0" customHeight="1">
      <c r="F69" s="413"/>
    </row>
    <row r="70" ht="12.0" customHeight="1">
      <c r="F70" s="413"/>
    </row>
    <row r="71" ht="12.0" customHeight="1">
      <c r="F71" s="413"/>
    </row>
    <row r="72" ht="12.0" customHeight="1">
      <c r="F72" s="413"/>
    </row>
    <row r="73" ht="12.0" customHeight="1">
      <c r="F73" s="413"/>
    </row>
    <row r="74" ht="12.0" customHeight="1">
      <c r="F74" s="413"/>
    </row>
    <row r="75" ht="12.0" customHeight="1">
      <c r="F75" s="413"/>
    </row>
    <row r="76" ht="12.0" customHeight="1">
      <c r="F76" s="413"/>
    </row>
    <row r="77" ht="12.0" customHeight="1">
      <c r="F77" s="413"/>
    </row>
    <row r="78" ht="12.0" customHeight="1">
      <c r="F78" s="413"/>
    </row>
    <row r="79" ht="12.0" customHeight="1">
      <c r="F79" s="413"/>
    </row>
    <row r="80" ht="12.0" customHeight="1">
      <c r="F80" s="413"/>
    </row>
    <row r="81" ht="12.0" customHeight="1">
      <c r="F81" s="413"/>
    </row>
    <row r="82" ht="12.0" customHeight="1">
      <c r="F82" s="413"/>
    </row>
    <row r="83" ht="12.0" customHeight="1">
      <c r="F83" s="413"/>
    </row>
    <row r="84" ht="12.0" customHeight="1">
      <c r="F84" s="413"/>
    </row>
    <row r="85" ht="12.0" customHeight="1">
      <c r="F85" s="413"/>
    </row>
    <row r="86" ht="12.0" customHeight="1">
      <c r="F86" s="413"/>
    </row>
    <row r="87" ht="12.0" customHeight="1">
      <c r="F87" s="413"/>
    </row>
    <row r="88" ht="12.0" customHeight="1">
      <c r="F88" s="413"/>
    </row>
    <row r="89" ht="12.0" customHeight="1">
      <c r="F89" s="413"/>
    </row>
    <row r="90" ht="12.0" customHeight="1">
      <c r="F90" s="413"/>
    </row>
    <row r="91" ht="12.0" customHeight="1">
      <c r="F91" s="413"/>
    </row>
    <row r="92" ht="12.0" customHeight="1">
      <c r="F92" s="413"/>
    </row>
    <row r="93" ht="12.0" customHeight="1">
      <c r="F93" s="413"/>
    </row>
    <row r="94" ht="12.0" customHeight="1">
      <c r="B94" s="260"/>
      <c r="F94" s="413"/>
    </row>
    <row r="95" ht="12.0" customHeight="1">
      <c r="B95" s="260"/>
      <c r="F95" s="413"/>
    </row>
    <row r="96" ht="12.0" customHeight="1">
      <c r="B96" s="260"/>
      <c r="F96" s="413"/>
    </row>
    <row r="97" ht="12.0" customHeight="1">
      <c r="B97" s="260"/>
      <c r="F97" s="413"/>
    </row>
    <row r="98" ht="12.0" customHeight="1">
      <c r="B98" s="260"/>
      <c r="F98" s="413"/>
    </row>
    <row r="99" ht="12.0" customHeight="1">
      <c r="B99" s="260"/>
      <c r="F99" s="413"/>
    </row>
    <row r="100" ht="12.0" customHeight="1">
      <c r="B100" s="260"/>
      <c r="F100" s="413"/>
    </row>
    <row r="101" ht="12.0" customHeight="1">
      <c r="B101" s="260"/>
      <c r="F101" s="413"/>
    </row>
    <row r="102" ht="12.0" customHeight="1">
      <c r="B102" s="260"/>
      <c r="F102" s="413"/>
    </row>
    <row r="103" ht="12.0" customHeight="1">
      <c r="B103" s="260"/>
      <c r="F103" s="413"/>
    </row>
    <row r="104" ht="12.0" customHeight="1">
      <c r="B104" s="260"/>
      <c r="F104" s="413"/>
    </row>
    <row r="105" ht="12.0" customHeight="1">
      <c r="B105" s="260"/>
      <c r="F105" s="413"/>
    </row>
    <row r="106" ht="12.0" customHeight="1">
      <c r="B106" s="260"/>
      <c r="F106" s="413"/>
    </row>
    <row r="107" ht="12.0" customHeight="1">
      <c r="B107" s="260"/>
      <c r="F107" s="413"/>
    </row>
    <row r="108" ht="12.0" customHeight="1">
      <c r="B108" s="260"/>
      <c r="F108" s="413"/>
    </row>
    <row r="109" ht="12.0" customHeight="1">
      <c r="B109" s="260"/>
      <c r="F109" s="413"/>
    </row>
    <row r="110" ht="12.0" customHeight="1">
      <c r="B110" s="260"/>
      <c r="F110" s="413"/>
    </row>
    <row r="111" ht="12.0" customHeight="1">
      <c r="B111" s="260"/>
      <c r="F111" s="413"/>
    </row>
    <row r="112" ht="12.0" customHeight="1">
      <c r="B112" s="260"/>
      <c r="F112" s="413"/>
    </row>
    <row r="113" ht="12.0" customHeight="1">
      <c r="B113" s="260"/>
      <c r="F113" s="413"/>
    </row>
    <row r="114" ht="12.0" customHeight="1">
      <c r="B114" s="260"/>
      <c r="F114" s="413"/>
    </row>
    <row r="115" ht="12.0" customHeight="1">
      <c r="B115" s="260"/>
      <c r="F115" s="413"/>
    </row>
    <row r="116" ht="12.0" customHeight="1">
      <c r="B116" s="260"/>
      <c r="F116" s="413"/>
    </row>
    <row r="117" ht="12.0" customHeight="1">
      <c r="B117" s="260"/>
      <c r="F117" s="413"/>
    </row>
    <row r="118" ht="12.0" customHeight="1">
      <c r="B118" s="260"/>
      <c r="F118" s="413"/>
    </row>
    <row r="119" ht="12.0" customHeight="1">
      <c r="B119" s="260"/>
      <c r="F119" s="413"/>
    </row>
    <row r="120" ht="12.0" customHeight="1">
      <c r="B120" s="260"/>
      <c r="F120" s="413"/>
    </row>
    <row r="121" ht="12.0" customHeight="1">
      <c r="B121" s="260"/>
      <c r="F121" s="413"/>
    </row>
    <row r="122" ht="12.0" customHeight="1">
      <c r="B122" s="260"/>
      <c r="F122" s="413"/>
    </row>
    <row r="123" ht="12.0" customHeight="1">
      <c r="B123" s="260"/>
      <c r="F123" s="413"/>
    </row>
    <row r="124" ht="12.0" customHeight="1">
      <c r="B124" s="260"/>
      <c r="F124" s="413"/>
    </row>
    <row r="125" ht="12.0" customHeight="1">
      <c r="B125" s="260"/>
      <c r="F125" s="413"/>
    </row>
    <row r="126" ht="12.0" customHeight="1">
      <c r="B126" s="260"/>
      <c r="F126" s="413"/>
    </row>
    <row r="127" ht="12.0" customHeight="1">
      <c r="B127" s="260"/>
      <c r="F127" s="413"/>
    </row>
    <row r="128" ht="12.0" customHeight="1">
      <c r="B128" s="260"/>
      <c r="F128" s="413"/>
    </row>
    <row r="129" ht="12.0" customHeight="1">
      <c r="B129" s="260"/>
      <c r="F129" s="413"/>
    </row>
    <row r="130" ht="12.0" customHeight="1">
      <c r="B130" s="260"/>
      <c r="F130" s="413"/>
    </row>
    <row r="131" ht="12.0" customHeight="1">
      <c r="B131" s="260"/>
      <c r="F131" s="413"/>
    </row>
    <row r="132" ht="12.0" customHeight="1">
      <c r="B132" s="260"/>
      <c r="F132" s="413"/>
    </row>
    <row r="133" ht="12.0" customHeight="1">
      <c r="B133" s="260"/>
      <c r="F133" s="413"/>
    </row>
    <row r="134" ht="12.0" customHeight="1">
      <c r="B134" s="260"/>
      <c r="F134" s="413"/>
    </row>
    <row r="135" ht="12.0" customHeight="1">
      <c r="B135" s="260"/>
      <c r="F135" s="413"/>
    </row>
    <row r="136" ht="12.0" customHeight="1">
      <c r="B136" s="260"/>
      <c r="F136" s="413"/>
    </row>
    <row r="137" ht="12.0" customHeight="1">
      <c r="B137" s="260"/>
      <c r="F137" s="413"/>
    </row>
    <row r="138" ht="12.0" customHeight="1">
      <c r="B138" s="260"/>
      <c r="F138" s="413"/>
    </row>
    <row r="139" ht="12.0" customHeight="1">
      <c r="B139" s="260"/>
      <c r="F139" s="413"/>
    </row>
    <row r="140" ht="12.0" customHeight="1">
      <c r="B140" s="260"/>
      <c r="F140" s="413"/>
    </row>
    <row r="141" ht="12.0" customHeight="1">
      <c r="B141" s="260"/>
      <c r="F141" s="413"/>
    </row>
    <row r="142" ht="12.0" customHeight="1">
      <c r="B142" s="260"/>
      <c r="F142" s="413"/>
    </row>
    <row r="143" ht="12.0" customHeight="1">
      <c r="B143" s="260"/>
      <c r="F143" s="413"/>
    </row>
    <row r="144" ht="12.0" customHeight="1">
      <c r="B144" s="260"/>
      <c r="F144" s="413"/>
    </row>
    <row r="145" ht="12.0" customHeight="1">
      <c r="B145" s="260"/>
      <c r="F145" s="413"/>
    </row>
    <row r="146" ht="12.0" customHeight="1">
      <c r="B146" s="260"/>
      <c r="F146" s="413"/>
    </row>
    <row r="147" ht="12.0" customHeight="1">
      <c r="B147" s="260"/>
      <c r="F147" s="413"/>
    </row>
    <row r="148" ht="12.0" customHeight="1">
      <c r="B148" s="260"/>
      <c r="F148" s="413"/>
    </row>
    <row r="149" ht="12.0" customHeight="1">
      <c r="B149" s="260"/>
      <c r="F149" s="413"/>
    </row>
    <row r="150" ht="12.0" customHeight="1">
      <c r="B150" s="260"/>
      <c r="F150" s="413"/>
    </row>
    <row r="151" ht="12.0" customHeight="1">
      <c r="B151" s="260"/>
      <c r="F151" s="413"/>
    </row>
    <row r="152" ht="12.0" customHeight="1">
      <c r="B152" s="260"/>
      <c r="F152" s="413"/>
    </row>
    <row r="153" ht="12.0" customHeight="1">
      <c r="B153" s="260"/>
      <c r="F153" s="413"/>
    </row>
    <row r="154" ht="12.0" customHeight="1">
      <c r="B154" s="260"/>
      <c r="F154" s="413"/>
    </row>
    <row r="155" ht="12.0" customHeight="1">
      <c r="B155" s="260"/>
      <c r="F155" s="413"/>
    </row>
    <row r="156" ht="12.0" customHeight="1">
      <c r="B156" s="260"/>
      <c r="F156" s="413"/>
    </row>
    <row r="157" ht="12.0" customHeight="1">
      <c r="B157" s="260"/>
      <c r="F157" s="413"/>
    </row>
    <row r="158" ht="12.0" customHeight="1">
      <c r="B158" s="260"/>
      <c r="F158" s="413"/>
    </row>
    <row r="159" ht="12.0" customHeight="1">
      <c r="B159" s="260"/>
      <c r="F159" s="413"/>
    </row>
    <row r="160" ht="12.0" customHeight="1">
      <c r="B160" s="260"/>
      <c r="F160" s="413"/>
    </row>
    <row r="161" ht="12.0" customHeight="1">
      <c r="B161" s="260"/>
      <c r="F161" s="413"/>
    </row>
    <row r="162" ht="12.0" customHeight="1">
      <c r="B162" s="260"/>
      <c r="F162" s="413"/>
    </row>
    <row r="163" ht="12.0" customHeight="1">
      <c r="B163" s="260"/>
      <c r="F163" s="413"/>
    </row>
    <row r="164" ht="12.0" customHeight="1">
      <c r="B164" s="260"/>
      <c r="F164" s="413"/>
    </row>
    <row r="165" ht="12.0" customHeight="1">
      <c r="B165" s="260"/>
      <c r="F165" s="413"/>
    </row>
    <row r="166" ht="12.0" customHeight="1">
      <c r="B166" s="260"/>
      <c r="F166" s="413"/>
    </row>
    <row r="167" ht="12.0" customHeight="1">
      <c r="B167" s="260"/>
      <c r="F167" s="413"/>
    </row>
    <row r="168" ht="12.0" customHeight="1">
      <c r="B168" s="260"/>
      <c r="F168" s="413"/>
    </row>
    <row r="169" ht="12.0" customHeight="1">
      <c r="B169" s="260"/>
      <c r="F169" s="413"/>
    </row>
    <row r="170" ht="12.0" customHeight="1">
      <c r="B170" s="260"/>
      <c r="F170" s="413"/>
    </row>
    <row r="171" ht="12.0" customHeight="1">
      <c r="B171" s="260"/>
      <c r="F171" s="413"/>
    </row>
    <row r="172" ht="12.0" customHeight="1">
      <c r="B172" s="260"/>
      <c r="F172" s="413"/>
    </row>
    <row r="173" ht="12.0" customHeight="1">
      <c r="B173" s="260"/>
      <c r="F173" s="413"/>
    </row>
    <row r="174" ht="12.0" customHeight="1">
      <c r="B174" s="260"/>
      <c r="F174" s="413"/>
    </row>
    <row r="175" ht="12.0" customHeight="1">
      <c r="B175" s="260"/>
      <c r="F175" s="413"/>
    </row>
    <row r="176" ht="12.0" customHeight="1">
      <c r="B176" s="260"/>
      <c r="F176" s="413"/>
    </row>
    <row r="177" ht="12.0" customHeight="1">
      <c r="B177" s="260"/>
      <c r="F177" s="413"/>
    </row>
    <row r="178" ht="12.0" customHeight="1">
      <c r="B178" s="260"/>
      <c r="F178" s="413"/>
    </row>
    <row r="179" ht="12.0" customHeight="1">
      <c r="B179" s="260"/>
      <c r="F179" s="413"/>
    </row>
    <row r="180" ht="12.0" customHeight="1">
      <c r="B180" s="260"/>
      <c r="F180" s="413"/>
    </row>
    <row r="181" ht="12.0" customHeight="1">
      <c r="B181" s="260"/>
      <c r="F181" s="413"/>
    </row>
    <row r="182" ht="12.0" customHeight="1">
      <c r="B182" s="260"/>
      <c r="F182" s="413"/>
    </row>
    <row r="183" ht="12.0" customHeight="1">
      <c r="B183" s="260"/>
      <c r="F183" s="413"/>
    </row>
    <row r="184" ht="12.0" customHeight="1">
      <c r="B184" s="260"/>
      <c r="F184" s="413"/>
    </row>
    <row r="185" ht="12.0" customHeight="1">
      <c r="B185" s="260"/>
      <c r="F185" s="413"/>
    </row>
    <row r="186" ht="12.0" customHeight="1">
      <c r="B186" s="260"/>
      <c r="F186" s="413"/>
    </row>
    <row r="187" ht="12.0" customHeight="1">
      <c r="B187" s="260"/>
      <c r="F187" s="413"/>
    </row>
    <row r="188" ht="12.0" customHeight="1">
      <c r="B188" s="260"/>
      <c r="F188" s="413"/>
    </row>
    <row r="189" ht="12.0" customHeight="1">
      <c r="B189" s="260"/>
      <c r="F189" s="413"/>
    </row>
    <row r="190" ht="12.0" customHeight="1">
      <c r="B190" s="260"/>
      <c r="F190" s="413"/>
    </row>
    <row r="191" ht="12.0" customHeight="1">
      <c r="B191" s="260"/>
      <c r="F191" s="413"/>
    </row>
    <row r="192" ht="12.0" customHeight="1">
      <c r="B192" s="260"/>
      <c r="F192" s="413"/>
    </row>
    <row r="193" ht="12.0" customHeight="1">
      <c r="B193" s="260"/>
      <c r="F193" s="413"/>
    </row>
    <row r="194" ht="12.0" customHeight="1">
      <c r="B194" s="260"/>
      <c r="F194" s="413"/>
    </row>
    <row r="195" ht="12.0" customHeight="1">
      <c r="B195" s="260"/>
      <c r="F195" s="413"/>
    </row>
    <row r="196" ht="12.0" customHeight="1">
      <c r="B196" s="260"/>
      <c r="F196" s="413"/>
    </row>
    <row r="197" ht="12.0" customHeight="1">
      <c r="B197" s="260"/>
      <c r="F197" s="413"/>
    </row>
    <row r="198" ht="12.0" customHeight="1">
      <c r="B198" s="260"/>
      <c r="F198" s="413"/>
    </row>
    <row r="199" ht="12.0" customHeight="1">
      <c r="B199" s="260"/>
      <c r="F199" s="413"/>
    </row>
    <row r="200" ht="12.0" customHeight="1">
      <c r="B200" s="260"/>
      <c r="F200" s="413"/>
    </row>
    <row r="201" ht="12.0" customHeight="1">
      <c r="B201" s="260"/>
      <c r="F201" s="413"/>
    </row>
    <row r="202" ht="12.0" customHeight="1">
      <c r="B202" s="260"/>
      <c r="F202" s="413"/>
    </row>
    <row r="203" ht="12.0" customHeight="1">
      <c r="B203" s="260"/>
      <c r="F203" s="413"/>
    </row>
    <row r="204" ht="12.0" customHeight="1">
      <c r="B204" s="260"/>
      <c r="F204" s="413"/>
    </row>
    <row r="205" ht="12.0" customHeight="1">
      <c r="B205" s="260"/>
      <c r="F205" s="413"/>
    </row>
    <row r="206" ht="12.0" customHeight="1">
      <c r="B206" s="260"/>
      <c r="F206" s="413"/>
    </row>
    <row r="207" ht="12.0" customHeight="1">
      <c r="B207" s="260"/>
      <c r="F207" s="413"/>
    </row>
    <row r="208" ht="12.0" customHeight="1">
      <c r="B208" s="260"/>
      <c r="F208" s="413"/>
    </row>
    <row r="209" ht="12.0" customHeight="1">
      <c r="B209" s="260"/>
      <c r="F209" s="413"/>
    </row>
    <row r="210" ht="12.0" customHeight="1">
      <c r="B210" s="260"/>
      <c r="F210" s="413"/>
    </row>
    <row r="211" ht="12.0" customHeight="1">
      <c r="B211" s="260"/>
      <c r="F211" s="413"/>
    </row>
    <row r="212" ht="12.0" customHeight="1">
      <c r="B212" s="260"/>
      <c r="F212" s="413"/>
    </row>
    <row r="213" ht="12.0" customHeight="1">
      <c r="B213" s="260"/>
      <c r="F213" s="413"/>
    </row>
    <row r="214" ht="12.0" customHeight="1">
      <c r="B214" s="260"/>
      <c r="F214" s="413"/>
    </row>
    <row r="215" ht="12.0" customHeight="1">
      <c r="B215" s="260"/>
      <c r="F215" s="413"/>
    </row>
    <row r="216" ht="12.0" customHeight="1">
      <c r="B216" s="260"/>
      <c r="F216" s="413"/>
    </row>
    <row r="217" ht="12.0" customHeight="1">
      <c r="B217" s="260"/>
      <c r="F217" s="413"/>
    </row>
    <row r="218" ht="12.0" customHeight="1">
      <c r="B218" s="260"/>
      <c r="F218" s="413"/>
    </row>
    <row r="219" ht="12.0" customHeight="1">
      <c r="B219" s="260"/>
      <c r="F219" s="413"/>
    </row>
    <row r="220" ht="12.0" customHeight="1">
      <c r="B220" s="260"/>
      <c r="F220" s="413"/>
    </row>
    <row r="221" ht="12.0" customHeight="1">
      <c r="B221" s="260"/>
      <c r="F221" s="413"/>
    </row>
    <row r="222" ht="12.0" customHeight="1">
      <c r="B222" s="260"/>
      <c r="F222" s="413"/>
    </row>
    <row r="223" ht="12.0" customHeight="1">
      <c r="B223" s="260"/>
      <c r="F223" s="413"/>
    </row>
    <row r="224" ht="12.0" customHeight="1">
      <c r="B224" s="260"/>
      <c r="F224" s="413"/>
    </row>
    <row r="225" ht="12.0" customHeight="1">
      <c r="B225" s="260"/>
      <c r="F225" s="413"/>
    </row>
    <row r="226" ht="12.0" customHeight="1">
      <c r="B226" s="260"/>
      <c r="F226" s="413"/>
    </row>
    <row r="227" ht="12.0" customHeight="1">
      <c r="B227" s="260"/>
      <c r="F227" s="413"/>
    </row>
    <row r="228" ht="12.0" customHeight="1">
      <c r="B228" s="260"/>
      <c r="F228" s="413"/>
    </row>
    <row r="229" ht="12.0" customHeight="1">
      <c r="B229" s="260"/>
      <c r="F229" s="413"/>
    </row>
    <row r="230" ht="12.0" customHeight="1">
      <c r="B230" s="260"/>
      <c r="F230" s="413"/>
    </row>
    <row r="231" ht="12.0" customHeight="1">
      <c r="B231" s="260"/>
      <c r="F231" s="413"/>
    </row>
    <row r="232" ht="12.0" customHeight="1">
      <c r="B232" s="260"/>
      <c r="F232" s="413"/>
    </row>
    <row r="233" ht="12.0" customHeight="1">
      <c r="B233" s="260"/>
      <c r="F233" s="413"/>
    </row>
    <row r="234" ht="12.0" customHeight="1">
      <c r="B234" s="260"/>
      <c r="F234" s="413"/>
    </row>
    <row r="235" ht="12.0" customHeight="1">
      <c r="B235" s="260"/>
      <c r="F235" s="413"/>
    </row>
    <row r="236" ht="12.0" customHeight="1">
      <c r="B236" s="260"/>
      <c r="F236" s="413"/>
    </row>
    <row r="237" ht="12.0" customHeight="1">
      <c r="B237" s="260"/>
      <c r="F237" s="413"/>
    </row>
    <row r="238" ht="12.0" customHeight="1">
      <c r="B238" s="260"/>
      <c r="F238" s="413"/>
    </row>
    <row r="239" ht="12.0" customHeight="1">
      <c r="B239" s="260"/>
      <c r="F239" s="413"/>
    </row>
    <row r="240" ht="12.0" customHeight="1">
      <c r="B240" s="260"/>
      <c r="F240" s="413"/>
    </row>
    <row r="241" ht="12.0" customHeight="1">
      <c r="B241" s="260"/>
      <c r="F241" s="413"/>
    </row>
    <row r="242" ht="12.0" customHeight="1">
      <c r="B242" s="260"/>
      <c r="F242" s="413"/>
    </row>
    <row r="243" ht="12.0" customHeight="1">
      <c r="B243" s="260"/>
      <c r="F243" s="413"/>
    </row>
    <row r="244" ht="12.0" customHeight="1">
      <c r="B244" s="260"/>
      <c r="F244" s="413"/>
    </row>
    <row r="245" ht="12.0" customHeight="1">
      <c r="B245" s="260"/>
      <c r="F245" s="413"/>
    </row>
    <row r="246" ht="12.0" customHeight="1">
      <c r="B246" s="260"/>
      <c r="F246" s="413"/>
    </row>
    <row r="247" ht="12.0" customHeight="1">
      <c r="B247" s="260"/>
      <c r="F247" s="413"/>
    </row>
    <row r="248" ht="12.0" customHeight="1">
      <c r="B248" s="260"/>
      <c r="F248" s="413"/>
    </row>
    <row r="249" ht="12.0" customHeight="1">
      <c r="B249" s="260"/>
      <c r="F249" s="413"/>
    </row>
    <row r="250" ht="12.0" customHeight="1">
      <c r="B250" s="260"/>
      <c r="F250" s="413"/>
    </row>
    <row r="251" ht="12.0" customHeight="1">
      <c r="B251" s="260"/>
      <c r="F251" s="413"/>
    </row>
    <row r="252" ht="12.0" customHeight="1">
      <c r="B252" s="260"/>
      <c r="F252" s="413"/>
    </row>
    <row r="253" ht="12.0" customHeight="1">
      <c r="B253" s="260"/>
      <c r="F253" s="413"/>
    </row>
    <row r="254" ht="12.0" customHeight="1">
      <c r="B254" s="260"/>
      <c r="F254" s="413"/>
    </row>
    <row r="255" ht="12.0" customHeight="1">
      <c r="B255" s="260"/>
      <c r="F255" s="413"/>
    </row>
    <row r="256" ht="12.0" customHeight="1">
      <c r="B256" s="260"/>
      <c r="F256" s="413"/>
    </row>
    <row r="257" ht="12.0" customHeight="1">
      <c r="B257" s="260"/>
      <c r="F257" s="413"/>
    </row>
    <row r="258" ht="12.0" customHeight="1">
      <c r="B258" s="260"/>
      <c r="F258" s="413"/>
    </row>
    <row r="259" ht="12.0" customHeight="1">
      <c r="B259" s="260"/>
      <c r="F259" s="413"/>
    </row>
    <row r="260" ht="12.0" customHeight="1">
      <c r="B260" s="260"/>
      <c r="F260" s="413"/>
    </row>
    <row r="261" ht="12.0" customHeight="1">
      <c r="B261" s="260"/>
      <c r="F261" s="413"/>
    </row>
    <row r="262" ht="12.0" customHeight="1">
      <c r="B262" s="260"/>
      <c r="F262" s="413"/>
    </row>
    <row r="263" ht="12.0" customHeight="1">
      <c r="B263" s="260"/>
      <c r="F263" s="413"/>
    </row>
    <row r="264" ht="12.0" customHeight="1">
      <c r="B264" s="260"/>
      <c r="F264" s="413"/>
    </row>
    <row r="265" ht="12.0" customHeight="1">
      <c r="B265" s="260"/>
      <c r="F265" s="413"/>
    </row>
    <row r="266" ht="12.0" customHeight="1">
      <c r="B266" s="260"/>
      <c r="F266" s="413"/>
    </row>
    <row r="267" ht="12.0" customHeight="1">
      <c r="B267" s="260"/>
      <c r="F267" s="413"/>
    </row>
    <row r="268" ht="12.0" customHeight="1">
      <c r="B268" s="260"/>
      <c r="F268" s="413"/>
    </row>
    <row r="269" ht="12.0" customHeight="1">
      <c r="B269" s="260"/>
      <c r="F269" s="413"/>
    </row>
    <row r="270" ht="12.0" customHeight="1">
      <c r="B270" s="260"/>
      <c r="F270" s="413"/>
    </row>
    <row r="271" ht="12.0" customHeight="1">
      <c r="B271" s="260"/>
      <c r="F271" s="413"/>
    </row>
    <row r="272" ht="12.0" customHeight="1">
      <c r="B272" s="260"/>
      <c r="F272" s="413"/>
    </row>
    <row r="273" ht="12.0" customHeight="1">
      <c r="B273" s="260"/>
      <c r="F273" s="413"/>
    </row>
    <row r="274" ht="12.0" customHeight="1">
      <c r="B274" s="260"/>
      <c r="F274" s="413"/>
    </row>
    <row r="275" ht="12.0" customHeight="1">
      <c r="B275" s="260"/>
      <c r="F275" s="413"/>
    </row>
    <row r="276" ht="12.0" customHeight="1">
      <c r="B276" s="260"/>
      <c r="F276" s="413"/>
    </row>
    <row r="277" ht="12.0" customHeight="1">
      <c r="B277" s="260"/>
      <c r="F277" s="413"/>
    </row>
    <row r="278" ht="12.0" customHeight="1">
      <c r="B278" s="260"/>
      <c r="F278" s="413"/>
    </row>
    <row r="279" ht="12.0" customHeight="1">
      <c r="B279" s="260"/>
      <c r="F279" s="413"/>
    </row>
    <row r="280" ht="12.0" customHeight="1">
      <c r="B280" s="260"/>
      <c r="F280" s="413"/>
    </row>
    <row r="281" ht="12.0" customHeight="1">
      <c r="B281" s="260"/>
      <c r="F281" s="413"/>
    </row>
    <row r="282" ht="12.0" customHeight="1">
      <c r="B282" s="260"/>
      <c r="F282" s="413"/>
    </row>
    <row r="283" ht="12.0" customHeight="1">
      <c r="B283" s="260"/>
      <c r="F283" s="413"/>
    </row>
    <row r="284" ht="12.0" customHeight="1">
      <c r="B284" s="260"/>
      <c r="F284" s="413"/>
    </row>
    <row r="285" ht="12.0" customHeight="1">
      <c r="B285" s="260"/>
      <c r="F285" s="413"/>
    </row>
    <row r="286" ht="12.0" customHeight="1">
      <c r="B286" s="260"/>
      <c r="F286" s="413"/>
    </row>
    <row r="287" ht="12.0" customHeight="1">
      <c r="B287" s="260"/>
      <c r="F287" s="413"/>
    </row>
    <row r="288" ht="12.0" customHeight="1">
      <c r="B288" s="260"/>
      <c r="F288" s="413"/>
    </row>
    <row r="289" ht="12.0" customHeight="1">
      <c r="B289" s="260"/>
      <c r="F289" s="413"/>
    </row>
    <row r="290" ht="12.0" customHeight="1">
      <c r="B290" s="260"/>
      <c r="F290" s="413"/>
    </row>
    <row r="291" ht="12.0" customHeight="1">
      <c r="B291" s="260"/>
      <c r="F291" s="413"/>
    </row>
    <row r="292" ht="12.0" customHeight="1">
      <c r="B292" s="260"/>
      <c r="F292" s="413"/>
    </row>
    <row r="293" ht="12.0" customHeight="1">
      <c r="B293" s="260"/>
      <c r="F293" s="413"/>
    </row>
    <row r="294" ht="12.0" customHeight="1">
      <c r="B294" s="260"/>
      <c r="F294" s="413"/>
    </row>
    <row r="295" ht="12.0" customHeight="1">
      <c r="B295" s="260"/>
      <c r="F295" s="413"/>
    </row>
    <row r="296" ht="12.0" customHeight="1">
      <c r="B296" s="260"/>
      <c r="F296" s="413"/>
    </row>
    <row r="297" ht="12.0" customHeight="1">
      <c r="B297" s="260"/>
      <c r="F297" s="413"/>
    </row>
    <row r="298" ht="12.0" customHeight="1">
      <c r="B298" s="260"/>
      <c r="F298" s="413"/>
    </row>
    <row r="299" ht="12.0" customHeight="1">
      <c r="B299" s="260"/>
      <c r="F299" s="413"/>
    </row>
    <row r="300" ht="12.0" customHeight="1">
      <c r="B300" s="260"/>
      <c r="F300" s="413"/>
    </row>
    <row r="301" ht="12.0" customHeight="1">
      <c r="B301" s="260"/>
      <c r="F301" s="413"/>
    </row>
    <row r="302" ht="12.0" customHeight="1">
      <c r="B302" s="260"/>
      <c r="F302" s="413"/>
    </row>
    <row r="303" ht="12.0" customHeight="1">
      <c r="B303" s="260"/>
      <c r="F303" s="413"/>
    </row>
    <row r="304" ht="12.0" customHeight="1">
      <c r="B304" s="260"/>
      <c r="F304" s="413"/>
    </row>
    <row r="305" ht="12.0" customHeight="1">
      <c r="B305" s="260"/>
      <c r="F305" s="413"/>
    </row>
    <row r="306" ht="12.0" customHeight="1">
      <c r="B306" s="260"/>
      <c r="F306" s="413"/>
    </row>
    <row r="307" ht="12.0" customHeight="1">
      <c r="B307" s="260"/>
      <c r="F307" s="413"/>
    </row>
    <row r="308" ht="12.0" customHeight="1">
      <c r="B308" s="260"/>
      <c r="F308" s="413"/>
    </row>
    <row r="309" ht="12.0" customHeight="1">
      <c r="B309" s="260"/>
      <c r="F309" s="413"/>
    </row>
    <row r="310" ht="12.0" customHeight="1">
      <c r="B310" s="260"/>
      <c r="F310" s="413"/>
    </row>
    <row r="311" ht="12.0" customHeight="1">
      <c r="B311" s="260"/>
      <c r="F311" s="413"/>
    </row>
    <row r="312" ht="12.0" customHeight="1">
      <c r="B312" s="260"/>
      <c r="F312" s="413"/>
    </row>
    <row r="313" ht="12.0" customHeight="1">
      <c r="B313" s="260"/>
      <c r="F313" s="413"/>
    </row>
    <row r="314" ht="12.0" customHeight="1">
      <c r="B314" s="260"/>
      <c r="F314" s="413"/>
    </row>
    <row r="315" ht="12.0" customHeight="1">
      <c r="B315" s="260"/>
      <c r="F315" s="413"/>
    </row>
    <row r="316" ht="12.0" customHeight="1">
      <c r="B316" s="260"/>
      <c r="F316" s="413"/>
    </row>
    <row r="317" ht="12.0" customHeight="1">
      <c r="B317" s="260"/>
      <c r="F317" s="413"/>
    </row>
    <row r="318" ht="12.0" customHeight="1">
      <c r="B318" s="260"/>
      <c r="F318" s="413"/>
    </row>
    <row r="319" ht="12.0" customHeight="1">
      <c r="B319" s="260"/>
      <c r="F319" s="413"/>
    </row>
    <row r="320" ht="12.0" customHeight="1">
      <c r="B320" s="260"/>
      <c r="F320" s="413"/>
    </row>
    <row r="321" ht="12.0" customHeight="1">
      <c r="B321" s="260"/>
      <c r="F321" s="413"/>
    </row>
    <row r="322" ht="12.0" customHeight="1">
      <c r="B322" s="260"/>
      <c r="F322" s="413"/>
    </row>
    <row r="323" ht="12.0" customHeight="1">
      <c r="B323" s="260"/>
      <c r="F323" s="413"/>
    </row>
    <row r="324" ht="12.0" customHeight="1">
      <c r="B324" s="260"/>
      <c r="F324" s="413"/>
    </row>
    <row r="325" ht="12.0" customHeight="1">
      <c r="B325" s="260"/>
      <c r="F325" s="413"/>
    </row>
    <row r="326" ht="12.0" customHeight="1">
      <c r="B326" s="260"/>
      <c r="F326" s="413"/>
    </row>
    <row r="327" ht="12.0" customHeight="1">
      <c r="B327" s="260"/>
      <c r="F327" s="413"/>
    </row>
    <row r="328" ht="12.0" customHeight="1">
      <c r="B328" s="260"/>
      <c r="F328" s="413"/>
    </row>
    <row r="329" ht="12.0" customHeight="1">
      <c r="B329" s="260"/>
      <c r="F329" s="413"/>
    </row>
    <row r="330" ht="12.0" customHeight="1">
      <c r="B330" s="260"/>
      <c r="F330" s="413"/>
    </row>
    <row r="331" ht="12.0" customHeight="1">
      <c r="B331" s="260"/>
      <c r="F331" s="413"/>
    </row>
    <row r="332" ht="12.0" customHeight="1">
      <c r="B332" s="260"/>
      <c r="F332" s="413"/>
    </row>
    <row r="333" ht="12.0" customHeight="1">
      <c r="B333" s="260"/>
      <c r="F333" s="413"/>
    </row>
    <row r="334" ht="12.0" customHeight="1">
      <c r="B334" s="260"/>
      <c r="F334" s="413"/>
    </row>
    <row r="335" ht="12.0" customHeight="1">
      <c r="B335" s="260"/>
      <c r="F335" s="413"/>
    </row>
    <row r="336" ht="12.0" customHeight="1">
      <c r="B336" s="260"/>
      <c r="F336" s="413"/>
    </row>
    <row r="337" ht="12.0" customHeight="1">
      <c r="B337" s="260"/>
      <c r="F337" s="413"/>
    </row>
    <row r="338" ht="12.0" customHeight="1">
      <c r="B338" s="260"/>
      <c r="F338" s="413"/>
    </row>
    <row r="339" ht="12.0" customHeight="1">
      <c r="B339" s="260"/>
      <c r="F339" s="413"/>
    </row>
    <row r="340" ht="12.0" customHeight="1">
      <c r="B340" s="260"/>
      <c r="F340" s="413"/>
    </row>
    <row r="341" ht="12.0" customHeight="1">
      <c r="B341" s="260"/>
      <c r="F341" s="413"/>
    </row>
    <row r="342" ht="12.0" customHeight="1">
      <c r="B342" s="260"/>
      <c r="F342" s="413"/>
    </row>
    <row r="343" ht="12.0" customHeight="1">
      <c r="B343" s="260"/>
      <c r="F343" s="413"/>
    </row>
    <row r="344" ht="12.0" customHeight="1">
      <c r="B344" s="260"/>
      <c r="F344" s="413"/>
    </row>
    <row r="345" ht="12.0" customHeight="1">
      <c r="B345" s="260"/>
      <c r="F345" s="413"/>
    </row>
    <row r="346" ht="12.0" customHeight="1">
      <c r="B346" s="260"/>
      <c r="F346" s="413"/>
    </row>
    <row r="347" ht="12.0" customHeight="1">
      <c r="B347" s="260"/>
      <c r="F347" s="413"/>
    </row>
    <row r="348" ht="12.0" customHeight="1">
      <c r="B348" s="260"/>
      <c r="F348" s="413"/>
    </row>
    <row r="349" ht="12.0" customHeight="1">
      <c r="B349" s="260"/>
      <c r="F349" s="413"/>
    </row>
    <row r="350" ht="12.0" customHeight="1">
      <c r="B350" s="260"/>
      <c r="F350" s="413"/>
    </row>
    <row r="351" ht="12.0" customHeight="1">
      <c r="B351" s="260"/>
      <c r="F351" s="413"/>
    </row>
    <row r="352" ht="12.0" customHeight="1">
      <c r="B352" s="260"/>
      <c r="F352" s="413"/>
    </row>
    <row r="353" ht="12.0" customHeight="1">
      <c r="B353" s="260"/>
      <c r="F353" s="413"/>
    </row>
    <row r="354" ht="12.0" customHeight="1">
      <c r="B354" s="260"/>
      <c r="F354" s="413"/>
    </row>
    <row r="355" ht="12.0" customHeight="1">
      <c r="B355" s="260"/>
      <c r="F355" s="413"/>
    </row>
    <row r="356" ht="12.0" customHeight="1">
      <c r="B356" s="260"/>
      <c r="F356" s="413"/>
    </row>
    <row r="357" ht="12.0" customHeight="1">
      <c r="B357" s="260"/>
      <c r="F357" s="413"/>
    </row>
    <row r="358" ht="12.0" customHeight="1">
      <c r="B358" s="260"/>
      <c r="F358" s="413"/>
    </row>
    <row r="359" ht="12.0" customHeight="1">
      <c r="B359" s="260"/>
      <c r="F359" s="413"/>
    </row>
    <row r="360" ht="12.0" customHeight="1">
      <c r="B360" s="260"/>
      <c r="F360" s="413"/>
    </row>
    <row r="361" ht="12.0" customHeight="1">
      <c r="B361" s="260"/>
      <c r="F361" s="413"/>
    </row>
    <row r="362" ht="12.0" customHeight="1">
      <c r="B362" s="260"/>
      <c r="F362" s="413"/>
    </row>
    <row r="363" ht="12.0" customHeight="1">
      <c r="B363" s="260"/>
      <c r="F363" s="413"/>
    </row>
    <row r="364" ht="12.0" customHeight="1">
      <c r="B364" s="260"/>
      <c r="F364" s="413"/>
    </row>
    <row r="365" ht="12.0" customHeight="1">
      <c r="B365" s="260"/>
      <c r="F365" s="413"/>
    </row>
    <row r="366" ht="12.0" customHeight="1">
      <c r="B366" s="260"/>
      <c r="F366" s="413"/>
    </row>
    <row r="367" ht="12.0" customHeight="1">
      <c r="B367" s="260"/>
      <c r="F367" s="413"/>
    </row>
    <row r="368" ht="12.0" customHeight="1">
      <c r="B368" s="260"/>
      <c r="F368" s="413"/>
    </row>
    <row r="369" ht="12.0" customHeight="1">
      <c r="B369" s="260"/>
      <c r="F369" s="413"/>
    </row>
    <row r="370" ht="12.0" customHeight="1">
      <c r="B370" s="260"/>
      <c r="F370" s="413"/>
    </row>
    <row r="371" ht="12.0" customHeight="1">
      <c r="B371" s="260"/>
      <c r="F371" s="413"/>
    </row>
    <row r="372" ht="12.0" customHeight="1">
      <c r="B372" s="260"/>
      <c r="F372" s="413"/>
    </row>
    <row r="373" ht="12.0" customHeight="1">
      <c r="B373" s="260"/>
      <c r="F373" s="413"/>
    </row>
    <row r="374" ht="12.0" customHeight="1">
      <c r="B374" s="260"/>
      <c r="F374" s="413"/>
    </row>
    <row r="375" ht="12.0" customHeight="1">
      <c r="B375" s="260"/>
      <c r="F375" s="413"/>
    </row>
    <row r="376" ht="12.0" customHeight="1">
      <c r="B376" s="260"/>
      <c r="F376" s="413"/>
    </row>
    <row r="377" ht="12.0" customHeight="1">
      <c r="B377" s="260"/>
      <c r="F377" s="413"/>
    </row>
    <row r="378" ht="12.0" customHeight="1">
      <c r="B378" s="260"/>
      <c r="F378" s="413"/>
    </row>
    <row r="379" ht="12.0" customHeight="1">
      <c r="B379" s="260"/>
      <c r="F379" s="413"/>
    </row>
    <row r="380" ht="12.0" customHeight="1">
      <c r="B380" s="260"/>
      <c r="F380" s="413"/>
    </row>
    <row r="381" ht="12.0" customHeight="1">
      <c r="B381" s="260"/>
      <c r="F381" s="413"/>
    </row>
    <row r="382" ht="12.0" customHeight="1">
      <c r="B382" s="260"/>
      <c r="F382" s="413"/>
    </row>
    <row r="383" ht="12.0" customHeight="1">
      <c r="B383" s="260"/>
      <c r="F383" s="413"/>
    </row>
    <row r="384" ht="12.0" customHeight="1">
      <c r="B384" s="260"/>
      <c r="F384" s="413"/>
    </row>
    <row r="385" ht="12.0" customHeight="1">
      <c r="B385" s="260"/>
      <c r="F385" s="413"/>
    </row>
    <row r="386" ht="12.0" customHeight="1">
      <c r="B386" s="260"/>
      <c r="F386" s="413"/>
    </row>
    <row r="387" ht="12.0" customHeight="1">
      <c r="B387" s="260"/>
      <c r="F387" s="413"/>
    </row>
    <row r="388" ht="12.0" customHeight="1">
      <c r="B388" s="260"/>
      <c r="F388" s="413"/>
    </row>
    <row r="389" ht="12.0" customHeight="1">
      <c r="B389" s="260"/>
      <c r="F389" s="413"/>
    </row>
    <row r="390" ht="12.0" customHeight="1">
      <c r="B390" s="260"/>
      <c r="F390" s="413"/>
    </row>
    <row r="391" ht="12.0" customHeight="1">
      <c r="B391" s="260"/>
      <c r="F391" s="413"/>
    </row>
    <row r="392" ht="12.0" customHeight="1">
      <c r="B392" s="260"/>
      <c r="F392" s="413"/>
    </row>
    <row r="393" ht="12.0" customHeight="1">
      <c r="B393" s="260"/>
      <c r="F393" s="413"/>
    </row>
    <row r="394" ht="12.0" customHeight="1">
      <c r="B394" s="260"/>
      <c r="F394" s="413"/>
    </row>
    <row r="395" ht="12.0" customHeight="1">
      <c r="B395" s="260"/>
      <c r="F395" s="413"/>
    </row>
    <row r="396" ht="12.0" customHeight="1">
      <c r="B396" s="260"/>
      <c r="F396" s="413"/>
    </row>
    <row r="397" ht="12.0" customHeight="1">
      <c r="B397" s="260"/>
      <c r="F397" s="413"/>
    </row>
    <row r="398" ht="12.0" customHeight="1">
      <c r="B398" s="260"/>
      <c r="F398" s="413"/>
    </row>
    <row r="399" ht="12.0" customHeight="1">
      <c r="B399" s="260"/>
      <c r="F399" s="413"/>
    </row>
    <row r="400" ht="12.0" customHeight="1">
      <c r="B400" s="260"/>
      <c r="F400" s="413"/>
    </row>
    <row r="401" ht="12.0" customHeight="1">
      <c r="B401" s="260"/>
      <c r="F401" s="413"/>
    </row>
    <row r="402" ht="12.0" customHeight="1">
      <c r="B402" s="260"/>
      <c r="F402" s="413"/>
    </row>
    <row r="403" ht="12.0" customHeight="1">
      <c r="B403" s="260"/>
      <c r="F403" s="413"/>
    </row>
    <row r="404" ht="12.0" customHeight="1">
      <c r="B404" s="260"/>
      <c r="F404" s="413"/>
    </row>
    <row r="405" ht="12.0" customHeight="1">
      <c r="B405" s="260"/>
      <c r="F405" s="413"/>
    </row>
    <row r="406" ht="12.0" customHeight="1">
      <c r="B406" s="260"/>
      <c r="F406" s="413"/>
    </row>
    <row r="407" ht="12.0" customHeight="1">
      <c r="B407" s="260"/>
      <c r="F407" s="413"/>
    </row>
    <row r="408" ht="12.0" customHeight="1">
      <c r="B408" s="260"/>
      <c r="F408" s="413"/>
    </row>
    <row r="409" ht="12.0" customHeight="1">
      <c r="B409" s="260"/>
      <c r="F409" s="413"/>
    </row>
    <row r="410" ht="12.0" customHeight="1">
      <c r="B410" s="260"/>
      <c r="F410" s="413"/>
    </row>
    <row r="411" ht="12.0" customHeight="1">
      <c r="B411" s="260"/>
      <c r="F411" s="413"/>
    </row>
    <row r="412" ht="12.0" customHeight="1">
      <c r="B412" s="260"/>
      <c r="F412" s="413"/>
    </row>
    <row r="413" ht="12.0" customHeight="1">
      <c r="B413" s="260"/>
      <c r="F413" s="413"/>
    </row>
    <row r="414" ht="12.0" customHeight="1">
      <c r="B414" s="260"/>
      <c r="F414" s="413"/>
    </row>
    <row r="415" ht="12.0" customHeight="1">
      <c r="B415" s="260"/>
      <c r="F415" s="413"/>
    </row>
    <row r="416" ht="12.0" customHeight="1">
      <c r="B416" s="260"/>
      <c r="F416" s="413"/>
    </row>
    <row r="417" ht="12.0" customHeight="1">
      <c r="B417" s="260"/>
      <c r="F417" s="413"/>
    </row>
    <row r="418" ht="12.0" customHeight="1">
      <c r="B418" s="260"/>
      <c r="F418" s="413"/>
    </row>
    <row r="419" ht="12.0" customHeight="1">
      <c r="B419" s="260"/>
      <c r="F419" s="413"/>
    </row>
    <row r="420" ht="12.0" customHeight="1">
      <c r="B420" s="260"/>
      <c r="F420" s="413"/>
    </row>
    <row r="421" ht="12.0" customHeight="1">
      <c r="B421" s="260"/>
      <c r="F421" s="413"/>
    </row>
    <row r="422" ht="12.0" customHeight="1">
      <c r="B422" s="260"/>
      <c r="F422" s="413"/>
    </row>
    <row r="423" ht="12.0" customHeight="1">
      <c r="B423" s="260"/>
      <c r="F423" s="413"/>
    </row>
    <row r="424" ht="12.0" customHeight="1">
      <c r="B424" s="260"/>
      <c r="F424" s="413"/>
    </row>
    <row r="425" ht="12.0" customHeight="1">
      <c r="B425" s="260"/>
      <c r="F425" s="413"/>
    </row>
    <row r="426" ht="12.0" customHeight="1">
      <c r="B426" s="260"/>
      <c r="F426" s="413"/>
    </row>
    <row r="427" ht="12.0" customHeight="1">
      <c r="B427" s="260"/>
      <c r="F427" s="413"/>
    </row>
    <row r="428" ht="12.0" customHeight="1">
      <c r="B428" s="260"/>
      <c r="F428" s="413"/>
    </row>
    <row r="429" ht="12.0" customHeight="1">
      <c r="B429" s="260"/>
      <c r="F429" s="413"/>
    </row>
    <row r="430" ht="12.0" customHeight="1">
      <c r="B430" s="260"/>
      <c r="F430" s="413"/>
    </row>
    <row r="431" ht="12.0" customHeight="1">
      <c r="B431" s="260"/>
      <c r="F431" s="413"/>
    </row>
    <row r="432" ht="12.0" customHeight="1">
      <c r="B432" s="260"/>
      <c r="F432" s="413"/>
    </row>
    <row r="433" ht="12.0" customHeight="1">
      <c r="B433" s="260"/>
      <c r="F433" s="413"/>
    </row>
    <row r="434" ht="12.0" customHeight="1">
      <c r="B434" s="260"/>
      <c r="F434" s="413"/>
    </row>
    <row r="435" ht="12.0" customHeight="1">
      <c r="B435" s="260"/>
      <c r="F435" s="413"/>
    </row>
    <row r="436" ht="12.0" customHeight="1">
      <c r="B436" s="260"/>
      <c r="F436" s="413"/>
    </row>
    <row r="437" ht="12.0" customHeight="1">
      <c r="B437" s="260"/>
      <c r="F437" s="413"/>
    </row>
    <row r="438" ht="12.0" customHeight="1">
      <c r="B438" s="260"/>
      <c r="F438" s="413"/>
    </row>
    <row r="439" ht="12.0" customHeight="1">
      <c r="B439" s="260"/>
      <c r="F439" s="413"/>
    </row>
    <row r="440" ht="12.0" customHeight="1">
      <c r="B440" s="260"/>
      <c r="F440" s="413"/>
    </row>
    <row r="441" ht="12.0" customHeight="1">
      <c r="B441" s="260"/>
      <c r="F441" s="413"/>
    </row>
    <row r="442" ht="12.0" customHeight="1">
      <c r="B442" s="260"/>
      <c r="F442" s="413"/>
    </row>
    <row r="443" ht="12.0" customHeight="1">
      <c r="B443" s="260"/>
      <c r="F443" s="413"/>
    </row>
    <row r="444" ht="12.0" customHeight="1">
      <c r="B444" s="260"/>
      <c r="F444" s="413"/>
    </row>
    <row r="445" ht="12.0" customHeight="1">
      <c r="B445" s="260"/>
      <c r="F445" s="413"/>
    </row>
    <row r="446" ht="12.0" customHeight="1">
      <c r="B446" s="260"/>
      <c r="F446" s="413"/>
    </row>
    <row r="447" ht="12.0" customHeight="1">
      <c r="B447" s="260"/>
      <c r="F447" s="413"/>
    </row>
    <row r="448" ht="12.0" customHeight="1">
      <c r="B448" s="260"/>
      <c r="F448" s="413"/>
    </row>
    <row r="449" ht="12.0" customHeight="1">
      <c r="B449" s="260"/>
      <c r="F449" s="413"/>
    </row>
    <row r="450" ht="12.0" customHeight="1">
      <c r="B450" s="260"/>
      <c r="F450" s="413"/>
    </row>
    <row r="451" ht="12.0" customHeight="1">
      <c r="B451" s="260"/>
      <c r="F451" s="413"/>
    </row>
    <row r="452" ht="12.0" customHeight="1">
      <c r="B452" s="260"/>
      <c r="F452" s="413"/>
    </row>
    <row r="453" ht="12.0" customHeight="1">
      <c r="B453" s="260"/>
      <c r="F453" s="413"/>
    </row>
    <row r="454" ht="12.0" customHeight="1">
      <c r="B454" s="260"/>
      <c r="F454" s="413"/>
    </row>
    <row r="455" ht="12.0" customHeight="1">
      <c r="B455" s="260"/>
      <c r="F455" s="413"/>
    </row>
    <row r="456" ht="12.0" customHeight="1">
      <c r="B456" s="260"/>
      <c r="F456" s="413"/>
    </row>
    <row r="457" ht="12.0" customHeight="1">
      <c r="B457" s="260"/>
      <c r="F457" s="413"/>
    </row>
    <row r="458" ht="12.0" customHeight="1">
      <c r="B458" s="260"/>
      <c r="F458" s="413"/>
    </row>
    <row r="459" ht="12.0" customHeight="1">
      <c r="B459" s="260"/>
      <c r="F459" s="413"/>
    </row>
    <row r="460" ht="12.0" customHeight="1">
      <c r="B460" s="260"/>
      <c r="F460" s="413"/>
    </row>
    <row r="461" ht="12.0" customHeight="1">
      <c r="B461" s="260"/>
      <c r="F461" s="413"/>
    </row>
    <row r="462" ht="12.0" customHeight="1">
      <c r="B462" s="260"/>
      <c r="F462" s="413"/>
    </row>
    <row r="463" ht="12.0" customHeight="1">
      <c r="B463" s="260"/>
      <c r="F463" s="413"/>
    </row>
    <row r="464" ht="12.0" customHeight="1">
      <c r="B464" s="260"/>
      <c r="F464" s="413"/>
    </row>
    <row r="465" ht="12.0" customHeight="1">
      <c r="B465" s="260"/>
      <c r="F465" s="413"/>
    </row>
    <row r="466" ht="12.0" customHeight="1">
      <c r="B466" s="260"/>
      <c r="F466" s="413"/>
    </row>
    <row r="467" ht="12.0" customHeight="1">
      <c r="B467" s="260"/>
      <c r="F467" s="413"/>
    </row>
    <row r="468" ht="12.0" customHeight="1">
      <c r="B468" s="260"/>
      <c r="F468" s="413"/>
    </row>
    <row r="469" ht="12.0" customHeight="1">
      <c r="B469" s="260"/>
      <c r="F469" s="413"/>
    </row>
    <row r="470" ht="12.0" customHeight="1">
      <c r="B470" s="260"/>
      <c r="F470" s="413"/>
    </row>
    <row r="471" ht="12.0" customHeight="1">
      <c r="B471" s="260"/>
      <c r="F471" s="413"/>
    </row>
    <row r="472" ht="12.0" customHeight="1">
      <c r="B472" s="260"/>
      <c r="F472" s="413"/>
    </row>
    <row r="473" ht="12.0" customHeight="1">
      <c r="B473" s="260"/>
      <c r="F473" s="413"/>
    </row>
    <row r="474" ht="12.0" customHeight="1">
      <c r="B474" s="260"/>
      <c r="F474" s="413"/>
    </row>
    <row r="475" ht="12.0" customHeight="1">
      <c r="B475" s="260"/>
      <c r="F475" s="413"/>
    </row>
    <row r="476" ht="12.0" customHeight="1">
      <c r="B476" s="260"/>
      <c r="F476" s="413"/>
    </row>
    <row r="477" ht="12.0" customHeight="1">
      <c r="B477" s="260"/>
      <c r="F477" s="413"/>
    </row>
    <row r="478" ht="12.0" customHeight="1">
      <c r="B478" s="260"/>
      <c r="F478" s="413"/>
    </row>
    <row r="479" ht="12.0" customHeight="1">
      <c r="B479" s="260"/>
      <c r="F479" s="413"/>
    </row>
    <row r="480" ht="12.0" customHeight="1">
      <c r="B480" s="260"/>
      <c r="F480" s="413"/>
    </row>
    <row r="481" ht="12.0" customHeight="1">
      <c r="B481" s="260"/>
      <c r="F481" s="413"/>
    </row>
    <row r="482" ht="12.0" customHeight="1">
      <c r="B482" s="260"/>
      <c r="F482" s="413"/>
    </row>
    <row r="483" ht="12.0" customHeight="1">
      <c r="B483" s="260"/>
      <c r="F483" s="413"/>
    </row>
    <row r="484" ht="12.0" customHeight="1">
      <c r="B484" s="260"/>
      <c r="F484" s="413"/>
    </row>
    <row r="485" ht="12.0" customHeight="1">
      <c r="B485" s="260"/>
      <c r="F485" s="413"/>
    </row>
    <row r="486" ht="12.0" customHeight="1">
      <c r="B486" s="260"/>
      <c r="F486" s="413"/>
    </row>
    <row r="487" ht="12.0" customHeight="1">
      <c r="B487" s="260"/>
      <c r="F487" s="413"/>
    </row>
    <row r="488" ht="12.0" customHeight="1">
      <c r="B488" s="260"/>
      <c r="F488" s="413"/>
    </row>
    <row r="489" ht="12.0" customHeight="1">
      <c r="B489" s="260"/>
      <c r="F489" s="413"/>
    </row>
    <row r="490" ht="12.0" customHeight="1">
      <c r="B490" s="260"/>
      <c r="F490" s="413"/>
    </row>
    <row r="491" ht="12.0" customHeight="1">
      <c r="B491" s="260"/>
      <c r="F491" s="413"/>
    </row>
    <row r="492" ht="12.0" customHeight="1">
      <c r="B492" s="260"/>
      <c r="F492" s="413"/>
    </row>
    <row r="493" ht="12.0" customHeight="1">
      <c r="B493" s="260"/>
      <c r="F493" s="413"/>
    </row>
    <row r="494" ht="12.0" customHeight="1">
      <c r="B494" s="260"/>
      <c r="F494" s="413"/>
    </row>
    <row r="495" ht="12.0" customHeight="1">
      <c r="B495" s="260"/>
      <c r="F495" s="413"/>
    </row>
    <row r="496" ht="12.0" customHeight="1">
      <c r="B496" s="260"/>
      <c r="F496" s="413"/>
    </row>
    <row r="497" ht="12.0" customHeight="1">
      <c r="B497" s="260"/>
      <c r="F497" s="413"/>
    </row>
    <row r="498" ht="12.0" customHeight="1">
      <c r="B498" s="260"/>
      <c r="F498" s="413"/>
    </row>
    <row r="499" ht="12.0" customHeight="1">
      <c r="B499" s="260"/>
      <c r="F499" s="413"/>
    </row>
    <row r="500" ht="12.0" customHeight="1">
      <c r="B500" s="260"/>
      <c r="F500" s="413"/>
    </row>
    <row r="501" ht="12.0" customHeight="1">
      <c r="B501" s="260"/>
      <c r="F501" s="413"/>
    </row>
    <row r="502" ht="12.0" customHeight="1">
      <c r="B502" s="260"/>
      <c r="F502" s="413"/>
    </row>
    <row r="503" ht="12.0" customHeight="1">
      <c r="B503" s="260"/>
      <c r="F503" s="413"/>
    </row>
    <row r="504" ht="12.0" customHeight="1">
      <c r="B504" s="260"/>
      <c r="F504" s="413"/>
    </row>
    <row r="505" ht="12.0" customHeight="1">
      <c r="B505" s="260"/>
      <c r="F505" s="413"/>
    </row>
    <row r="506" ht="12.0" customHeight="1">
      <c r="B506" s="260"/>
      <c r="F506" s="413"/>
    </row>
    <row r="507" ht="12.0" customHeight="1">
      <c r="B507" s="260"/>
      <c r="F507" s="413"/>
    </row>
    <row r="508" ht="12.0" customHeight="1">
      <c r="B508" s="260"/>
      <c r="F508" s="413"/>
    </row>
    <row r="509" ht="12.0" customHeight="1">
      <c r="B509" s="260"/>
      <c r="F509" s="413"/>
    </row>
    <row r="510" ht="12.0" customHeight="1">
      <c r="B510" s="260"/>
      <c r="F510" s="413"/>
    </row>
    <row r="511" ht="12.0" customHeight="1">
      <c r="B511" s="260"/>
      <c r="F511" s="413"/>
    </row>
    <row r="512" ht="12.0" customHeight="1">
      <c r="B512" s="260"/>
      <c r="F512" s="413"/>
    </row>
    <row r="513" ht="12.0" customHeight="1">
      <c r="B513" s="260"/>
      <c r="F513" s="413"/>
    </row>
    <row r="514" ht="12.0" customHeight="1">
      <c r="B514" s="260"/>
      <c r="F514" s="413"/>
    </row>
    <row r="515" ht="12.0" customHeight="1">
      <c r="B515" s="260"/>
      <c r="F515" s="413"/>
    </row>
    <row r="516" ht="12.0" customHeight="1">
      <c r="B516" s="260"/>
      <c r="F516" s="413"/>
    </row>
    <row r="517" ht="12.0" customHeight="1">
      <c r="B517" s="260"/>
      <c r="F517" s="413"/>
    </row>
    <row r="518" ht="12.0" customHeight="1">
      <c r="B518" s="260"/>
      <c r="F518" s="413"/>
    </row>
    <row r="519" ht="12.0" customHeight="1">
      <c r="B519" s="260"/>
      <c r="F519" s="413"/>
    </row>
    <row r="520" ht="12.0" customHeight="1">
      <c r="B520" s="260"/>
      <c r="F520" s="413"/>
    </row>
    <row r="521" ht="12.0" customHeight="1">
      <c r="B521" s="260"/>
      <c r="F521" s="413"/>
    </row>
    <row r="522" ht="12.0" customHeight="1">
      <c r="B522" s="260"/>
      <c r="F522" s="413"/>
    </row>
    <row r="523" ht="12.0" customHeight="1">
      <c r="B523" s="260"/>
      <c r="F523" s="413"/>
    </row>
    <row r="524" ht="12.0" customHeight="1">
      <c r="B524" s="260"/>
      <c r="F524" s="413"/>
    </row>
    <row r="525" ht="12.0" customHeight="1">
      <c r="B525" s="260"/>
      <c r="F525" s="413"/>
    </row>
    <row r="526" ht="12.0" customHeight="1">
      <c r="B526" s="260"/>
      <c r="F526" s="413"/>
    </row>
    <row r="527" ht="12.0" customHeight="1">
      <c r="B527" s="260"/>
      <c r="F527" s="413"/>
    </row>
    <row r="528" ht="12.0" customHeight="1">
      <c r="B528" s="260"/>
      <c r="F528" s="413"/>
    </row>
    <row r="529" ht="12.0" customHeight="1">
      <c r="B529" s="260"/>
      <c r="F529" s="413"/>
    </row>
    <row r="530" ht="12.0" customHeight="1">
      <c r="B530" s="260"/>
      <c r="F530" s="413"/>
    </row>
    <row r="531" ht="12.0" customHeight="1">
      <c r="B531" s="260"/>
      <c r="F531" s="413"/>
    </row>
    <row r="532" ht="12.0" customHeight="1">
      <c r="B532" s="260"/>
      <c r="F532" s="413"/>
    </row>
    <row r="533" ht="12.0" customHeight="1">
      <c r="B533" s="260"/>
      <c r="F533" s="413"/>
    </row>
    <row r="534" ht="12.0" customHeight="1">
      <c r="B534" s="260"/>
      <c r="F534" s="413"/>
    </row>
    <row r="535" ht="12.0" customHeight="1">
      <c r="B535" s="260"/>
      <c r="F535" s="413"/>
    </row>
    <row r="536" ht="12.0" customHeight="1">
      <c r="B536" s="260"/>
      <c r="F536" s="413"/>
    </row>
    <row r="537" ht="12.0" customHeight="1">
      <c r="B537" s="260"/>
      <c r="F537" s="413"/>
    </row>
    <row r="538" ht="12.0" customHeight="1">
      <c r="B538" s="260"/>
      <c r="F538" s="413"/>
    </row>
    <row r="539" ht="12.0" customHeight="1">
      <c r="B539" s="260"/>
      <c r="F539" s="413"/>
    </row>
    <row r="540" ht="12.0" customHeight="1">
      <c r="B540" s="260"/>
      <c r="F540" s="413"/>
    </row>
    <row r="541" ht="12.0" customHeight="1">
      <c r="B541" s="260"/>
      <c r="F541" s="413"/>
    </row>
    <row r="542" ht="12.0" customHeight="1">
      <c r="B542" s="260"/>
      <c r="F542" s="413"/>
    </row>
    <row r="543" ht="12.0" customHeight="1">
      <c r="B543" s="260"/>
      <c r="F543" s="413"/>
    </row>
    <row r="544" ht="12.0" customHeight="1">
      <c r="B544" s="260"/>
      <c r="F544" s="413"/>
    </row>
    <row r="545" ht="12.0" customHeight="1">
      <c r="B545" s="260"/>
      <c r="F545" s="413"/>
    </row>
    <row r="546" ht="12.0" customHeight="1">
      <c r="B546" s="260"/>
      <c r="F546" s="413"/>
    </row>
    <row r="547" ht="12.0" customHeight="1">
      <c r="B547" s="260"/>
      <c r="F547" s="413"/>
    </row>
    <row r="548" ht="12.0" customHeight="1">
      <c r="B548" s="260"/>
      <c r="F548" s="413"/>
    </row>
    <row r="549" ht="12.0" customHeight="1">
      <c r="B549" s="260"/>
      <c r="F549" s="413"/>
    </row>
    <row r="550" ht="12.0" customHeight="1">
      <c r="B550" s="260"/>
      <c r="F550" s="413"/>
    </row>
    <row r="551" ht="12.0" customHeight="1">
      <c r="B551" s="260"/>
      <c r="F551" s="413"/>
    </row>
    <row r="552" ht="12.0" customHeight="1">
      <c r="B552" s="260"/>
      <c r="F552" s="413"/>
    </row>
    <row r="553" ht="12.0" customHeight="1">
      <c r="B553" s="260"/>
      <c r="F553" s="413"/>
    </row>
    <row r="554" ht="12.0" customHeight="1">
      <c r="B554" s="260"/>
      <c r="F554" s="413"/>
    </row>
    <row r="555" ht="12.0" customHeight="1">
      <c r="B555" s="260"/>
      <c r="F555" s="413"/>
    </row>
    <row r="556" ht="12.0" customHeight="1">
      <c r="B556" s="260"/>
      <c r="F556" s="413"/>
    </row>
    <row r="557" ht="12.0" customHeight="1">
      <c r="B557" s="260"/>
      <c r="F557" s="413"/>
    </row>
    <row r="558" ht="12.0" customHeight="1">
      <c r="B558" s="260"/>
      <c r="F558" s="413"/>
    </row>
    <row r="559" ht="12.0" customHeight="1">
      <c r="B559" s="260"/>
      <c r="F559" s="413"/>
    </row>
    <row r="560" ht="12.0" customHeight="1">
      <c r="B560" s="260"/>
      <c r="F560" s="413"/>
    </row>
    <row r="561" ht="12.0" customHeight="1">
      <c r="B561" s="260"/>
      <c r="F561" s="413"/>
    </row>
    <row r="562" ht="12.0" customHeight="1">
      <c r="B562" s="260"/>
      <c r="F562" s="413"/>
    </row>
    <row r="563" ht="12.0" customHeight="1">
      <c r="B563" s="260"/>
      <c r="F563" s="413"/>
    </row>
    <row r="564" ht="12.0" customHeight="1">
      <c r="B564" s="260"/>
      <c r="F564" s="413"/>
    </row>
    <row r="565" ht="12.0" customHeight="1">
      <c r="B565" s="260"/>
      <c r="F565" s="413"/>
    </row>
    <row r="566" ht="12.0" customHeight="1">
      <c r="B566" s="260"/>
      <c r="F566" s="413"/>
    </row>
    <row r="567" ht="12.0" customHeight="1">
      <c r="B567" s="260"/>
      <c r="F567" s="413"/>
    </row>
    <row r="568" ht="12.0" customHeight="1">
      <c r="B568" s="260"/>
      <c r="F568" s="413"/>
    </row>
    <row r="569" ht="12.0" customHeight="1">
      <c r="B569" s="260"/>
      <c r="F569" s="413"/>
    </row>
    <row r="570" ht="12.0" customHeight="1">
      <c r="B570" s="260"/>
      <c r="F570" s="413"/>
    </row>
    <row r="571" ht="12.0" customHeight="1">
      <c r="B571" s="260"/>
      <c r="F571" s="413"/>
    </row>
    <row r="572" ht="12.0" customHeight="1">
      <c r="B572" s="260"/>
      <c r="F572" s="413"/>
    </row>
    <row r="573" ht="12.0" customHeight="1">
      <c r="B573" s="260"/>
      <c r="F573" s="413"/>
    </row>
    <row r="574" ht="12.0" customHeight="1">
      <c r="B574" s="260"/>
      <c r="F574" s="413"/>
    </row>
    <row r="575" ht="12.0" customHeight="1">
      <c r="B575" s="260"/>
      <c r="F575" s="413"/>
    </row>
    <row r="576" ht="12.0" customHeight="1">
      <c r="B576" s="260"/>
      <c r="F576" s="413"/>
    </row>
    <row r="577" ht="12.0" customHeight="1">
      <c r="B577" s="260"/>
      <c r="F577" s="413"/>
    </row>
    <row r="578" ht="12.0" customHeight="1">
      <c r="B578" s="260"/>
      <c r="F578" s="413"/>
    </row>
    <row r="579" ht="12.0" customHeight="1">
      <c r="B579" s="260"/>
      <c r="F579" s="413"/>
    </row>
    <row r="580" ht="12.0" customHeight="1">
      <c r="B580" s="260"/>
      <c r="F580" s="413"/>
    </row>
    <row r="581" ht="12.0" customHeight="1">
      <c r="B581" s="260"/>
      <c r="F581" s="413"/>
    </row>
    <row r="582" ht="12.0" customHeight="1">
      <c r="B582" s="260"/>
      <c r="F582" s="413"/>
    </row>
    <row r="583" ht="12.0" customHeight="1">
      <c r="B583" s="260"/>
      <c r="F583" s="413"/>
    </row>
    <row r="584" ht="12.0" customHeight="1">
      <c r="B584" s="260"/>
      <c r="F584" s="413"/>
    </row>
    <row r="585" ht="12.0" customHeight="1">
      <c r="B585" s="260"/>
      <c r="F585" s="413"/>
    </row>
    <row r="586" ht="12.0" customHeight="1">
      <c r="B586" s="260"/>
      <c r="F586" s="413"/>
    </row>
    <row r="587" ht="12.0" customHeight="1">
      <c r="B587" s="260"/>
      <c r="F587" s="413"/>
    </row>
    <row r="588" ht="12.0" customHeight="1">
      <c r="B588" s="260"/>
      <c r="F588" s="413"/>
    </row>
    <row r="589" ht="12.0" customHeight="1">
      <c r="B589" s="260"/>
      <c r="F589" s="413"/>
    </row>
    <row r="590" ht="12.0" customHeight="1">
      <c r="B590" s="260"/>
      <c r="F590" s="413"/>
    </row>
    <row r="591" ht="12.0" customHeight="1">
      <c r="B591" s="260"/>
      <c r="F591" s="413"/>
    </row>
    <row r="592" ht="12.0" customHeight="1">
      <c r="B592" s="260"/>
      <c r="F592" s="413"/>
    </row>
    <row r="593" ht="12.0" customHeight="1">
      <c r="B593" s="260"/>
      <c r="F593" s="413"/>
    </row>
    <row r="594" ht="12.0" customHeight="1">
      <c r="B594" s="260"/>
      <c r="F594" s="413"/>
    </row>
    <row r="595" ht="12.0" customHeight="1">
      <c r="B595" s="260"/>
      <c r="F595" s="413"/>
    </row>
    <row r="596" ht="12.0" customHeight="1">
      <c r="B596" s="260"/>
      <c r="F596" s="413"/>
    </row>
    <row r="597" ht="12.0" customHeight="1">
      <c r="B597" s="260"/>
      <c r="F597" s="413"/>
    </row>
    <row r="598" ht="12.0" customHeight="1">
      <c r="B598" s="260"/>
      <c r="F598" s="413"/>
    </row>
    <row r="599" ht="12.0" customHeight="1">
      <c r="B599" s="260"/>
      <c r="F599" s="413"/>
    </row>
    <row r="600" ht="12.0" customHeight="1">
      <c r="B600" s="260"/>
      <c r="F600" s="413"/>
    </row>
    <row r="601" ht="12.0" customHeight="1">
      <c r="B601" s="260"/>
      <c r="F601" s="413"/>
    </row>
    <row r="602" ht="12.0" customHeight="1">
      <c r="B602" s="260"/>
      <c r="F602" s="413"/>
    </row>
    <row r="603" ht="12.0" customHeight="1">
      <c r="B603" s="260"/>
      <c r="F603" s="413"/>
    </row>
    <row r="604" ht="12.0" customHeight="1">
      <c r="B604" s="260"/>
      <c r="F604" s="413"/>
    </row>
    <row r="605" ht="12.0" customHeight="1">
      <c r="B605" s="260"/>
      <c r="F605" s="413"/>
    </row>
    <row r="606" ht="12.0" customHeight="1">
      <c r="B606" s="260"/>
      <c r="F606" s="413"/>
    </row>
    <row r="607" ht="12.0" customHeight="1">
      <c r="B607" s="260"/>
      <c r="F607" s="413"/>
    </row>
    <row r="608" ht="12.0" customHeight="1">
      <c r="B608" s="260"/>
      <c r="F608" s="413"/>
    </row>
    <row r="609" ht="12.0" customHeight="1">
      <c r="B609" s="260"/>
      <c r="F609" s="413"/>
    </row>
    <row r="610" ht="12.0" customHeight="1">
      <c r="B610" s="260"/>
      <c r="F610" s="413"/>
    </row>
    <row r="611" ht="12.0" customHeight="1">
      <c r="B611" s="260"/>
      <c r="F611" s="413"/>
    </row>
    <row r="612" ht="12.0" customHeight="1">
      <c r="B612" s="260"/>
      <c r="F612" s="413"/>
    </row>
    <row r="613" ht="12.0" customHeight="1">
      <c r="B613" s="260"/>
      <c r="F613" s="413"/>
    </row>
    <row r="614" ht="12.0" customHeight="1">
      <c r="B614" s="260"/>
      <c r="F614" s="413"/>
    </row>
    <row r="615" ht="12.0" customHeight="1">
      <c r="B615" s="260"/>
      <c r="F615" s="413"/>
    </row>
    <row r="616" ht="12.0" customHeight="1">
      <c r="B616" s="260"/>
      <c r="F616" s="413"/>
    </row>
    <row r="617" ht="12.0" customHeight="1">
      <c r="B617" s="260"/>
      <c r="F617" s="413"/>
    </row>
    <row r="618" ht="12.0" customHeight="1">
      <c r="B618" s="260"/>
      <c r="F618" s="413"/>
    </row>
    <row r="619" ht="12.0" customHeight="1">
      <c r="B619" s="260"/>
      <c r="F619" s="413"/>
    </row>
    <row r="620" ht="12.0" customHeight="1">
      <c r="B620" s="260"/>
      <c r="F620" s="413"/>
    </row>
    <row r="621" ht="12.0" customHeight="1">
      <c r="B621" s="260"/>
      <c r="F621" s="413"/>
    </row>
    <row r="622" ht="12.0" customHeight="1">
      <c r="B622" s="260"/>
      <c r="F622" s="413"/>
    </row>
    <row r="623" ht="12.0" customHeight="1">
      <c r="B623" s="260"/>
      <c r="F623" s="413"/>
    </row>
    <row r="624" ht="12.0" customHeight="1">
      <c r="B624" s="260"/>
      <c r="F624" s="413"/>
    </row>
    <row r="625" ht="12.0" customHeight="1">
      <c r="B625" s="260"/>
      <c r="F625" s="413"/>
    </row>
    <row r="626" ht="12.0" customHeight="1">
      <c r="B626" s="260"/>
      <c r="F626" s="413"/>
    </row>
    <row r="627" ht="12.0" customHeight="1">
      <c r="B627" s="260"/>
      <c r="F627" s="413"/>
    </row>
    <row r="628" ht="12.0" customHeight="1">
      <c r="B628" s="260"/>
      <c r="F628" s="413"/>
    </row>
    <row r="629" ht="12.0" customHeight="1">
      <c r="B629" s="260"/>
      <c r="F629" s="413"/>
    </row>
    <row r="630" ht="12.0" customHeight="1">
      <c r="B630" s="260"/>
      <c r="F630" s="413"/>
    </row>
    <row r="631" ht="12.0" customHeight="1">
      <c r="B631" s="260"/>
      <c r="F631" s="413"/>
    </row>
    <row r="632" ht="12.0" customHeight="1">
      <c r="B632" s="260"/>
      <c r="F632" s="413"/>
    </row>
    <row r="633" ht="12.0" customHeight="1">
      <c r="B633" s="260"/>
      <c r="F633" s="413"/>
    </row>
    <row r="634" ht="12.0" customHeight="1">
      <c r="B634" s="260"/>
      <c r="F634" s="413"/>
    </row>
    <row r="635" ht="12.0" customHeight="1">
      <c r="B635" s="260"/>
      <c r="F635" s="413"/>
    </row>
    <row r="636" ht="12.0" customHeight="1">
      <c r="B636" s="260"/>
      <c r="F636" s="413"/>
    </row>
    <row r="637" ht="12.0" customHeight="1">
      <c r="B637" s="260"/>
      <c r="F637" s="413"/>
    </row>
    <row r="638" ht="12.0" customHeight="1">
      <c r="B638" s="260"/>
      <c r="F638" s="413"/>
    </row>
    <row r="639" ht="12.0" customHeight="1">
      <c r="B639" s="260"/>
      <c r="F639" s="413"/>
    </row>
    <row r="640" ht="12.0" customHeight="1">
      <c r="B640" s="260"/>
      <c r="F640" s="413"/>
    </row>
    <row r="641" ht="12.0" customHeight="1">
      <c r="B641" s="260"/>
      <c r="F641" s="413"/>
    </row>
    <row r="642" ht="12.0" customHeight="1">
      <c r="B642" s="260"/>
      <c r="F642" s="413"/>
    </row>
    <row r="643" ht="12.0" customHeight="1">
      <c r="B643" s="260"/>
      <c r="F643" s="413"/>
    </row>
    <row r="644" ht="12.0" customHeight="1">
      <c r="B644" s="260"/>
      <c r="F644" s="413"/>
    </row>
    <row r="645" ht="12.0" customHeight="1">
      <c r="B645" s="260"/>
      <c r="F645" s="413"/>
    </row>
    <row r="646" ht="12.0" customHeight="1">
      <c r="B646" s="260"/>
      <c r="F646" s="413"/>
    </row>
    <row r="647" ht="12.0" customHeight="1">
      <c r="B647" s="260"/>
      <c r="F647" s="413"/>
    </row>
    <row r="648" ht="12.0" customHeight="1">
      <c r="B648" s="260"/>
      <c r="F648" s="413"/>
    </row>
    <row r="649" ht="12.0" customHeight="1">
      <c r="B649" s="260"/>
      <c r="F649" s="413"/>
    </row>
    <row r="650" ht="12.0" customHeight="1">
      <c r="B650" s="260"/>
      <c r="F650" s="413"/>
    </row>
    <row r="651" ht="12.0" customHeight="1">
      <c r="B651" s="260"/>
      <c r="F651" s="413"/>
    </row>
    <row r="652" ht="12.0" customHeight="1">
      <c r="B652" s="260"/>
      <c r="F652" s="413"/>
    </row>
    <row r="653" ht="12.0" customHeight="1">
      <c r="B653" s="260"/>
      <c r="F653" s="413"/>
    </row>
    <row r="654" ht="12.0" customHeight="1">
      <c r="B654" s="260"/>
      <c r="F654" s="413"/>
    </row>
    <row r="655" ht="12.0" customHeight="1">
      <c r="B655" s="260"/>
      <c r="F655" s="413"/>
    </row>
    <row r="656" ht="12.0" customHeight="1">
      <c r="B656" s="260"/>
      <c r="F656" s="413"/>
    </row>
    <row r="657" ht="12.0" customHeight="1">
      <c r="B657" s="260"/>
      <c r="F657" s="413"/>
    </row>
    <row r="658" ht="12.0" customHeight="1">
      <c r="B658" s="260"/>
      <c r="F658" s="413"/>
    </row>
    <row r="659" ht="12.0" customHeight="1">
      <c r="B659" s="260"/>
      <c r="F659" s="413"/>
    </row>
    <row r="660" ht="12.0" customHeight="1">
      <c r="B660" s="260"/>
      <c r="F660" s="413"/>
    </row>
    <row r="661" ht="12.0" customHeight="1">
      <c r="B661" s="260"/>
      <c r="F661" s="413"/>
    </row>
    <row r="662" ht="12.0" customHeight="1">
      <c r="B662" s="260"/>
      <c r="F662" s="413"/>
    </row>
    <row r="663" ht="12.0" customHeight="1">
      <c r="B663" s="260"/>
      <c r="F663" s="413"/>
    </row>
    <row r="664" ht="12.0" customHeight="1">
      <c r="B664" s="260"/>
      <c r="F664" s="413"/>
    </row>
    <row r="665" ht="12.0" customHeight="1">
      <c r="B665" s="260"/>
      <c r="F665" s="413"/>
    </row>
    <row r="666" ht="12.0" customHeight="1">
      <c r="B666" s="260"/>
      <c r="F666" s="413"/>
    </row>
    <row r="667" ht="12.0" customHeight="1">
      <c r="B667" s="260"/>
      <c r="F667" s="413"/>
    </row>
    <row r="668" ht="12.0" customHeight="1">
      <c r="B668" s="260"/>
      <c r="F668" s="413"/>
    </row>
    <row r="669" ht="12.0" customHeight="1">
      <c r="B669" s="260"/>
      <c r="F669" s="413"/>
    </row>
    <row r="670" ht="12.0" customHeight="1">
      <c r="B670" s="260"/>
      <c r="F670" s="413"/>
    </row>
    <row r="671" ht="12.0" customHeight="1">
      <c r="B671" s="260"/>
      <c r="F671" s="413"/>
    </row>
    <row r="672" ht="12.0" customHeight="1">
      <c r="B672" s="260"/>
      <c r="F672" s="413"/>
    </row>
    <row r="673" ht="12.0" customHeight="1">
      <c r="B673" s="260"/>
      <c r="F673" s="413"/>
    </row>
    <row r="674" ht="12.0" customHeight="1">
      <c r="B674" s="260"/>
      <c r="F674" s="413"/>
    </row>
    <row r="675" ht="12.0" customHeight="1">
      <c r="B675" s="260"/>
      <c r="F675" s="413"/>
    </row>
    <row r="676" ht="12.0" customHeight="1">
      <c r="B676" s="260"/>
      <c r="F676" s="413"/>
    </row>
    <row r="677" ht="12.0" customHeight="1">
      <c r="B677" s="260"/>
      <c r="F677" s="413"/>
    </row>
    <row r="678" ht="12.0" customHeight="1">
      <c r="B678" s="260"/>
      <c r="F678" s="413"/>
    </row>
    <row r="679" ht="12.0" customHeight="1">
      <c r="B679" s="260"/>
      <c r="F679" s="413"/>
    </row>
    <row r="680" ht="12.0" customHeight="1">
      <c r="B680" s="260"/>
      <c r="F680" s="413"/>
    </row>
    <row r="681" ht="12.0" customHeight="1">
      <c r="B681" s="260"/>
      <c r="F681" s="413"/>
    </row>
    <row r="682" ht="12.0" customHeight="1">
      <c r="B682" s="260"/>
      <c r="F682" s="413"/>
    </row>
    <row r="683" ht="12.0" customHeight="1">
      <c r="B683" s="260"/>
      <c r="F683" s="413"/>
    </row>
    <row r="684" ht="12.0" customHeight="1">
      <c r="B684" s="260"/>
      <c r="F684" s="413"/>
    </row>
    <row r="685" ht="12.0" customHeight="1">
      <c r="B685" s="260"/>
      <c r="F685" s="413"/>
    </row>
    <row r="686" ht="12.0" customHeight="1">
      <c r="B686" s="260"/>
      <c r="F686" s="413"/>
    </row>
    <row r="687" ht="12.0" customHeight="1">
      <c r="B687" s="260"/>
      <c r="F687" s="413"/>
    </row>
    <row r="688" ht="12.0" customHeight="1">
      <c r="B688" s="260"/>
      <c r="F688" s="413"/>
    </row>
    <row r="689" ht="12.0" customHeight="1">
      <c r="B689" s="260"/>
      <c r="F689" s="413"/>
    </row>
    <row r="690" ht="12.0" customHeight="1">
      <c r="B690" s="260"/>
      <c r="F690" s="413"/>
    </row>
    <row r="691" ht="12.0" customHeight="1">
      <c r="B691" s="260"/>
      <c r="F691" s="413"/>
    </row>
    <row r="692" ht="12.0" customHeight="1">
      <c r="B692" s="260"/>
      <c r="F692" s="413"/>
    </row>
    <row r="693" ht="12.0" customHeight="1">
      <c r="B693" s="260"/>
      <c r="F693" s="413"/>
    </row>
    <row r="694" ht="12.0" customHeight="1">
      <c r="B694" s="260"/>
      <c r="F694" s="413"/>
    </row>
    <row r="695" ht="12.0" customHeight="1">
      <c r="B695" s="260"/>
      <c r="F695" s="413"/>
    </row>
    <row r="696" ht="12.0" customHeight="1">
      <c r="B696" s="260"/>
      <c r="F696" s="413"/>
    </row>
    <row r="697" ht="12.0" customHeight="1">
      <c r="B697" s="260"/>
      <c r="F697" s="413"/>
    </row>
    <row r="698" ht="12.0" customHeight="1">
      <c r="B698" s="260"/>
      <c r="F698" s="413"/>
    </row>
    <row r="699" ht="12.0" customHeight="1">
      <c r="B699" s="260"/>
      <c r="F699" s="413"/>
    </row>
    <row r="700" ht="12.0" customHeight="1">
      <c r="B700" s="260"/>
      <c r="F700" s="413"/>
    </row>
    <row r="701" ht="12.0" customHeight="1">
      <c r="B701" s="260"/>
      <c r="F701" s="413"/>
    </row>
    <row r="702" ht="12.0" customHeight="1">
      <c r="B702" s="260"/>
      <c r="F702" s="413"/>
    </row>
    <row r="703" ht="12.0" customHeight="1">
      <c r="B703" s="260"/>
      <c r="F703" s="413"/>
    </row>
    <row r="704" ht="12.0" customHeight="1">
      <c r="B704" s="260"/>
      <c r="F704" s="413"/>
    </row>
    <row r="705" ht="12.0" customHeight="1">
      <c r="B705" s="260"/>
      <c r="F705" s="413"/>
    </row>
    <row r="706" ht="12.0" customHeight="1">
      <c r="B706" s="260"/>
      <c r="F706" s="413"/>
    </row>
    <row r="707" ht="12.0" customHeight="1">
      <c r="B707" s="260"/>
      <c r="F707" s="413"/>
    </row>
    <row r="708" ht="12.0" customHeight="1">
      <c r="B708" s="260"/>
      <c r="F708" s="413"/>
    </row>
    <row r="709" ht="12.0" customHeight="1">
      <c r="B709" s="260"/>
      <c r="F709" s="413"/>
    </row>
    <row r="710" ht="12.0" customHeight="1">
      <c r="B710" s="260"/>
      <c r="F710" s="413"/>
    </row>
    <row r="711" ht="12.0" customHeight="1">
      <c r="B711" s="260"/>
      <c r="F711" s="413"/>
    </row>
    <row r="712" ht="12.0" customHeight="1">
      <c r="B712" s="260"/>
      <c r="F712" s="413"/>
    </row>
    <row r="713" ht="12.0" customHeight="1">
      <c r="B713" s="260"/>
      <c r="F713" s="413"/>
    </row>
    <row r="714" ht="12.0" customHeight="1">
      <c r="B714" s="260"/>
      <c r="F714" s="413"/>
    </row>
    <row r="715" ht="12.0" customHeight="1">
      <c r="B715" s="260"/>
      <c r="F715" s="413"/>
    </row>
    <row r="716" ht="12.0" customHeight="1">
      <c r="B716" s="260"/>
      <c r="F716" s="413"/>
    </row>
    <row r="717" ht="12.0" customHeight="1">
      <c r="B717" s="260"/>
      <c r="F717" s="413"/>
    </row>
    <row r="718" ht="12.0" customHeight="1">
      <c r="B718" s="260"/>
      <c r="F718" s="413"/>
    </row>
    <row r="719" ht="12.0" customHeight="1">
      <c r="B719" s="260"/>
      <c r="F719" s="413"/>
    </row>
    <row r="720" ht="12.0" customHeight="1">
      <c r="B720" s="260"/>
      <c r="F720" s="413"/>
    </row>
    <row r="721" ht="12.0" customHeight="1">
      <c r="B721" s="260"/>
      <c r="F721" s="413"/>
    </row>
    <row r="722" ht="12.0" customHeight="1">
      <c r="B722" s="260"/>
      <c r="F722" s="413"/>
    </row>
    <row r="723" ht="12.0" customHeight="1">
      <c r="B723" s="260"/>
      <c r="F723" s="413"/>
    </row>
    <row r="724" ht="12.0" customHeight="1">
      <c r="B724" s="260"/>
      <c r="F724" s="413"/>
    </row>
    <row r="725" ht="12.0" customHeight="1">
      <c r="B725" s="260"/>
      <c r="F725" s="413"/>
    </row>
    <row r="726" ht="12.0" customHeight="1">
      <c r="B726" s="260"/>
      <c r="F726" s="413"/>
    </row>
    <row r="727" ht="12.0" customHeight="1">
      <c r="B727" s="260"/>
      <c r="F727" s="413"/>
    </row>
    <row r="728" ht="12.0" customHeight="1">
      <c r="B728" s="260"/>
      <c r="F728" s="413"/>
    </row>
    <row r="729" ht="12.0" customHeight="1">
      <c r="B729" s="260"/>
      <c r="F729" s="413"/>
    </row>
    <row r="730" ht="12.0" customHeight="1">
      <c r="B730" s="260"/>
      <c r="F730" s="413"/>
    </row>
    <row r="731" ht="12.0" customHeight="1">
      <c r="B731" s="260"/>
      <c r="F731" s="413"/>
    </row>
    <row r="732" ht="12.0" customHeight="1">
      <c r="B732" s="260"/>
      <c r="F732" s="413"/>
    </row>
    <row r="733" ht="12.0" customHeight="1">
      <c r="B733" s="260"/>
      <c r="F733" s="413"/>
    </row>
    <row r="734" ht="12.0" customHeight="1">
      <c r="B734" s="260"/>
      <c r="F734" s="413"/>
    </row>
    <row r="735" ht="12.0" customHeight="1">
      <c r="B735" s="260"/>
      <c r="F735" s="413"/>
    </row>
    <row r="736" ht="12.0" customHeight="1">
      <c r="B736" s="260"/>
      <c r="F736" s="413"/>
    </row>
    <row r="737" ht="12.0" customHeight="1">
      <c r="B737" s="260"/>
      <c r="F737" s="413"/>
    </row>
    <row r="738" ht="12.0" customHeight="1">
      <c r="B738" s="260"/>
      <c r="F738" s="413"/>
    </row>
    <row r="739" ht="12.0" customHeight="1">
      <c r="B739" s="260"/>
      <c r="F739" s="413"/>
    </row>
    <row r="740" ht="12.0" customHeight="1">
      <c r="B740" s="260"/>
      <c r="F740" s="413"/>
    </row>
    <row r="741" ht="12.0" customHeight="1">
      <c r="B741" s="260"/>
      <c r="F741" s="413"/>
    </row>
    <row r="742" ht="12.0" customHeight="1">
      <c r="B742" s="260"/>
      <c r="F742" s="413"/>
    </row>
    <row r="743" ht="12.0" customHeight="1">
      <c r="B743" s="260"/>
      <c r="F743" s="413"/>
    </row>
    <row r="744" ht="12.0" customHeight="1">
      <c r="B744" s="260"/>
      <c r="F744" s="413"/>
    </row>
    <row r="745" ht="12.0" customHeight="1">
      <c r="B745" s="260"/>
      <c r="F745" s="413"/>
    </row>
    <row r="746" ht="12.0" customHeight="1">
      <c r="B746" s="260"/>
      <c r="F746" s="413"/>
    </row>
    <row r="747" ht="12.0" customHeight="1">
      <c r="B747" s="260"/>
      <c r="F747" s="413"/>
    </row>
    <row r="748" ht="12.0" customHeight="1">
      <c r="B748" s="260"/>
      <c r="F748" s="413"/>
    </row>
    <row r="749" ht="12.0" customHeight="1">
      <c r="B749" s="260"/>
      <c r="F749" s="413"/>
    </row>
    <row r="750" ht="12.0" customHeight="1">
      <c r="B750" s="260"/>
      <c r="F750" s="413"/>
    </row>
    <row r="751" ht="12.0" customHeight="1">
      <c r="B751" s="260"/>
      <c r="F751" s="413"/>
    </row>
    <row r="752" ht="12.0" customHeight="1">
      <c r="B752" s="260"/>
      <c r="F752" s="413"/>
    </row>
    <row r="753" ht="12.0" customHeight="1">
      <c r="B753" s="260"/>
      <c r="F753" s="413"/>
    </row>
    <row r="754" ht="12.0" customHeight="1">
      <c r="B754" s="260"/>
      <c r="F754" s="413"/>
    </row>
    <row r="755" ht="12.0" customHeight="1">
      <c r="B755" s="260"/>
      <c r="F755" s="413"/>
    </row>
    <row r="756" ht="12.0" customHeight="1">
      <c r="B756" s="260"/>
      <c r="F756" s="413"/>
    </row>
    <row r="757" ht="12.0" customHeight="1">
      <c r="B757" s="260"/>
      <c r="F757" s="413"/>
    </row>
    <row r="758" ht="12.0" customHeight="1">
      <c r="B758" s="260"/>
      <c r="F758" s="413"/>
    </row>
    <row r="759" ht="12.0" customHeight="1">
      <c r="B759" s="260"/>
      <c r="F759" s="413"/>
    </row>
    <row r="760" ht="12.0" customHeight="1">
      <c r="B760" s="260"/>
      <c r="F760" s="413"/>
    </row>
    <row r="761" ht="12.0" customHeight="1">
      <c r="B761" s="260"/>
      <c r="F761" s="413"/>
    </row>
    <row r="762" ht="12.0" customHeight="1">
      <c r="B762" s="260"/>
      <c r="F762" s="413"/>
    </row>
    <row r="763" ht="12.0" customHeight="1">
      <c r="B763" s="260"/>
      <c r="F763" s="413"/>
    </row>
    <row r="764" ht="12.0" customHeight="1">
      <c r="B764" s="260"/>
      <c r="F764" s="413"/>
    </row>
    <row r="765" ht="12.0" customHeight="1">
      <c r="B765" s="260"/>
      <c r="F765" s="413"/>
    </row>
    <row r="766" ht="12.0" customHeight="1">
      <c r="B766" s="260"/>
      <c r="F766" s="413"/>
    </row>
    <row r="767" ht="12.0" customHeight="1">
      <c r="B767" s="260"/>
      <c r="F767" s="413"/>
    </row>
    <row r="768" ht="12.0" customHeight="1">
      <c r="B768" s="260"/>
      <c r="F768" s="413"/>
    </row>
    <row r="769" ht="12.0" customHeight="1">
      <c r="B769" s="260"/>
      <c r="F769" s="413"/>
    </row>
    <row r="770" ht="12.0" customHeight="1">
      <c r="B770" s="260"/>
      <c r="F770" s="413"/>
    </row>
    <row r="771" ht="12.0" customHeight="1">
      <c r="B771" s="260"/>
      <c r="F771" s="413"/>
    </row>
    <row r="772" ht="12.0" customHeight="1">
      <c r="B772" s="260"/>
      <c r="F772" s="413"/>
    </row>
    <row r="773" ht="12.0" customHeight="1">
      <c r="B773" s="260"/>
      <c r="F773" s="413"/>
    </row>
    <row r="774" ht="12.0" customHeight="1">
      <c r="B774" s="260"/>
      <c r="F774" s="413"/>
    </row>
    <row r="775" ht="12.0" customHeight="1">
      <c r="B775" s="260"/>
      <c r="F775" s="413"/>
    </row>
    <row r="776" ht="12.0" customHeight="1">
      <c r="B776" s="260"/>
      <c r="F776" s="413"/>
    </row>
    <row r="777" ht="12.0" customHeight="1">
      <c r="B777" s="260"/>
      <c r="F777" s="413"/>
    </row>
    <row r="778" ht="12.0" customHeight="1">
      <c r="B778" s="260"/>
      <c r="F778" s="413"/>
    </row>
    <row r="779" ht="12.0" customHeight="1">
      <c r="B779" s="260"/>
      <c r="F779" s="413"/>
    </row>
    <row r="780" ht="12.0" customHeight="1">
      <c r="B780" s="260"/>
      <c r="F780" s="413"/>
    </row>
    <row r="781" ht="12.0" customHeight="1">
      <c r="B781" s="260"/>
      <c r="F781" s="413"/>
    </row>
    <row r="782" ht="12.0" customHeight="1">
      <c r="B782" s="260"/>
      <c r="F782" s="413"/>
    </row>
    <row r="783" ht="12.0" customHeight="1">
      <c r="B783" s="260"/>
      <c r="F783" s="413"/>
    </row>
    <row r="784" ht="12.0" customHeight="1">
      <c r="B784" s="260"/>
      <c r="F784" s="413"/>
    </row>
    <row r="785" ht="12.0" customHeight="1">
      <c r="B785" s="260"/>
      <c r="F785" s="413"/>
    </row>
    <row r="786" ht="12.0" customHeight="1">
      <c r="B786" s="260"/>
      <c r="F786" s="413"/>
    </row>
    <row r="787" ht="12.0" customHeight="1">
      <c r="B787" s="260"/>
      <c r="F787" s="413"/>
    </row>
    <row r="788" ht="12.0" customHeight="1">
      <c r="B788" s="260"/>
      <c r="F788" s="413"/>
    </row>
    <row r="789" ht="12.0" customHeight="1">
      <c r="B789" s="260"/>
      <c r="F789" s="413"/>
    </row>
    <row r="790" ht="12.0" customHeight="1">
      <c r="B790" s="260"/>
      <c r="F790" s="413"/>
    </row>
    <row r="791" ht="12.0" customHeight="1">
      <c r="B791" s="260"/>
      <c r="F791" s="413"/>
    </row>
    <row r="792" ht="12.0" customHeight="1">
      <c r="B792" s="260"/>
      <c r="F792" s="413"/>
    </row>
    <row r="793" ht="12.0" customHeight="1">
      <c r="B793" s="260"/>
      <c r="F793" s="413"/>
    </row>
    <row r="794" ht="12.0" customHeight="1">
      <c r="B794" s="260"/>
      <c r="F794" s="413"/>
    </row>
    <row r="795" ht="12.0" customHeight="1">
      <c r="B795" s="260"/>
      <c r="F795" s="413"/>
    </row>
    <row r="796" ht="12.0" customHeight="1">
      <c r="B796" s="260"/>
      <c r="F796" s="413"/>
    </row>
    <row r="797" ht="12.0" customHeight="1">
      <c r="B797" s="260"/>
      <c r="F797" s="413"/>
    </row>
    <row r="798" ht="12.0" customHeight="1">
      <c r="B798" s="260"/>
      <c r="F798" s="413"/>
    </row>
    <row r="799" ht="12.0" customHeight="1">
      <c r="B799" s="260"/>
      <c r="F799" s="413"/>
    </row>
    <row r="800" ht="12.0" customHeight="1">
      <c r="B800" s="260"/>
      <c r="F800" s="413"/>
    </row>
    <row r="801" ht="12.0" customHeight="1">
      <c r="B801" s="260"/>
      <c r="F801" s="413"/>
    </row>
    <row r="802" ht="12.0" customHeight="1">
      <c r="B802" s="260"/>
      <c r="F802" s="413"/>
    </row>
    <row r="803" ht="12.0" customHeight="1">
      <c r="B803" s="260"/>
      <c r="F803" s="413"/>
    </row>
    <row r="804" ht="12.0" customHeight="1">
      <c r="B804" s="260"/>
      <c r="F804" s="413"/>
    </row>
    <row r="805" ht="12.0" customHeight="1">
      <c r="B805" s="260"/>
      <c r="F805" s="413"/>
    </row>
    <row r="806" ht="12.0" customHeight="1">
      <c r="B806" s="260"/>
      <c r="F806" s="413"/>
    </row>
    <row r="807" ht="12.0" customHeight="1">
      <c r="B807" s="260"/>
      <c r="F807" s="413"/>
    </row>
    <row r="808" ht="12.0" customHeight="1">
      <c r="B808" s="260"/>
      <c r="F808" s="413"/>
    </row>
    <row r="809" ht="12.0" customHeight="1">
      <c r="B809" s="260"/>
      <c r="F809" s="413"/>
    </row>
    <row r="810" ht="12.0" customHeight="1">
      <c r="B810" s="260"/>
      <c r="F810" s="413"/>
    </row>
    <row r="811" ht="12.0" customHeight="1">
      <c r="B811" s="260"/>
      <c r="F811" s="413"/>
    </row>
    <row r="812" ht="12.0" customHeight="1">
      <c r="B812" s="260"/>
      <c r="F812" s="413"/>
    </row>
    <row r="813" ht="12.0" customHeight="1">
      <c r="B813" s="260"/>
      <c r="F813" s="413"/>
    </row>
    <row r="814" ht="12.0" customHeight="1">
      <c r="B814" s="260"/>
      <c r="F814" s="413"/>
    </row>
    <row r="815" ht="12.0" customHeight="1">
      <c r="B815" s="260"/>
      <c r="F815" s="413"/>
    </row>
    <row r="816" ht="12.0" customHeight="1">
      <c r="B816" s="260"/>
      <c r="F816" s="413"/>
    </row>
    <row r="817" ht="12.0" customHeight="1">
      <c r="B817" s="260"/>
      <c r="F817" s="413"/>
    </row>
    <row r="818" ht="12.0" customHeight="1">
      <c r="B818" s="260"/>
      <c r="F818" s="413"/>
    </row>
    <row r="819" ht="12.0" customHeight="1">
      <c r="B819" s="260"/>
      <c r="F819" s="413"/>
    </row>
    <row r="820" ht="12.0" customHeight="1">
      <c r="B820" s="260"/>
      <c r="F820" s="413"/>
    </row>
    <row r="821" ht="12.0" customHeight="1">
      <c r="B821" s="260"/>
      <c r="F821" s="413"/>
    </row>
    <row r="822" ht="12.0" customHeight="1">
      <c r="B822" s="260"/>
      <c r="F822" s="413"/>
    </row>
    <row r="823" ht="12.0" customHeight="1">
      <c r="B823" s="260"/>
      <c r="F823" s="413"/>
    </row>
    <row r="824" ht="12.0" customHeight="1">
      <c r="B824" s="260"/>
      <c r="F824" s="413"/>
    </row>
    <row r="825" ht="12.0" customHeight="1">
      <c r="B825" s="260"/>
      <c r="F825" s="413"/>
    </row>
    <row r="826" ht="12.0" customHeight="1">
      <c r="B826" s="260"/>
      <c r="F826" s="413"/>
    </row>
    <row r="827" ht="12.0" customHeight="1">
      <c r="B827" s="260"/>
      <c r="F827" s="413"/>
    </row>
    <row r="828" ht="12.0" customHeight="1">
      <c r="B828" s="260"/>
      <c r="F828" s="413"/>
    </row>
    <row r="829" ht="12.0" customHeight="1">
      <c r="B829" s="260"/>
      <c r="F829" s="413"/>
    </row>
    <row r="830" ht="12.0" customHeight="1">
      <c r="B830" s="260"/>
      <c r="F830" s="413"/>
    </row>
    <row r="831" ht="12.0" customHeight="1">
      <c r="B831" s="260"/>
      <c r="F831" s="413"/>
    </row>
    <row r="832" ht="12.0" customHeight="1">
      <c r="B832" s="260"/>
      <c r="F832" s="413"/>
    </row>
    <row r="833" ht="12.0" customHeight="1">
      <c r="B833" s="260"/>
      <c r="F833" s="413"/>
    </row>
    <row r="834" ht="12.0" customHeight="1">
      <c r="B834" s="260"/>
      <c r="F834" s="413"/>
    </row>
    <row r="835" ht="12.0" customHeight="1">
      <c r="B835" s="260"/>
      <c r="F835" s="413"/>
    </row>
    <row r="836" ht="12.0" customHeight="1">
      <c r="B836" s="260"/>
      <c r="F836" s="413"/>
    </row>
    <row r="837" ht="12.0" customHeight="1">
      <c r="B837" s="260"/>
      <c r="F837" s="413"/>
    </row>
    <row r="838" ht="12.0" customHeight="1">
      <c r="B838" s="260"/>
      <c r="F838" s="413"/>
    </row>
    <row r="839" ht="12.0" customHeight="1">
      <c r="B839" s="260"/>
      <c r="F839" s="413"/>
    </row>
    <row r="840" ht="12.0" customHeight="1">
      <c r="B840" s="260"/>
      <c r="F840" s="413"/>
    </row>
    <row r="841" ht="12.0" customHeight="1">
      <c r="B841" s="260"/>
      <c r="F841" s="413"/>
    </row>
    <row r="842" ht="12.0" customHeight="1">
      <c r="B842" s="260"/>
      <c r="F842" s="413"/>
    </row>
    <row r="843" ht="12.0" customHeight="1">
      <c r="B843" s="260"/>
      <c r="F843" s="413"/>
    </row>
    <row r="844" ht="12.0" customHeight="1">
      <c r="B844" s="260"/>
      <c r="F844" s="413"/>
    </row>
    <row r="845" ht="12.0" customHeight="1">
      <c r="B845" s="260"/>
      <c r="F845" s="413"/>
    </row>
    <row r="846" ht="12.0" customHeight="1">
      <c r="B846" s="260"/>
      <c r="F846" s="413"/>
    </row>
    <row r="847" ht="12.0" customHeight="1">
      <c r="B847" s="260"/>
      <c r="F847" s="413"/>
    </row>
    <row r="848" ht="12.0" customHeight="1">
      <c r="B848" s="260"/>
      <c r="F848" s="413"/>
    </row>
    <row r="849" ht="12.0" customHeight="1">
      <c r="B849" s="260"/>
      <c r="F849" s="413"/>
    </row>
    <row r="850" ht="12.0" customHeight="1">
      <c r="B850" s="260"/>
      <c r="F850" s="413"/>
    </row>
    <row r="851" ht="12.0" customHeight="1">
      <c r="B851" s="260"/>
      <c r="F851" s="413"/>
    </row>
    <row r="852" ht="12.0" customHeight="1">
      <c r="B852" s="260"/>
      <c r="F852" s="413"/>
    </row>
    <row r="853" ht="12.0" customHeight="1">
      <c r="B853" s="260"/>
      <c r="F853" s="413"/>
    </row>
    <row r="854" ht="12.0" customHeight="1">
      <c r="B854" s="260"/>
      <c r="F854" s="413"/>
    </row>
    <row r="855" ht="12.0" customHeight="1">
      <c r="B855" s="260"/>
      <c r="F855" s="413"/>
    </row>
    <row r="856" ht="12.0" customHeight="1">
      <c r="B856" s="260"/>
      <c r="F856" s="413"/>
    </row>
    <row r="857" ht="12.0" customHeight="1">
      <c r="B857" s="260"/>
      <c r="F857" s="413"/>
    </row>
    <row r="858" ht="12.0" customHeight="1">
      <c r="B858" s="260"/>
      <c r="F858" s="413"/>
    </row>
    <row r="859" ht="12.0" customHeight="1">
      <c r="B859" s="260"/>
      <c r="F859" s="413"/>
    </row>
    <row r="860" ht="12.0" customHeight="1">
      <c r="B860" s="260"/>
      <c r="F860" s="413"/>
    </row>
    <row r="861" ht="12.0" customHeight="1">
      <c r="B861" s="260"/>
      <c r="F861" s="413"/>
    </row>
    <row r="862" ht="12.0" customHeight="1">
      <c r="B862" s="260"/>
      <c r="F862" s="413"/>
    </row>
    <row r="863" ht="12.0" customHeight="1">
      <c r="B863" s="260"/>
      <c r="F863" s="413"/>
    </row>
    <row r="864" ht="12.0" customHeight="1">
      <c r="B864" s="260"/>
      <c r="F864" s="413"/>
    </row>
    <row r="865" ht="12.0" customHeight="1">
      <c r="B865" s="260"/>
      <c r="F865" s="413"/>
    </row>
    <row r="866" ht="12.0" customHeight="1">
      <c r="B866" s="260"/>
      <c r="F866" s="413"/>
    </row>
    <row r="867" ht="12.0" customHeight="1">
      <c r="B867" s="260"/>
      <c r="F867" s="413"/>
    </row>
    <row r="868" ht="12.0" customHeight="1">
      <c r="B868" s="260"/>
      <c r="F868" s="413"/>
    </row>
    <row r="869" ht="12.0" customHeight="1">
      <c r="B869" s="260"/>
      <c r="F869" s="413"/>
    </row>
    <row r="870" ht="12.0" customHeight="1">
      <c r="B870" s="260"/>
      <c r="F870" s="413"/>
    </row>
    <row r="871" ht="12.0" customHeight="1">
      <c r="B871" s="260"/>
      <c r="F871" s="413"/>
    </row>
    <row r="872" ht="12.0" customHeight="1">
      <c r="B872" s="260"/>
      <c r="F872" s="413"/>
    </row>
    <row r="873" ht="12.0" customHeight="1">
      <c r="B873" s="260"/>
      <c r="F873" s="413"/>
    </row>
    <row r="874" ht="12.0" customHeight="1">
      <c r="B874" s="260"/>
      <c r="F874" s="413"/>
    </row>
    <row r="875" ht="12.0" customHeight="1">
      <c r="B875" s="260"/>
      <c r="F875" s="413"/>
    </row>
    <row r="876" ht="12.0" customHeight="1">
      <c r="B876" s="260"/>
      <c r="F876" s="413"/>
    </row>
    <row r="877" ht="12.0" customHeight="1">
      <c r="B877" s="260"/>
      <c r="F877" s="413"/>
    </row>
    <row r="878" ht="12.0" customHeight="1">
      <c r="B878" s="260"/>
      <c r="F878" s="413"/>
    </row>
    <row r="879" ht="12.0" customHeight="1">
      <c r="B879" s="260"/>
      <c r="F879" s="413"/>
    </row>
    <row r="880" ht="12.0" customHeight="1">
      <c r="B880" s="260"/>
      <c r="F880" s="413"/>
    </row>
    <row r="881" ht="12.0" customHeight="1">
      <c r="B881" s="260"/>
      <c r="F881" s="413"/>
    </row>
    <row r="882" ht="12.0" customHeight="1">
      <c r="B882" s="260"/>
      <c r="F882" s="413"/>
    </row>
    <row r="883" ht="12.0" customHeight="1">
      <c r="B883" s="260"/>
      <c r="F883" s="413"/>
    </row>
    <row r="884" ht="12.0" customHeight="1">
      <c r="B884" s="260"/>
      <c r="F884" s="413"/>
    </row>
    <row r="885" ht="12.0" customHeight="1">
      <c r="B885" s="260"/>
      <c r="F885" s="413"/>
    </row>
    <row r="886" ht="12.0" customHeight="1">
      <c r="B886" s="260"/>
      <c r="F886" s="413"/>
    </row>
    <row r="887" ht="12.0" customHeight="1">
      <c r="B887" s="260"/>
      <c r="F887" s="413"/>
    </row>
    <row r="888" ht="12.0" customHeight="1">
      <c r="B888" s="260"/>
      <c r="F888" s="413"/>
    </row>
    <row r="889" ht="12.0" customHeight="1">
      <c r="B889" s="260"/>
      <c r="F889" s="413"/>
    </row>
    <row r="890" ht="12.0" customHeight="1">
      <c r="B890" s="260"/>
      <c r="F890" s="413"/>
    </row>
    <row r="891" ht="12.0" customHeight="1">
      <c r="B891" s="260"/>
      <c r="F891" s="413"/>
    </row>
    <row r="892" ht="12.0" customHeight="1">
      <c r="B892" s="260"/>
      <c r="F892" s="413"/>
    </row>
    <row r="893" ht="12.0" customHeight="1">
      <c r="B893" s="260"/>
      <c r="F893" s="413"/>
    </row>
    <row r="894" ht="12.0" customHeight="1">
      <c r="B894" s="260"/>
      <c r="F894" s="413"/>
    </row>
    <row r="895" ht="12.0" customHeight="1">
      <c r="B895" s="260"/>
      <c r="F895" s="413"/>
    </row>
    <row r="896" ht="12.0" customHeight="1">
      <c r="B896" s="260"/>
      <c r="F896" s="413"/>
    </row>
    <row r="897" ht="12.0" customHeight="1">
      <c r="B897" s="260"/>
      <c r="F897" s="413"/>
    </row>
    <row r="898" ht="12.0" customHeight="1">
      <c r="B898" s="260"/>
      <c r="F898" s="413"/>
    </row>
    <row r="899" ht="12.0" customHeight="1">
      <c r="B899" s="260"/>
      <c r="F899" s="413"/>
    </row>
    <row r="900" ht="12.0" customHeight="1">
      <c r="B900" s="260"/>
      <c r="F900" s="413"/>
    </row>
    <row r="901" ht="12.0" customHeight="1">
      <c r="B901" s="260"/>
      <c r="F901" s="413"/>
    </row>
    <row r="902" ht="12.0" customHeight="1">
      <c r="B902" s="260"/>
      <c r="F902" s="413"/>
    </row>
    <row r="903" ht="12.0" customHeight="1">
      <c r="B903" s="260"/>
      <c r="F903" s="413"/>
    </row>
    <row r="904" ht="12.0" customHeight="1">
      <c r="B904" s="260"/>
      <c r="F904" s="413"/>
    </row>
    <row r="905" ht="12.0" customHeight="1">
      <c r="B905" s="260"/>
      <c r="F905" s="413"/>
    </row>
    <row r="906" ht="12.0" customHeight="1">
      <c r="B906" s="260"/>
      <c r="F906" s="413"/>
    </row>
    <row r="907" ht="12.0" customHeight="1">
      <c r="B907" s="260"/>
      <c r="F907" s="413"/>
    </row>
    <row r="908" ht="12.0" customHeight="1">
      <c r="B908" s="260"/>
      <c r="F908" s="413"/>
    </row>
    <row r="909" ht="12.0" customHeight="1">
      <c r="B909" s="260"/>
      <c r="F909" s="413"/>
    </row>
    <row r="910" ht="12.0" customHeight="1">
      <c r="B910" s="260"/>
      <c r="F910" s="413"/>
    </row>
    <row r="911" ht="12.0" customHeight="1">
      <c r="B911" s="260"/>
      <c r="F911" s="413"/>
    </row>
    <row r="912" ht="12.0" customHeight="1">
      <c r="B912" s="260"/>
      <c r="F912" s="413"/>
    </row>
    <row r="913" ht="12.0" customHeight="1">
      <c r="B913" s="260"/>
      <c r="F913" s="413"/>
    </row>
    <row r="914" ht="12.0" customHeight="1">
      <c r="B914" s="260"/>
      <c r="F914" s="413"/>
    </row>
    <row r="915" ht="12.0" customHeight="1">
      <c r="B915" s="260"/>
      <c r="F915" s="413"/>
    </row>
    <row r="916" ht="12.0" customHeight="1">
      <c r="B916" s="260"/>
      <c r="F916" s="413"/>
    </row>
    <row r="917" ht="12.0" customHeight="1">
      <c r="B917" s="260"/>
      <c r="F917" s="413"/>
    </row>
    <row r="918" ht="12.0" customHeight="1">
      <c r="B918" s="260"/>
      <c r="F918" s="413"/>
    </row>
    <row r="919" ht="12.0" customHeight="1">
      <c r="B919" s="260"/>
      <c r="F919" s="413"/>
    </row>
    <row r="920" ht="12.0" customHeight="1">
      <c r="B920" s="260"/>
      <c r="F920" s="413"/>
    </row>
    <row r="921" ht="12.0" customHeight="1">
      <c r="B921" s="260"/>
      <c r="F921" s="413"/>
    </row>
    <row r="922" ht="12.0" customHeight="1">
      <c r="B922" s="260"/>
      <c r="F922" s="413"/>
    </row>
    <row r="923" ht="12.0" customHeight="1">
      <c r="B923" s="260"/>
      <c r="F923" s="413"/>
    </row>
    <row r="924" ht="12.0" customHeight="1">
      <c r="B924" s="260"/>
      <c r="F924" s="413"/>
    </row>
    <row r="925" ht="12.0" customHeight="1">
      <c r="B925" s="260"/>
      <c r="F925" s="413"/>
    </row>
    <row r="926" ht="12.0" customHeight="1">
      <c r="B926" s="260"/>
      <c r="F926" s="413"/>
    </row>
    <row r="927" ht="12.0" customHeight="1">
      <c r="B927" s="260"/>
      <c r="F927" s="413"/>
    </row>
    <row r="928" ht="12.0" customHeight="1">
      <c r="B928" s="260"/>
      <c r="F928" s="413"/>
    </row>
    <row r="929" ht="12.0" customHeight="1">
      <c r="B929" s="260"/>
      <c r="F929" s="413"/>
    </row>
    <row r="930" ht="12.0" customHeight="1">
      <c r="B930" s="260"/>
      <c r="F930" s="413"/>
    </row>
    <row r="931" ht="12.0" customHeight="1">
      <c r="B931" s="260"/>
      <c r="F931" s="413"/>
    </row>
    <row r="932" ht="12.0" customHeight="1">
      <c r="B932" s="260"/>
      <c r="F932" s="413"/>
    </row>
    <row r="933" ht="12.0" customHeight="1">
      <c r="B933" s="260"/>
      <c r="F933" s="413"/>
    </row>
    <row r="934" ht="12.0" customHeight="1">
      <c r="B934" s="260"/>
      <c r="F934" s="413"/>
    </row>
    <row r="935" ht="12.0" customHeight="1">
      <c r="B935" s="260"/>
      <c r="F935" s="413"/>
    </row>
    <row r="936" ht="12.0" customHeight="1">
      <c r="B936" s="260"/>
      <c r="F936" s="413"/>
    </row>
    <row r="937" ht="12.0" customHeight="1">
      <c r="B937" s="260"/>
      <c r="F937" s="413"/>
    </row>
    <row r="938" ht="12.0" customHeight="1">
      <c r="B938" s="260"/>
      <c r="F938" s="413"/>
    </row>
    <row r="939" ht="12.0" customHeight="1">
      <c r="B939" s="260"/>
      <c r="F939" s="413"/>
    </row>
    <row r="940" ht="12.0" customHeight="1">
      <c r="B940" s="260"/>
      <c r="F940" s="413"/>
    </row>
    <row r="941" ht="12.0" customHeight="1">
      <c r="B941" s="260"/>
      <c r="F941" s="413"/>
    </row>
    <row r="942" ht="12.0" customHeight="1">
      <c r="B942" s="260"/>
      <c r="F942" s="413"/>
    </row>
    <row r="943" ht="12.0" customHeight="1">
      <c r="B943" s="260"/>
      <c r="F943" s="413"/>
    </row>
    <row r="944" ht="12.0" customHeight="1">
      <c r="B944" s="260"/>
      <c r="F944" s="413"/>
    </row>
    <row r="945" ht="12.0" customHeight="1">
      <c r="B945" s="260"/>
      <c r="F945" s="413"/>
    </row>
    <row r="946" ht="12.0" customHeight="1">
      <c r="B946" s="260"/>
      <c r="F946" s="413"/>
    </row>
    <row r="947" ht="12.0" customHeight="1">
      <c r="B947" s="260"/>
      <c r="F947" s="413"/>
    </row>
    <row r="948" ht="12.0" customHeight="1">
      <c r="B948" s="260"/>
      <c r="F948" s="413"/>
    </row>
    <row r="949" ht="12.0" customHeight="1">
      <c r="B949" s="260"/>
      <c r="F949" s="413"/>
    </row>
    <row r="950" ht="12.0" customHeight="1">
      <c r="B950" s="260"/>
      <c r="F950" s="413"/>
    </row>
    <row r="951" ht="12.0" customHeight="1">
      <c r="B951" s="260"/>
      <c r="F951" s="413"/>
    </row>
    <row r="952" ht="12.0" customHeight="1">
      <c r="B952" s="260"/>
      <c r="F952" s="413"/>
    </row>
    <row r="953" ht="12.0" customHeight="1">
      <c r="B953" s="260"/>
      <c r="F953" s="413"/>
    </row>
    <row r="954" ht="12.0" customHeight="1">
      <c r="B954" s="260"/>
      <c r="F954" s="413"/>
    </row>
    <row r="955" ht="12.0" customHeight="1">
      <c r="B955" s="260"/>
      <c r="F955" s="413"/>
    </row>
    <row r="956" ht="12.0" customHeight="1">
      <c r="B956" s="260"/>
      <c r="F956" s="413"/>
    </row>
    <row r="957" ht="12.0" customHeight="1">
      <c r="B957" s="260"/>
      <c r="F957" s="413"/>
    </row>
    <row r="958" ht="12.0" customHeight="1">
      <c r="B958" s="260"/>
      <c r="F958" s="413"/>
    </row>
    <row r="959" ht="12.0" customHeight="1">
      <c r="B959" s="260"/>
      <c r="F959" s="413"/>
    </row>
    <row r="960" ht="12.0" customHeight="1">
      <c r="B960" s="260"/>
      <c r="F960" s="413"/>
    </row>
    <row r="961" ht="12.0" customHeight="1">
      <c r="B961" s="260"/>
      <c r="F961" s="413"/>
    </row>
    <row r="962" ht="12.0" customHeight="1">
      <c r="B962" s="260"/>
      <c r="F962" s="413"/>
    </row>
    <row r="963" ht="12.0" customHeight="1">
      <c r="B963" s="260"/>
      <c r="F963" s="413"/>
    </row>
    <row r="964" ht="12.0" customHeight="1">
      <c r="B964" s="260"/>
      <c r="F964" s="413"/>
    </row>
    <row r="965" ht="12.0" customHeight="1">
      <c r="B965" s="260"/>
      <c r="F965" s="413"/>
    </row>
    <row r="966" ht="12.0" customHeight="1">
      <c r="B966" s="260"/>
      <c r="F966" s="413"/>
    </row>
    <row r="967" ht="12.0" customHeight="1">
      <c r="B967" s="260"/>
      <c r="F967" s="413"/>
    </row>
    <row r="968" ht="12.0" customHeight="1">
      <c r="B968" s="260"/>
      <c r="F968" s="413"/>
    </row>
    <row r="969" ht="12.0" customHeight="1">
      <c r="B969" s="260"/>
      <c r="F969" s="413"/>
    </row>
    <row r="970" ht="12.0" customHeight="1">
      <c r="B970" s="260"/>
      <c r="F970" s="413"/>
    </row>
    <row r="971" ht="12.0" customHeight="1">
      <c r="B971" s="260"/>
      <c r="F971" s="413"/>
    </row>
    <row r="972" ht="12.0" customHeight="1">
      <c r="B972" s="260"/>
      <c r="F972" s="413"/>
    </row>
    <row r="973" ht="12.0" customHeight="1">
      <c r="B973" s="260"/>
      <c r="F973" s="413"/>
    </row>
    <row r="974" ht="12.0" customHeight="1">
      <c r="B974" s="260"/>
      <c r="F974" s="413"/>
    </row>
    <row r="975" ht="12.0" customHeight="1">
      <c r="B975" s="260"/>
      <c r="F975" s="413"/>
    </row>
    <row r="976" ht="12.0" customHeight="1">
      <c r="B976" s="260"/>
      <c r="F976" s="413"/>
    </row>
    <row r="977" ht="12.0" customHeight="1">
      <c r="B977" s="260"/>
      <c r="F977" s="413"/>
    </row>
    <row r="978" ht="12.0" customHeight="1">
      <c r="B978" s="260"/>
      <c r="F978" s="413"/>
    </row>
    <row r="979" ht="12.0" customHeight="1">
      <c r="B979" s="260"/>
      <c r="F979" s="413"/>
    </row>
    <row r="980" ht="12.0" customHeight="1">
      <c r="B980" s="260"/>
      <c r="F980" s="413"/>
    </row>
    <row r="981" ht="12.0" customHeight="1">
      <c r="B981" s="260"/>
      <c r="F981" s="413"/>
    </row>
    <row r="982" ht="12.0" customHeight="1">
      <c r="B982" s="260"/>
      <c r="F982" s="413"/>
    </row>
    <row r="983" ht="12.0" customHeight="1">
      <c r="B983" s="260"/>
      <c r="F983" s="413"/>
    </row>
    <row r="984" ht="12.0" customHeight="1">
      <c r="B984" s="260"/>
      <c r="F984" s="413"/>
    </row>
    <row r="985" ht="12.0" customHeight="1">
      <c r="B985" s="260"/>
      <c r="F985" s="413"/>
    </row>
    <row r="986" ht="12.0" customHeight="1">
      <c r="B986" s="260"/>
      <c r="F986" s="413"/>
    </row>
    <row r="987" ht="12.0" customHeight="1">
      <c r="B987" s="260"/>
      <c r="F987" s="413"/>
    </row>
    <row r="988" ht="12.0" customHeight="1">
      <c r="B988" s="260"/>
      <c r="F988" s="413"/>
    </row>
    <row r="989" ht="12.0" customHeight="1">
      <c r="B989" s="260"/>
      <c r="F989" s="413"/>
    </row>
    <row r="990" ht="12.0" customHeight="1">
      <c r="B990" s="260"/>
      <c r="F990" s="413"/>
    </row>
    <row r="991" ht="12.0" customHeight="1">
      <c r="B991" s="260"/>
      <c r="F991" s="413"/>
    </row>
    <row r="992" ht="12.0" customHeight="1">
      <c r="B992" s="260"/>
      <c r="F992" s="413"/>
    </row>
    <row r="993" ht="12.0" customHeight="1">
      <c r="B993" s="260"/>
      <c r="F993" s="413"/>
    </row>
    <row r="994" ht="12.0" customHeight="1">
      <c r="B994" s="260"/>
      <c r="F994" s="413"/>
    </row>
    <row r="995" ht="12.0" customHeight="1">
      <c r="B995" s="260"/>
      <c r="F995" s="413"/>
    </row>
    <row r="996" ht="12.0" customHeight="1">
      <c r="B996" s="260"/>
      <c r="F996" s="413"/>
    </row>
  </sheetData>
  <mergeCells count="19">
    <mergeCell ref="B35:C35"/>
    <mergeCell ref="F35:G35"/>
    <mergeCell ref="B44:C44"/>
    <mergeCell ref="B46:G49"/>
    <mergeCell ref="B51:D51"/>
    <mergeCell ref="F51:H51"/>
    <mergeCell ref="G52:H52"/>
    <mergeCell ref="E64:F66"/>
    <mergeCell ref="G64:H66"/>
    <mergeCell ref="B67:D67"/>
    <mergeCell ref="E67:F67"/>
    <mergeCell ref="G67:H67"/>
    <mergeCell ref="G53:H53"/>
    <mergeCell ref="G54:H54"/>
    <mergeCell ref="G55:H55"/>
    <mergeCell ref="G56:H56"/>
    <mergeCell ref="G57:H57"/>
    <mergeCell ref="G58:H58"/>
    <mergeCell ref="B64:D66"/>
  </mergeCells>
  <dataValidations>
    <dataValidation type="list" allowBlank="1" showErrorMessage="1" sqref="C22">
      <formula1>'IGCSE 1A'!$A$2:$A$30</formula1>
    </dataValidation>
  </dataValidations>
  <printOptions/>
  <pageMargins bottom="0.75" footer="0.0" header="0.0" left="0.7" right="0.7" top="0.75"/>
  <pageSetup paperSize="8"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18.13"/>
    <col customWidth="1" min="4" max="4" width="15.63"/>
    <col customWidth="1" min="5" max="5" width="20.5"/>
    <col customWidth="1" min="6" max="6" width="13.5"/>
    <col customWidth="1" min="7" max="7" width="16.5"/>
    <col customWidth="1" min="8" max="8" width="0.75"/>
    <col customWidth="1" min="9" max="26" width="8.63"/>
  </cols>
  <sheetData>
    <row r="1" ht="12.0" customHeight="1">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351">
        <v>4.0</v>
      </c>
      <c r="D22" s="2"/>
      <c r="E22" s="2"/>
      <c r="F22" s="2"/>
      <c r="G22" s="2"/>
      <c r="H22" s="2"/>
    </row>
    <row r="23" ht="21.0" customHeight="1">
      <c r="A23" s="2"/>
      <c r="B23" s="260"/>
      <c r="D23" s="2"/>
      <c r="E23" s="2"/>
      <c r="F23" s="2"/>
      <c r="G23" s="2"/>
      <c r="H23" s="2"/>
    </row>
    <row r="24" ht="12.0" customHeight="1">
      <c r="A24" s="2"/>
      <c r="B24" s="260"/>
      <c r="D24" s="2"/>
      <c r="E24" s="2"/>
      <c r="F24" s="2"/>
      <c r="G24" s="2"/>
      <c r="H24" s="2"/>
    </row>
    <row r="25" ht="21.75" customHeight="1">
      <c r="A25" s="2"/>
      <c r="B25" s="375" t="s">
        <v>619</v>
      </c>
      <c r="C25" s="377" t="str">
        <f>VLOOKUP($C$22,'AS LEVEL'!$A$2:$B$8,2,0)</f>
        <v>Shadia Mahamuud</v>
      </c>
      <c r="E25" s="375" t="s">
        <v>620</v>
      </c>
      <c r="F25" s="422" t="s">
        <v>55</v>
      </c>
      <c r="G25" s="423"/>
      <c r="H25" s="2"/>
    </row>
    <row r="26" ht="12.0" customHeight="1">
      <c r="A26" s="2"/>
      <c r="B26" s="271"/>
      <c r="C26" s="273"/>
      <c r="D26" s="273"/>
      <c r="E26" s="273"/>
      <c r="F26" s="273"/>
      <c r="G26" s="273"/>
      <c r="H26" s="2"/>
    </row>
    <row r="27" ht="26.25" customHeight="1">
      <c r="A27" s="274"/>
      <c r="B27" s="275" t="s">
        <v>621</v>
      </c>
      <c r="C27" s="275" t="s">
        <v>661</v>
      </c>
      <c r="D27" s="275" t="s">
        <v>83</v>
      </c>
      <c r="E27" s="275" t="s">
        <v>662</v>
      </c>
      <c r="F27" s="424" t="s">
        <v>663</v>
      </c>
      <c r="G27" s="46"/>
      <c r="H27" s="278"/>
      <c r="I27" s="425" t="s">
        <v>209</v>
      </c>
      <c r="J27" s="279"/>
      <c r="K27" s="279"/>
      <c r="L27" s="279"/>
      <c r="M27" s="279"/>
      <c r="N27" s="279"/>
      <c r="O27" s="279"/>
      <c r="P27" s="279"/>
      <c r="Q27" s="279"/>
      <c r="R27" s="279"/>
      <c r="S27" s="279"/>
      <c r="T27" s="279"/>
      <c r="U27" s="279"/>
      <c r="V27" s="279"/>
      <c r="W27" s="279"/>
      <c r="X27" s="279"/>
      <c r="Y27" s="279"/>
      <c r="Z27" s="279"/>
    </row>
    <row r="28" ht="22.5" customHeight="1">
      <c r="A28" s="280"/>
      <c r="B28" s="405" t="s">
        <v>23</v>
      </c>
      <c r="C28" s="405" t="str">
        <f>VLOOKUP($C$22,'AS LEVEL'!$A$2:$V$8,3,0)</f>
        <v/>
      </c>
      <c r="D28" s="405" t="str">
        <f>VLOOKUP($C$22,'AS LEVEL'!$A$2:$V$8,4,0)</f>
        <v>U</v>
      </c>
      <c r="E28" s="405" t="str">
        <f t="shared" ref="E28:E37" si="1">IF(C28&gt;80,"Very good",IF(C28&gt;49,"Good","Workhard"))</f>
        <v>Workhard</v>
      </c>
      <c r="F28" s="426" t="str">
        <f t="shared" ref="F28:F37" si="2">IF(C28&gt;49,"Pass","Fail")</f>
        <v>Fail</v>
      </c>
      <c r="G28" s="46"/>
      <c r="H28" s="283"/>
    </row>
    <row r="29" ht="22.5" customHeight="1">
      <c r="A29" s="280"/>
      <c r="B29" s="405" t="s">
        <v>24</v>
      </c>
      <c r="C29" s="405">
        <f>VLOOKUP($C$22,'AS LEVEL'!$A$2:$V$8,5,0)</f>
        <v>85</v>
      </c>
      <c r="D29" s="405" t="str">
        <f>VLOOKUP($C$22,'AS LEVEL'!$A$2:$V$8,6,0)</f>
        <v>A</v>
      </c>
      <c r="E29" s="405" t="str">
        <f t="shared" si="1"/>
        <v>Very good</v>
      </c>
      <c r="F29" s="426" t="str">
        <f t="shared" si="2"/>
        <v>Pass</v>
      </c>
      <c r="G29" s="46"/>
      <c r="H29" s="283"/>
    </row>
    <row r="30" ht="25.5" customHeight="1">
      <c r="A30" s="280"/>
      <c r="B30" s="405" t="s">
        <v>44</v>
      </c>
      <c r="C30" s="405">
        <f>VLOOKUP($C$22,'AS LEVEL'!$A$2:$V$12,7,0)</f>
        <v>73</v>
      </c>
      <c r="D30" s="405" t="str">
        <f>VLOOKUP($C$22,'AS LEVEL'!$A$2:$V$12,8,0)</f>
        <v>B</v>
      </c>
      <c r="E30" s="405" t="str">
        <f t="shared" si="1"/>
        <v>Good</v>
      </c>
      <c r="F30" s="426" t="str">
        <f t="shared" si="2"/>
        <v>Pass</v>
      </c>
      <c r="G30" s="46"/>
      <c r="H30" s="283"/>
    </row>
    <row r="31" ht="23.25" customHeight="1">
      <c r="A31" s="280"/>
      <c r="B31" s="405" t="s">
        <v>45</v>
      </c>
      <c r="C31" s="405" t="str">
        <f>VLOOKUP($C$22,'AS LEVEL'!$A$2:$V$12,9,0)</f>
        <v/>
      </c>
      <c r="D31" s="405" t="str">
        <f>VLOOKUP($C$22,'AS LEVEL'!$A$2:$V$12,10,0)</f>
        <v>U</v>
      </c>
      <c r="E31" s="405" t="str">
        <f t="shared" si="1"/>
        <v>Workhard</v>
      </c>
      <c r="F31" s="426" t="str">
        <f t="shared" si="2"/>
        <v>Fail</v>
      </c>
      <c r="G31" s="46"/>
      <c r="H31" s="283"/>
    </row>
    <row r="32" ht="25.5" customHeight="1">
      <c r="A32" s="280"/>
      <c r="B32" s="405" t="s">
        <v>49</v>
      </c>
      <c r="C32" s="405">
        <f>VLOOKUP($C$22,'AS LEVEL'!$A$2:$V$12,19,0)</f>
        <v>56</v>
      </c>
      <c r="D32" s="405" t="str">
        <f>VLOOKUP($C$22,'AS LEVEL'!$A$2:$V$12,20,0)</f>
        <v>D</v>
      </c>
      <c r="E32" s="405" t="str">
        <f t="shared" si="1"/>
        <v>Good</v>
      </c>
      <c r="F32" s="426" t="str">
        <f t="shared" si="2"/>
        <v>Pass</v>
      </c>
      <c r="G32" s="46"/>
      <c r="H32" s="283"/>
    </row>
    <row r="33" ht="25.5" customHeight="1">
      <c r="A33" s="280"/>
      <c r="B33" s="405" t="s">
        <v>47</v>
      </c>
      <c r="C33" s="405" t="str">
        <f>VLOOKUP($C$22,'AS LEVEL'!$A$2:$V$12,11,0)</f>
        <v/>
      </c>
      <c r="D33" s="405" t="str">
        <f>VLOOKUP($C$22,'AS LEVEL'!$A$2:$V$12,12,0)</f>
        <v>U</v>
      </c>
      <c r="E33" s="405" t="str">
        <f t="shared" si="1"/>
        <v>Workhard</v>
      </c>
      <c r="F33" s="426" t="str">
        <f t="shared" si="2"/>
        <v>Fail</v>
      </c>
      <c r="G33" s="46"/>
      <c r="H33" s="283"/>
    </row>
    <row r="34" ht="24.0" customHeight="1">
      <c r="A34" s="280"/>
      <c r="B34" s="427" t="s">
        <v>58</v>
      </c>
      <c r="C34" s="405" t="str">
        <f>VLOOKUP($C$22,'AS LEVEL'!$A$2:$V$12,15,0)</f>
        <v/>
      </c>
      <c r="D34" s="405" t="str">
        <f>VLOOKUP($C$22,'AS LEVEL'!$A$2:$V$12,16,0)</f>
        <v>U</v>
      </c>
      <c r="E34" s="405" t="str">
        <f t="shared" si="1"/>
        <v>Workhard</v>
      </c>
      <c r="F34" s="426" t="str">
        <f t="shared" si="2"/>
        <v>Fail</v>
      </c>
      <c r="G34" s="46"/>
      <c r="H34" s="283"/>
    </row>
    <row r="35" ht="25.5" customHeight="1">
      <c r="A35" s="280"/>
      <c r="B35" s="405" t="s">
        <v>28</v>
      </c>
      <c r="C35" s="405" t="str">
        <f>VLOOKUP($C$22,'AS LEVEL'!$A$2:$V$12,13,0)</f>
        <v/>
      </c>
      <c r="D35" s="405" t="str">
        <f>VLOOKUP($C$22,'AS LEVEL'!$A$2:$V$12,14,0)</f>
        <v>U</v>
      </c>
      <c r="E35" s="405" t="str">
        <f t="shared" si="1"/>
        <v>Workhard</v>
      </c>
      <c r="F35" s="426" t="str">
        <f t="shared" si="2"/>
        <v>Fail</v>
      </c>
      <c r="G35" s="46"/>
      <c r="H35" s="283"/>
    </row>
    <row r="36" ht="23.25" customHeight="1">
      <c r="A36" s="280"/>
      <c r="B36" s="427" t="s">
        <v>671</v>
      </c>
      <c r="C36" s="405" t="str">
        <f>VLOOKUP($C$22,'AS LEVEL'!$A$2:$V$12,21,0)</f>
        <v/>
      </c>
      <c r="D36" s="405" t="str">
        <f>VLOOKUP($C$22,'AS LEVEL'!$A$2:$V$12,22,0)</f>
        <v>U</v>
      </c>
      <c r="E36" s="405" t="str">
        <f t="shared" si="1"/>
        <v>Workhard</v>
      </c>
      <c r="F36" s="426" t="str">
        <f t="shared" si="2"/>
        <v>Fail</v>
      </c>
      <c r="G36" s="46"/>
      <c r="H36" s="283"/>
    </row>
    <row r="37" ht="23.25" customHeight="1">
      <c r="A37" s="280"/>
      <c r="B37" s="405" t="s">
        <v>48</v>
      </c>
      <c r="C37" s="405" t="str">
        <f>VLOOKUP($C$22,'AS LEVEL'!$A$2:$V$12,17,0)</f>
        <v/>
      </c>
      <c r="D37" s="405" t="str">
        <f>VLOOKUP($C$22,'AS LEVEL'!$A$2:$V$12,18,0)</f>
        <v>U</v>
      </c>
      <c r="E37" s="405" t="str">
        <f t="shared" si="1"/>
        <v>Workhard</v>
      </c>
      <c r="F37" s="426" t="str">
        <f t="shared" si="2"/>
        <v>Fail</v>
      </c>
      <c r="G37" s="46"/>
      <c r="H37" s="283"/>
    </row>
    <row r="38" ht="21.75" customHeight="1">
      <c r="A38" s="2"/>
      <c r="B38" s="260"/>
      <c r="D38" s="284"/>
      <c r="E38" s="284"/>
      <c r="F38" s="284"/>
      <c r="G38" s="284"/>
      <c r="H38" s="2"/>
    </row>
    <row r="39" ht="12.0" customHeight="1">
      <c r="A39" s="2"/>
      <c r="B39" s="428" t="s">
        <v>655</v>
      </c>
      <c r="C39" s="365"/>
      <c r="D39" s="2"/>
      <c r="E39" s="2"/>
      <c r="F39" s="289" t="s">
        <v>627</v>
      </c>
      <c r="G39" s="46"/>
      <c r="H39" s="2"/>
    </row>
    <row r="40" ht="28.5" customHeight="1">
      <c r="A40" s="280"/>
      <c r="B40" s="371" t="s">
        <v>74</v>
      </c>
      <c r="C40" s="405" t="str">
        <f>VLOOKUP($C$22,'AS LEVEL'!$A$1:$AD$8,26,0)</f>
        <v>B</v>
      </c>
      <c r="E40" s="280"/>
      <c r="F40" s="371" t="s">
        <v>628</v>
      </c>
      <c r="G40" s="429">
        <f>AVERAGE(C28:C37)</f>
        <v>71.33333333</v>
      </c>
      <c r="H40" s="283"/>
    </row>
    <row r="41" ht="26.25" customHeight="1">
      <c r="A41" s="280"/>
      <c r="B41" s="371" t="s">
        <v>75</v>
      </c>
      <c r="C41" s="405" t="str">
        <f>VLOOKUP($C$22,'AS LEVEL'!$A$1:$AD$8,27,0)</f>
        <v>A</v>
      </c>
      <c r="E41" s="280"/>
      <c r="F41" s="371" t="s">
        <v>629</v>
      </c>
      <c r="G41" s="430">
        <f>COUNTIF(C27:C35,"&gt;=50")</f>
        <v>3</v>
      </c>
      <c r="H41" s="283"/>
    </row>
    <row r="42" ht="24.0" customHeight="1">
      <c r="A42" s="280"/>
      <c r="B42" s="371" t="s">
        <v>76</v>
      </c>
      <c r="C42" s="405" t="str">
        <f>VLOOKUP($C$22,'AS LEVEL'!$A$1:$AD$8,28,0)</f>
        <v>B</v>
      </c>
      <c r="E42" s="280"/>
      <c r="F42" s="371" t="s">
        <v>630</v>
      </c>
      <c r="G42" s="430">
        <f>COUNTIF(C28:C37,"&lt;=50")</f>
        <v>0</v>
      </c>
      <c r="H42" s="296"/>
    </row>
    <row r="43" ht="28.5" customHeight="1">
      <c r="A43" s="280"/>
      <c r="B43" s="371" t="s">
        <v>672</v>
      </c>
      <c r="C43" s="405" t="str">
        <f>VLOOKUP($C$22,'AS LEVEL'!$A$1:$AD$8,29,0)</f>
        <v>B</v>
      </c>
      <c r="E43" s="280"/>
      <c r="F43" s="371" t="s">
        <v>632</v>
      </c>
      <c r="G43" s="371">
        <f>COUNTA('AS LEVEL'!$B$2:$B$8)</f>
        <v>7</v>
      </c>
      <c r="H43" s="296"/>
    </row>
    <row r="44" ht="19.5" customHeight="1">
      <c r="A44" s="280"/>
      <c r="B44" s="430" t="s">
        <v>210</v>
      </c>
      <c r="C44" s="405" t="str">
        <f>VLOOKUP($C$22,'AS LEVEL'!$A$1:$AD$8,30,0)</f>
        <v>B</v>
      </c>
      <c r="E44" s="280"/>
      <c r="H44" s="296"/>
    </row>
    <row r="45" ht="8.25" customHeight="1">
      <c r="A45" s="2"/>
      <c r="B45" s="300"/>
      <c r="C45" s="284"/>
      <c r="D45" s="2"/>
      <c r="E45" s="2"/>
      <c r="F45" s="301" t="s">
        <v>633</v>
      </c>
      <c r="G45" s="284"/>
      <c r="H45" s="261"/>
    </row>
    <row r="46" ht="12.0" customHeight="1">
      <c r="A46" s="2"/>
      <c r="B46" s="261"/>
      <c r="C46" s="2"/>
      <c r="D46" s="2"/>
      <c r="E46" s="2"/>
      <c r="F46" s="2"/>
      <c r="G46" s="2"/>
      <c r="H46" s="261"/>
    </row>
    <row r="47" ht="12.0" customHeight="1">
      <c r="A47" s="2"/>
      <c r="B47" s="261"/>
      <c r="C47" s="2"/>
      <c r="D47" s="2"/>
      <c r="E47" s="2"/>
      <c r="F47" s="2"/>
      <c r="G47" s="2"/>
      <c r="H47" s="261"/>
    </row>
    <row r="48" ht="12.0" customHeight="1">
      <c r="A48" s="2"/>
      <c r="B48" s="431" t="s">
        <v>634</v>
      </c>
      <c r="C48" s="10"/>
      <c r="D48" s="2"/>
      <c r="E48" s="2"/>
      <c r="F48" s="2"/>
      <c r="G48" s="2"/>
      <c r="H48" s="261"/>
    </row>
    <row r="49" ht="12.0" customHeight="1">
      <c r="A49" s="2"/>
      <c r="B49" s="271"/>
      <c r="C49" s="273"/>
      <c r="D49" s="273"/>
      <c r="E49" s="273"/>
      <c r="F49" s="273"/>
      <c r="G49" s="273"/>
      <c r="H49" s="261"/>
    </row>
    <row r="50" ht="12.75" customHeight="1">
      <c r="A50" s="280"/>
      <c r="B50" s="432" t="str">
        <f>VLOOKUP($C$22,'AS LEVEL'!$A$1:$AE$8,31,0)</f>
        <v>Shadia is a brilliant and enthusiastic student and engages actively with her classmates. She has shown a strong passion for learning and a genuine eagerness to explore new academic knowledge. To maximise her academic potential, she is encouraged to continue seeking guidance from both her peers and teachers whenever necessary. Good effort.</v>
      </c>
      <c r="C50" s="336"/>
      <c r="D50" s="336"/>
      <c r="E50" s="336"/>
      <c r="F50" s="336"/>
      <c r="G50" s="337"/>
      <c r="H50" s="296"/>
    </row>
    <row r="51" ht="30.0" customHeight="1">
      <c r="A51" s="280"/>
      <c r="B51" s="342"/>
      <c r="G51" s="343"/>
      <c r="H51" s="296"/>
    </row>
    <row r="52" ht="17.25" customHeight="1">
      <c r="A52" s="280"/>
      <c r="B52" s="342"/>
      <c r="G52" s="343"/>
      <c r="H52" s="296"/>
    </row>
    <row r="53" ht="12.0" customHeight="1">
      <c r="A53" s="280"/>
      <c r="B53" s="345"/>
      <c r="C53" s="346"/>
      <c r="D53" s="346"/>
      <c r="E53" s="346"/>
      <c r="F53" s="346"/>
      <c r="G53" s="325"/>
      <c r="H53" s="283"/>
    </row>
    <row r="54" ht="12.0" customHeight="1">
      <c r="A54" s="2"/>
      <c r="B54" s="314"/>
      <c r="C54" s="286"/>
      <c r="D54" s="286"/>
      <c r="E54" s="284"/>
      <c r="F54" s="286"/>
      <c r="G54" s="286"/>
      <c r="H54" s="2"/>
    </row>
    <row r="55" ht="15.75" customHeight="1">
      <c r="A55" s="280"/>
      <c r="B55" s="367" t="s">
        <v>673</v>
      </c>
      <c r="C55" s="45"/>
      <c r="D55" s="46"/>
      <c r="E55" s="368"/>
      <c r="F55" s="319" t="s">
        <v>636</v>
      </c>
      <c r="G55" s="45"/>
      <c r="H55" s="46"/>
    </row>
    <row r="56" ht="17.25" customHeight="1">
      <c r="A56" s="280"/>
      <c r="B56" s="371" t="s">
        <v>637</v>
      </c>
      <c r="C56" s="371" t="s">
        <v>638</v>
      </c>
      <c r="D56" s="371" t="s">
        <v>639</v>
      </c>
      <c r="E56" s="368"/>
      <c r="F56" s="323" t="s">
        <v>637</v>
      </c>
      <c r="G56" s="324" t="s">
        <v>638</v>
      </c>
      <c r="H56" s="325"/>
    </row>
    <row r="57" ht="18.0" customHeight="1">
      <c r="A57" s="280"/>
      <c r="B57" s="371" t="s">
        <v>151</v>
      </c>
      <c r="C57" s="371" t="s">
        <v>86</v>
      </c>
      <c r="D57" s="371" t="s">
        <v>640</v>
      </c>
      <c r="E57" s="368"/>
      <c r="F57" s="327" t="s">
        <v>641</v>
      </c>
      <c r="G57" s="328" t="s">
        <v>86</v>
      </c>
      <c r="H57" s="325"/>
    </row>
    <row r="58" ht="22.5" customHeight="1">
      <c r="A58" s="280"/>
      <c r="B58" s="371" t="s">
        <v>150</v>
      </c>
      <c r="C58" s="371" t="s">
        <v>85</v>
      </c>
      <c r="D58" s="371" t="s">
        <v>640</v>
      </c>
      <c r="E58" s="368"/>
      <c r="F58" s="327" t="s">
        <v>149</v>
      </c>
      <c r="G58" s="328" t="s">
        <v>85</v>
      </c>
      <c r="H58" s="325"/>
    </row>
    <row r="59" ht="16.5" customHeight="1">
      <c r="A59" s="280"/>
      <c r="B59" s="371" t="s">
        <v>149</v>
      </c>
      <c r="C59" s="371" t="s">
        <v>87</v>
      </c>
      <c r="D59" s="371" t="s">
        <v>642</v>
      </c>
      <c r="E59" s="368"/>
      <c r="F59" s="327" t="s">
        <v>148</v>
      </c>
      <c r="G59" s="328" t="s">
        <v>87</v>
      </c>
      <c r="H59" s="325"/>
    </row>
    <row r="60" ht="19.5" customHeight="1">
      <c r="A60" s="280"/>
      <c r="B60" s="371" t="s">
        <v>148</v>
      </c>
      <c r="C60" s="371" t="s">
        <v>90</v>
      </c>
      <c r="D60" s="371" t="s">
        <v>643</v>
      </c>
      <c r="E60" s="368"/>
      <c r="F60" s="327" t="s">
        <v>147</v>
      </c>
      <c r="G60" s="328" t="s">
        <v>90</v>
      </c>
      <c r="H60" s="325"/>
    </row>
    <row r="61" ht="25.5" customHeight="1">
      <c r="A61" s="280"/>
      <c r="B61" s="371" t="s">
        <v>147</v>
      </c>
      <c r="C61" s="371" t="s">
        <v>93</v>
      </c>
      <c r="D61" s="371" t="s">
        <v>644</v>
      </c>
      <c r="E61" s="368"/>
      <c r="F61" s="386" t="s">
        <v>645</v>
      </c>
      <c r="G61" s="372" t="s">
        <v>93</v>
      </c>
      <c r="H61" s="343"/>
    </row>
    <row r="62" ht="18.75" customHeight="1">
      <c r="A62" s="280"/>
      <c r="B62" s="371" t="s">
        <v>145</v>
      </c>
      <c r="C62" s="371" t="s">
        <v>146</v>
      </c>
      <c r="D62" s="371" t="s">
        <v>644</v>
      </c>
      <c r="E62" s="368"/>
      <c r="F62" s="433"/>
      <c r="G62" s="433"/>
      <c r="H62" s="283"/>
    </row>
    <row r="63" ht="19.5" customHeight="1">
      <c r="A63" s="280"/>
      <c r="B63" s="371" t="s">
        <v>143</v>
      </c>
      <c r="C63" s="371" t="s">
        <v>144</v>
      </c>
      <c r="D63" s="371" t="s">
        <v>646</v>
      </c>
      <c r="E63" s="283"/>
      <c r="F63" s="284"/>
      <c r="G63" s="284"/>
      <c r="H63" s="2"/>
    </row>
    <row r="64" ht="12.0" customHeight="1">
      <c r="A64" s="280"/>
      <c r="B64" s="371" t="s">
        <v>141</v>
      </c>
      <c r="C64" s="371" t="s">
        <v>142</v>
      </c>
      <c r="D64" s="371" t="s">
        <v>646</v>
      </c>
      <c r="E64" s="283"/>
      <c r="F64" s="2" t="s">
        <v>647</v>
      </c>
      <c r="G64" s="2"/>
      <c r="H64" s="2"/>
    </row>
    <row r="65" ht="13.5" customHeight="1">
      <c r="A65" s="280"/>
      <c r="B65" s="371" t="s">
        <v>139</v>
      </c>
      <c r="C65" s="371" t="s">
        <v>140</v>
      </c>
      <c r="D65" s="371" t="s">
        <v>646</v>
      </c>
      <c r="E65" s="283"/>
      <c r="F65" s="2" t="s">
        <v>648</v>
      </c>
      <c r="G65" s="2"/>
      <c r="H65" s="2"/>
    </row>
    <row r="66" ht="12.0" customHeight="1">
      <c r="A66" s="2"/>
      <c r="B66" s="300"/>
      <c r="C66" s="284"/>
      <c r="D66" s="284"/>
      <c r="E66" s="2"/>
      <c r="F66" s="2"/>
      <c r="G66" s="2"/>
      <c r="H66" s="2"/>
    </row>
    <row r="67" ht="12.0" customHeight="1">
      <c r="B67" s="335" t="s">
        <v>674</v>
      </c>
      <c r="C67" s="336"/>
      <c r="D67" s="337"/>
      <c r="E67" s="374"/>
      <c r="F67" s="339"/>
      <c r="G67" s="340"/>
      <c r="H67" s="341"/>
    </row>
    <row r="68" ht="12.0" customHeight="1">
      <c r="B68" s="342"/>
      <c r="D68" s="343"/>
      <c r="F68" s="344"/>
      <c r="H68" s="343"/>
    </row>
    <row r="69" ht="12.0" customHeight="1">
      <c r="B69" s="345"/>
      <c r="C69" s="346"/>
      <c r="D69" s="325"/>
      <c r="E69" s="346"/>
      <c r="F69" s="347"/>
      <c r="G69" s="346"/>
      <c r="H69" s="325"/>
    </row>
    <row r="70" ht="12.0" customHeight="1">
      <c r="B70" s="348" t="s">
        <v>650</v>
      </c>
      <c r="C70" s="346"/>
      <c r="D70" s="325"/>
      <c r="E70" s="349" t="s">
        <v>651</v>
      </c>
      <c r="F70" s="325"/>
      <c r="G70" s="350" t="s">
        <v>652</v>
      </c>
      <c r="H70" s="325"/>
    </row>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c r="B98" s="260"/>
    </row>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row r="997" ht="12.0" customHeight="1">
      <c r="B997" s="260"/>
    </row>
    <row r="998" ht="12.0" customHeight="1">
      <c r="B998" s="260"/>
    </row>
    <row r="999" ht="12.0" customHeight="1">
      <c r="B999" s="260"/>
    </row>
    <row r="1000" ht="12.0" customHeight="1">
      <c r="B1000" s="260"/>
    </row>
  </sheetData>
  <mergeCells count="29">
    <mergeCell ref="F27:G27"/>
    <mergeCell ref="F28:G28"/>
    <mergeCell ref="F29:G29"/>
    <mergeCell ref="F30:G30"/>
    <mergeCell ref="F31:G31"/>
    <mergeCell ref="F32:G32"/>
    <mergeCell ref="F33:G33"/>
    <mergeCell ref="F34:G34"/>
    <mergeCell ref="F35:G35"/>
    <mergeCell ref="F36:G36"/>
    <mergeCell ref="F37:G37"/>
    <mergeCell ref="B39:C39"/>
    <mergeCell ref="F39:G39"/>
    <mergeCell ref="B48:C48"/>
    <mergeCell ref="G60:H60"/>
    <mergeCell ref="G61:H61"/>
    <mergeCell ref="B67:D69"/>
    <mergeCell ref="E67:F69"/>
    <mergeCell ref="G67:H69"/>
    <mergeCell ref="B70:D70"/>
    <mergeCell ref="E70:F70"/>
    <mergeCell ref="G70:H70"/>
    <mergeCell ref="B50:G53"/>
    <mergeCell ref="B55:D55"/>
    <mergeCell ref="F55:H55"/>
    <mergeCell ref="G56:H56"/>
    <mergeCell ref="G57:H57"/>
    <mergeCell ref="G58:H58"/>
    <mergeCell ref="G59:H59"/>
  </mergeCells>
  <dataValidations>
    <dataValidation type="list" allowBlank="1" showErrorMessage="1" sqref="C22">
      <formula1>'AS LEVEL'!$A$2:$A$24</formula1>
    </dataValidation>
  </dataValidations>
  <printOptions/>
  <pageMargins bottom="0.75" footer="0.0" header="0.0" left="0.7" right="0.7" top="0.75"/>
  <pageSetup paperSize="8"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8.13"/>
    <col customWidth="1" min="2" max="2" width="21.88"/>
    <col customWidth="1" min="3" max="3" width="18.13"/>
    <col customWidth="1" min="4" max="4" width="15.63"/>
    <col customWidth="1" min="5" max="5" width="20.5"/>
    <col customWidth="1" min="6" max="6" width="13.5"/>
    <col customWidth="1" min="7" max="7" width="16.5"/>
    <col customWidth="1" min="8" max="8" width="0.75"/>
    <col customWidth="1" min="9" max="26" width="8.63"/>
  </cols>
  <sheetData>
    <row r="1" ht="12.0" customHeight="1">
      <c r="B1" s="260"/>
    </row>
    <row r="2" ht="12.0" customHeight="1">
      <c r="B2" s="260"/>
    </row>
    <row r="3" ht="12.0" customHeight="1">
      <c r="A3" s="2"/>
      <c r="B3" s="261"/>
      <c r="C3" s="2"/>
      <c r="D3" s="2"/>
      <c r="E3" s="2"/>
      <c r="F3" s="2"/>
      <c r="G3" s="2"/>
      <c r="H3" s="2"/>
    </row>
    <row r="4" ht="12.0" customHeight="1">
      <c r="A4" s="2"/>
      <c r="B4" s="261"/>
      <c r="C4" s="2"/>
      <c r="D4" s="2"/>
      <c r="E4" s="2"/>
      <c r="F4" s="2"/>
      <c r="G4" s="2"/>
      <c r="H4" s="2"/>
    </row>
    <row r="5" ht="12.0" customHeight="1">
      <c r="A5" s="2"/>
      <c r="B5" s="261"/>
      <c r="C5" s="2"/>
      <c r="D5" s="2"/>
      <c r="E5" s="2"/>
      <c r="F5" s="2"/>
      <c r="G5" s="2"/>
      <c r="H5" s="2"/>
    </row>
    <row r="6" ht="12.0" customHeight="1">
      <c r="A6" s="2"/>
      <c r="B6" s="261"/>
      <c r="C6" s="2"/>
      <c r="D6" s="2"/>
      <c r="E6" s="2"/>
      <c r="F6" s="2"/>
      <c r="G6" s="2"/>
      <c r="H6" s="2"/>
    </row>
    <row r="7" ht="12.0" customHeight="1">
      <c r="A7" s="2"/>
      <c r="B7" s="261"/>
      <c r="C7" s="2"/>
      <c r="D7" s="2"/>
      <c r="E7" s="2"/>
      <c r="F7" s="2"/>
      <c r="G7" s="2"/>
      <c r="H7" s="2"/>
    </row>
    <row r="8" ht="12.0" customHeight="1">
      <c r="A8" s="2"/>
      <c r="B8" s="261"/>
      <c r="C8" s="2"/>
      <c r="D8" s="2"/>
      <c r="E8" s="2"/>
      <c r="F8" s="2"/>
      <c r="G8" s="2"/>
      <c r="H8" s="2"/>
    </row>
    <row r="9" ht="12.0" customHeight="1">
      <c r="A9" s="2"/>
      <c r="B9" s="261"/>
      <c r="C9" s="2"/>
      <c r="D9" s="2"/>
      <c r="E9" s="2"/>
      <c r="F9" s="2"/>
      <c r="G9" s="2"/>
      <c r="H9" s="2"/>
    </row>
    <row r="10" ht="12.0" customHeight="1">
      <c r="A10" s="2"/>
      <c r="B10" s="261"/>
      <c r="C10" s="2"/>
      <c r="D10" s="2"/>
      <c r="E10" s="2"/>
      <c r="F10" s="2"/>
      <c r="G10" s="2"/>
      <c r="H10" s="2"/>
    </row>
    <row r="11" ht="12.0" customHeight="1">
      <c r="A11" s="2"/>
      <c r="B11" s="261"/>
      <c r="C11" s="2"/>
      <c r="D11" s="2"/>
      <c r="E11" s="2"/>
      <c r="F11" s="2"/>
      <c r="G11" s="2"/>
      <c r="H11" s="2"/>
    </row>
    <row r="12" ht="12.0" customHeight="1">
      <c r="A12" s="2"/>
      <c r="B12" s="261"/>
      <c r="C12" s="2"/>
      <c r="D12" s="2"/>
      <c r="E12" s="2"/>
      <c r="F12" s="2"/>
      <c r="G12" s="2"/>
      <c r="H12" s="2"/>
    </row>
    <row r="13" ht="12.0" customHeight="1">
      <c r="A13" s="2"/>
      <c r="B13" s="261"/>
      <c r="C13" s="2"/>
      <c r="D13" s="2"/>
      <c r="E13" s="2"/>
      <c r="F13" s="2"/>
      <c r="G13" s="2"/>
      <c r="H13" s="2"/>
    </row>
    <row r="14" ht="12.0" customHeight="1">
      <c r="A14" s="2"/>
      <c r="B14" s="261"/>
      <c r="C14" s="2"/>
      <c r="D14" s="2"/>
      <c r="E14" s="2"/>
      <c r="F14" s="2"/>
      <c r="G14" s="2"/>
      <c r="H14" s="2"/>
    </row>
    <row r="15" ht="12.0" customHeight="1">
      <c r="A15" s="2"/>
      <c r="B15" s="261"/>
      <c r="C15" s="2"/>
      <c r="D15" s="2"/>
      <c r="E15" s="2"/>
      <c r="F15" s="2"/>
      <c r="G15" s="2"/>
      <c r="H15" s="2"/>
    </row>
    <row r="16" ht="12.0" customHeight="1">
      <c r="A16" s="2"/>
      <c r="B16" s="261"/>
      <c r="C16" s="2"/>
      <c r="D16" s="2"/>
      <c r="E16" s="2"/>
      <c r="F16" s="2"/>
      <c r="G16" s="2"/>
      <c r="H16" s="2"/>
    </row>
    <row r="17" ht="12.0" customHeight="1">
      <c r="A17" s="2"/>
      <c r="B17" s="261"/>
      <c r="C17" s="2"/>
      <c r="D17" s="2"/>
      <c r="E17" s="2"/>
      <c r="F17" s="2"/>
      <c r="G17" s="2"/>
      <c r="H17" s="2"/>
    </row>
    <row r="18" ht="12.0" customHeight="1">
      <c r="A18" s="2"/>
      <c r="B18" s="261"/>
      <c r="C18" s="2"/>
      <c r="D18" s="2"/>
      <c r="E18" s="2"/>
      <c r="F18" s="2"/>
      <c r="G18" s="2"/>
      <c r="H18" s="2"/>
    </row>
    <row r="19" ht="12.0" customHeight="1">
      <c r="A19" s="2"/>
      <c r="B19" s="261"/>
      <c r="C19" s="2"/>
      <c r="D19" s="2"/>
      <c r="E19" s="2"/>
      <c r="F19" s="2"/>
      <c r="G19" s="2"/>
      <c r="H19" s="2"/>
    </row>
    <row r="20" ht="9.0" customHeight="1">
      <c r="A20" s="2"/>
      <c r="B20" s="261"/>
      <c r="C20" s="2"/>
      <c r="D20" s="2"/>
      <c r="E20" s="2"/>
      <c r="F20" s="2"/>
      <c r="G20" s="2"/>
      <c r="H20" s="2"/>
    </row>
    <row r="21" ht="12.0" customHeight="1">
      <c r="A21" s="2"/>
      <c r="B21" s="2"/>
      <c r="C21" s="2"/>
      <c r="D21" s="2"/>
      <c r="E21" s="2"/>
      <c r="F21" s="2"/>
      <c r="G21" s="2"/>
      <c r="H21" s="2"/>
    </row>
    <row r="22" ht="21.0" customHeight="1">
      <c r="A22" s="2"/>
      <c r="B22" s="2" t="s">
        <v>618</v>
      </c>
      <c r="C22" s="351">
        <v>2.0</v>
      </c>
      <c r="D22" s="2"/>
      <c r="E22" s="2"/>
      <c r="F22" s="2"/>
      <c r="G22" s="2"/>
      <c r="H22" s="2"/>
    </row>
    <row r="23" ht="21.0" customHeight="1">
      <c r="A23" s="2"/>
      <c r="B23" s="260"/>
      <c r="D23" s="2"/>
      <c r="E23" s="2"/>
      <c r="F23" s="2"/>
      <c r="G23" s="2"/>
      <c r="H23" s="2"/>
    </row>
    <row r="24" ht="12.0" customHeight="1">
      <c r="A24" s="2"/>
      <c r="B24" s="260"/>
      <c r="D24" s="2"/>
      <c r="E24" s="2"/>
      <c r="F24" s="2"/>
      <c r="G24" s="2"/>
      <c r="H24" s="2"/>
    </row>
    <row r="25" ht="21.75" customHeight="1">
      <c r="A25" s="2"/>
      <c r="B25" s="375" t="s">
        <v>619</v>
      </c>
      <c r="C25" s="377" t="str">
        <f>VLOOKUP($C$22,'A LEVEL'!$A$2:$B$8,2,0)</f>
        <v>Andy Muteba Dakwa</v>
      </c>
      <c r="E25" s="375" t="s">
        <v>620</v>
      </c>
      <c r="F25" s="377" t="s">
        <v>675</v>
      </c>
      <c r="G25" s="423"/>
      <c r="H25" s="2"/>
    </row>
    <row r="26" ht="12.0" customHeight="1">
      <c r="A26" s="2"/>
      <c r="B26" s="271"/>
      <c r="C26" s="273"/>
      <c r="D26" s="273"/>
      <c r="E26" s="273"/>
      <c r="F26" s="273"/>
      <c r="G26" s="273"/>
      <c r="H26" s="2"/>
    </row>
    <row r="27" ht="26.25" customHeight="1">
      <c r="A27" s="274"/>
      <c r="B27" s="275" t="s">
        <v>621</v>
      </c>
      <c r="C27" s="275" t="s">
        <v>661</v>
      </c>
      <c r="D27" s="275" t="s">
        <v>83</v>
      </c>
      <c r="E27" s="275" t="s">
        <v>662</v>
      </c>
      <c r="F27" s="424" t="s">
        <v>663</v>
      </c>
      <c r="G27" s="46"/>
      <c r="H27" s="278"/>
      <c r="I27" s="279"/>
      <c r="J27" s="279"/>
      <c r="K27" s="279"/>
      <c r="L27" s="279"/>
      <c r="M27" s="279"/>
      <c r="N27" s="279"/>
      <c r="O27" s="279"/>
      <c r="P27" s="279"/>
      <c r="Q27" s="279"/>
      <c r="R27" s="279"/>
      <c r="S27" s="279"/>
      <c r="T27" s="279"/>
      <c r="U27" s="279"/>
      <c r="V27" s="279"/>
      <c r="W27" s="279"/>
      <c r="X27" s="279"/>
      <c r="Y27" s="279"/>
      <c r="Z27" s="279"/>
    </row>
    <row r="28" ht="22.5" customHeight="1">
      <c r="A28" s="280"/>
      <c r="B28" s="405" t="s">
        <v>23</v>
      </c>
      <c r="C28" s="405">
        <f>VLOOKUP($C$22,'A LEVEL'!$A$2:$V$8,3,0)</f>
        <v>27</v>
      </c>
      <c r="D28" s="405" t="str">
        <f>VLOOKUP($C$22,'A LEVEL'!$A$2:$V$8,4,0)</f>
        <v>G</v>
      </c>
      <c r="E28" s="405" t="str">
        <f t="shared" ref="E28:E35" si="1">IF(C28&gt;80,"Very good",IF(C28&gt;49,"Good","Work Hard"))</f>
        <v>Work Hard</v>
      </c>
      <c r="F28" s="426" t="str">
        <f t="shared" ref="F28:F35" si="2">IF(C28&gt;49,"Pass","Fail")</f>
        <v>Fail</v>
      </c>
      <c r="G28" s="46"/>
      <c r="H28" s="283"/>
    </row>
    <row r="29" ht="22.5" customHeight="1">
      <c r="A29" s="280"/>
      <c r="B29" s="405" t="s">
        <v>24</v>
      </c>
      <c r="C29" s="405" t="str">
        <f>VLOOKUP($C$22,'A LEVEL'!$A$2:$V$8,5,0)</f>
        <v/>
      </c>
      <c r="D29" s="405" t="str">
        <f>VLOOKUP($C$22,'A LEVEL'!$A$2:$V$8,6,0)</f>
        <v>U</v>
      </c>
      <c r="E29" s="405" t="str">
        <f t="shared" si="1"/>
        <v>Work Hard</v>
      </c>
      <c r="F29" s="426" t="str">
        <f t="shared" si="2"/>
        <v>Fail</v>
      </c>
      <c r="G29" s="46"/>
      <c r="H29" s="283"/>
    </row>
    <row r="30" ht="25.5" customHeight="1">
      <c r="A30" s="280"/>
      <c r="B30" s="405" t="s">
        <v>44</v>
      </c>
      <c r="C30" s="405" t="str">
        <f>VLOOKUP($C$22,'A LEVEL'!$A$2:$V$12,7,0)</f>
        <v/>
      </c>
      <c r="D30" s="405" t="str">
        <f>VLOOKUP($C$22,'A LEVEL'!$A$2:$V$12,8,0)</f>
        <v>U</v>
      </c>
      <c r="E30" s="405" t="str">
        <f t="shared" si="1"/>
        <v>Work Hard</v>
      </c>
      <c r="F30" s="426" t="str">
        <f t="shared" si="2"/>
        <v>Fail</v>
      </c>
      <c r="G30" s="46"/>
      <c r="H30" s="283"/>
    </row>
    <row r="31" ht="23.25" customHeight="1">
      <c r="A31" s="280"/>
      <c r="B31" s="405" t="s">
        <v>45</v>
      </c>
      <c r="C31" s="405" t="str">
        <f>VLOOKUP($C$22,'A LEVEL'!$A$2:$V$12,9,0)</f>
        <v/>
      </c>
      <c r="D31" s="405" t="str">
        <f>VLOOKUP($C$22,'A LEVEL'!$A$2:$V$12,10,0)</f>
        <v>U</v>
      </c>
      <c r="E31" s="405" t="str">
        <f t="shared" si="1"/>
        <v>Work Hard</v>
      </c>
      <c r="F31" s="426" t="str">
        <f t="shared" si="2"/>
        <v>Fail</v>
      </c>
      <c r="G31" s="46"/>
      <c r="H31" s="283"/>
    </row>
    <row r="32" ht="25.5" customHeight="1">
      <c r="A32" s="280"/>
      <c r="B32" s="405" t="s">
        <v>49</v>
      </c>
      <c r="C32" s="405" t="str">
        <f>VLOOKUP($C$22,'A LEVEL'!$A$2:$V$12,19,0)</f>
        <v/>
      </c>
      <c r="D32" s="405" t="str">
        <f>VLOOKUP($C$22,'A LEVEL'!$A$2:$V$12,20,0)</f>
        <v>U</v>
      </c>
      <c r="E32" s="405" t="str">
        <f t="shared" si="1"/>
        <v>Work Hard</v>
      </c>
      <c r="F32" s="426" t="str">
        <f t="shared" si="2"/>
        <v>Fail</v>
      </c>
      <c r="G32" s="46"/>
      <c r="H32" s="283"/>
    </row>
    <row r="33" ht="25.5" customHeight="1">
      <c r="A33" s="280"/>
      <c r="B33" s="427" t="s">
        <v>58</v>
      </c>
      <c r="C33" s="405">
        <f>VLOOKUP($C$22,'A LEVEL'!$A$2:$V$12,15,0)</f>
        <v>44</v>
      </c>
      <c r="D33" s="405" t="str">
        <f>VLOOKUP($C$22,'A LEVEL'!$A$2:$V$12,16,0)</f>
        <v>E</v>
      </c>
      <c r="E33" s="405" t="str">
        <f t="shared" si="1"/>
        <v>Work Hard</v>
      </c>
      <c r="F33" s="426" t="str">
        <f t="shared" si="2"/>
        <v>Fail</v>
      </c>
      <c r="G33" s="46"/>
      <c r="H33" s="283"/>
    </row>
    <row r="34" ht="24.0" customHeight="1">
      <c r="A34" s="280"/>
      <c r="B34" s="405" t="s">
        <v>46</v>
      </c>
      <c r="C34" s="405" t="str">
        <f>VLOOKUP($C$22,'A LEVEL'!$A$2:$V$12,11,0)</f>
        <v/>
      </c>
      <c r="D34" s="405" t="str">
        <f>VLOOKUP($C$22,'A LEVEL'!$A$2:$V$12,12,0)</f>
        <v>U</v>
      </c>
      <c r="E34" s="405" t="str">
        <f t="shared" si="1"/>
        <v>Work Hard</v>
      </c>
      <c r="F34" s="426" t="str">
        <f t="shared" si="2"/>
        <v>Fail</v>
      </c>
      <c r="G34" s="46"/>
      <c r="H34" s="283"/>
    </row>
    <row r="35" ht="25.5" customHeight="1">
      <c r="A35" s="280"/>
      <c r="B35" s="405" t="s">
        <v>28</v>
      </c>
      <c r="C35" s="405">
        <f>VLOOKUP($C$22,'A LEVEL'!$A$2:$V$12,13,0)</f>
        <v>58</v>
      </c>
      <c r="D35" s="405" t="str">
        <f>VLOOKUP($C$22,'A LEVEL'!$A$2:$V$12,14,0)</f>
        <v>D</v>
      </c>
      <c r="E35" s="405" t="str">
        <f t="shared" si="1"/>
        <v>Good</v>
      </c>
      <c r="F35" s="426" t="str">
        <f t="shared" si="2"/>
        <v>Pass</v>
      </c>
      <c r="G35" s="46"/>
      <c r="H35" s="283"/>
    </row>
    <row r="36" ht="21.75" customHeight="1">
      <c r="A36" s="280"/>
      <c r="B36" s="260"/>
      <c r="D36" s="313"/>
      <c r="E36" s="313"/>
      <c r="F36" s="313"/>
      <c r="G36" s="313"/>
      <c r="H36" s="283"/>
    </row>
    <row r="37" ht="21.75" customHeight="1">
      <c r="A37" s="2"/>
      <c r="B37" s="260"/>
      <c r="D37" s="284"/>
      <c r="E37" s="284"/>
      <c r="F37" s="284"/>
      <c r="G37" s="284"/>
      <c r="H37" s="2"/>
    </row>
    <row r="38" ht="12.0" customHeight="1">
      <c r="A38" s="2"/>
      <c r="B38" s="428" t="s">
        <v>655</v>
      </c>
      <c r="C38" s="365"/>
      <c r="D38" s="2"/>
      <c r="E38" s="2"/>
      <c r="F38" s="289" t="s">
        <v>627</v>
      </c>
      <c r="G38" s="46"/>
      <c r="H38" s="2"/>
    </row>
    <row r="39" ht="28.5" customHeight="1">
      <c r="A39" s="280"/>
      <c r="B39" s="371" t="s">
        <v>74</v>
      </c>
      <c r="C39" s="405" t="str">
        <f>VLOOKUP($C$22,'A LEVEL'!$A$1:$AD$8,26,0)</f>
        <v>B</v>
      </c>
      <c r="E39" s="280"/>
      <c r="F39" s="371" t="s">
        <v>628</v>
      </c>
      <c r="G39" s="429">
        <f>AVERAGE(C28:C35)</f>
        <v>43</v>
      </c>
      <c r="H39" s="283"/>
    </row>
    <row r="40" ht="26.25" customHeight="1">
      <c r="A40" s="280"/>
      <c r="B40" s="371" t="s">
        <v>75</v>
      </c>
      <c r="C40" s="405" t="str">
        <f>VLOOKUP($C$22,'A LEVEL'!$A$1:$AD$8,27,0)</f>
        <v>A</v>
      </c>
      <c r="E40" s="280"/>
      <c r="F40" s="371" t="s">
        <v>629</v>
      </c>
      <c r="G40" s="430">
        <f>COUNTIF(C27:C35,"&gt;=50")</f>
        <v>1</v>
      </c>
      <c r="H40" s="283"/>
    </row>
    <row r="41" ht="24.0" customHeight="1">
      <c r="A41" s="280"/>
      <c r="B41" s="371" t="s">
        <v>76</v>
      </c>
      <c r="C41" s="405" t="str">
        <f>VLOOKUP($C$22,'A LEVEL'!$A$1:$AD$8,28,0)</f>
        <v>B</v>
      </c>
      <c r="E41" s="280"/>
      <c r="F41" s="371" t="s">
        <v>630</v>
      </c>
      <c r="G41" s="430">
        <f>COUNTIF(C28:C35,"&lt;=50")</f>
        <v>2</v>
      </c>
      <c r="H41" s="296"/>
    </row>
    <row r="42" ht="28.5" customHeight="1">
      <c r="A42" s="280"/>
      <c r="B42" s="371" t="s">
        <v>672</v>
      </c>
      <c r="C42" s="405" t="str">
        <f>VLOOKUP($C$22,'A LEVEL'!$A$1:$AD$8,29,0)</f>
        <v>A</v>
      </c>
      <c r="E42" s="280"/>
      <c r="F42" s="371" t="s">
        <v>632</v>
      </c>
      <c r="G42" s="371">
        <f>COUNTA('A LEVEL'!$B$2:$B$8)</f>
        <v>5</v>
      </c>
      <c r="H42" s="296"/>
    </row>
    <row r="43" ht="19.5" customHeight="1">
      <c r="A43" s="280"/>
      <c r="B43" s="430" t="s">
        <v>210</v>
      </c>
      <c r="C43" s="405" t="str">
        <f>VLOOKUP($C$22,'A LEVEL'!$A$1:$AD$8,30,0)</f>
        <v>B</v>
      </c>
      <c r="E43" s="280"/>
      <c r="H43" s="296"/>
    </row>
    <row r="44" ht="8.25" customHeight="1">
      <c r="A44" s="2"/>
      <c r="B44" s="300"/>
      <c r="C44" s="284"/>
      <c r="D44" s="2"/>
      <c r="E44" s="2"/>
      <c r="F44" s="301" t="s">
        <v>633</v>
      </c>
      <c r="G44" s="284"/>
      <c r="H44" s="261"/>
    </row>
    <row r="45" ht="12.0" customHeight="1">
      <c r="A45" s="2"/>
      <c r="B45" s="261"/>
      <c r="C45" s="2"/>
      <c r="D45" s="2"/>
      <c r="E45" s="2"/>
      <c r="F45" s="2"/>
      <c r="G45" s="2"/>
      <c r="H45" s="261"/>
    </row>
    <row r="46" ht="12.0" customHeight="1">
      <c r="A46" s="2"/>
      <c r="B46" s="261"/>
      <c r="C46" s="2"/>
      <c r="D46" s="2"/>
      <c r="E46" s="2"/>
      <c r="F46" s="2"/>
      <c r="G46" s="2"/>
      <c r="H46" s="261"/>
    </row>
    <row r="47" ht="12.0" customHeight="1">
      <c r="A47" s="2"/>
      <c r="B47" s="434" t="s">
        <v>634</v>
      </c>
      <c r="C47" s="10"/>
      <c r="D47" s="2"/>
      <c r="E47" s="2"/>
      <c r="F47" s="2"/>
      <c r="G47" s="2"/>
      <c r="H47" s="261"/>
    </row>
    <row r="48" ht="12.0" customHeight="1">
      <c r="A48" s="2"/>
      <c r="B48" s="271"/>
      <c r="C48" s="273"/>
      <c r="D48" s="273"/>
      <c r="E48" s="273"/>
      <c r="F48" s="273"/>
      <c r="G48" s="273"/>
      <c r="H48" s="261"/>
    </row>
    <row r="49" ht="42.75" customHeight="1">
      <c r="A49" s="280"/>
      <c r="B49" s="435" t="str">
        <f>VLOOKUP($C$22,'A LEVEL'!$A$1:$AE$6,31,0)</f>
        <v>Andy has been a valuable and positive presence in the classroom throughout the year. He is empathetic, supportive of class initiatives, and consistently contributes to creating a respectful and collaborative learning environment. His commitment to the wider school community, particularly through his service as Student Council President, is highly commendable and reflects strong leadership qualities.
In his subjects, he demonstrates some engagement with his learning. He actively participates in lessons, seeks clarification when needed, and provides thoughtful feedback. This level of involvement shows a willingness to improve and a genuine interest in the subject. However, he wastes a lot of time   chatting with friends during his free periods instead of studying.
To strengthen his academic performance further, Andy is encouraged to adopt a more structured and disciplined study approach. Creating and adhering to a study timetable will help ensure consistent syllabus coverage across all his subjects. He is also advised to make regular use of study resources, including:
SaveMyExams.com
ZNotes
Papa Cambridge</v>
      </c>
      <c r="C49" s="336"/>
      <c r="D49" s="336"/>
      <c r="E49" s="336"/>
      <c r="F49" s="336"/>
      <c r="G49" s="337"/>
      <c r="H49" s="296"/>
    </row>
    <row r="50" ht="85.5" customHeight="1">
      <c r="A50" s="280"/>
      <c r="B50" s="342"/>
      <c r="G50" s="343"/>
      <c r="H50" s="296"/>
    </row>
    <row r="51" ht="85.5" customHeight="1">
      <c r="A51" s="280"/>
      <c r="B51" s="342"/>
      <c r="G51" s="343"/>
      <c r="H51" s="296"/>
    </row>
    <row r="52" ht="28.5" customHeight="1">
      <c r="A52" s="280"/>
      <c r="B52" s="342"/>
      <c r="G52" s="343"/>
      <c r="H52" s="296"/>
    </row>
    <row r="53" ht="107.25" customHeight="1">
      <c r="A53" s="280"/>
      <c r="B53" s="345"/>
      <c r="C53" s="346"/>
      <c r="D53" s="346"/>
      <c r="E53" s="346"/>
      <c r="F53" s="346"/>
      <c r="G53" s="325"/>
      <c r="H53" s="283"/>
    </row>
    <row r="54" ht="12.0" customHeight="1">
      <c r="A54" s="2"/>
      <c r="B54" s="314"/>
      <c r="C54" s="286"/>
      <c r="D54" s="286"/>
      <c r="E54" s="284"/>
      <c r="F54" s="286"/>
      <c r="G54" s="286"/>
      <c r="H54" s="2"/>
    </row>
    <row r="55" ht="21.75" customHeight="1">
      <c r="A55" s="280"/>
      <c r="B55" s="367" t="s">
        <v>673</v>
      </c>
      <c r="C55" s="45"/>
      <c r="D55" s="46"/>
      <c r="E55" s="368"/>
      <c r="F55" s="319" t="s">
        <v>636</v>
      </c>
      <c r="G55" s="45"/>
      <c r="H55" s="46"/>
    </row>
    <row r="56" ht="22.5" customHeight="1">
      <c r="A56" s="280"/>
      <c r="B56" s="371" t="s">
        <v>637</v>
      </c>
      <c r="C56" s="371" t="s">
        <v>638</v>
      </c>
      <c r="D56" s="371" t="s">
        <v>639</v>
      </c>
      <c r="E56" s="368"/>
      <c r="F56" s="323" t="s">
        <v>637</v>
      </c>
      <c r="G56" s="324" t="s">
        <v>638</v>
      </c>
      <c r="H56" s="325"/>
    </row>
    <row r="57" ht="19.5" customHeight="1">
      <c r="A57" s="280"/>
      <c r="B57" s="371" t="s">
        <v>151</v>
      </c>
      <c r="C57" s="371" t="s">
        <v>86</v>
      </c>
      <c r="D57" s="371" t="s">
        <v>640</v>
      </c>
      <c r="E57" s="368"/>
      <c r="F57" s="327" t="s">
        <v>641</v>
      </c>
      <c r="G57" s="328" t="s">
        <v>86</v>
      </c>
      <c r="H57" s="325"/>
    </row>
    <row r="58" ht="21.0" customHeight="1">
      <c r="A58" s="280"/>
      <c r="B58" s="371" t="s">
        <v>150</v>
      </c>
      <c r="C58" s="371" t="s">
        <v>85</v>
      </c>
      <c r="D58" s="371" t="s">
        <v>640</v>
      </c>
      <c r="E58" s="368"/>
      <c r="F58" s="327" t="s">
        <v>149</v>
      </c>
      <c r="G58" s="328" t="s">
        <v>85</v>
      </c>
      <c r="H58" s="325"/>
    </row>
    <row r="59" ht="19.5" customHeight="1">
      <c r="A59" s="280"/>
      <c r="B59" s="371" t="s">
        <v>149</v>
      </c>
      <c r="C59" s="371" t="s">
        <v>87</v>
      </c>
      <c r="D59" s="371" t="s">
        <v>642</v>
      </c>
      <c r="E59" s="368"/>
      <c r="F59" s="327" t="s">
        <v>148</v>
      </c>
      <c r="G59" s="328" t="s">
        <v>87</v>
      </c>
      <c r="H59" s="325"/>
    </row>
    <row r="60" ht="18.75" customHeight="1">
      <c r="A60" s="280"/>
      <c r="B60" s="371" t="s">
        <v>148</v>
      </c>
      <c r="C60" s="371" t="s">
        <v>90</v>
      </c>
      <c r="D60" s="371" t="s">
        <v>643</v>
      </c>
      <c r="E60" s="368"/>
      <c r="F60" s="327" t="s">
        <v>147</v>
      </c>
      <c r="G60" s="328" t="s">
        <v>90</v>
      </c>
      <c r="H60" s="325"/>
    </row>
    <row r="61" ht="18.75" customHeight="1">
      <c r="A61" s="280"/>
      <c r="B61" s="371" t="s">
        <v>147</v>
      </c>
      <c r="C61" s="371" t="s">
        <v>93</v>
      </c>
      <c r="D61" s="371" t="s">
        <v>644</v>
      </c>
      <c r="E61" s="368"/>
      <c r="F61" s="386" t="s">
        <v>645</v>
      </c>
      <c r="G61" s="372" t="s">
        <v>93</v>
      </c>
      <c r="H61" s="343"/>
    </row>
    <row r="62" ht="14.25" customHeight="1">
      <c r="A62" s="280"/>
      <c r="B62" s="371" t="s">
        <v>145</v>
      </c>
      <c r="C62" s="371" t="s">
        <v>146</v>
      </c>
      <c r="D62" s="371" t="s">
        <v>644</v>
      </c>
      <c r="E62" s="368"/>
      <c r="F62" s="433"/>
      <c r="G62" s="433"/>
      <c r="H62" s="283"/>
    </row>
    <row r="63" ht="17.25" customHeight="1">
      <c r="A63" s="280"/>
      <c r="B63" s="371" t="s">
        <v>143</v>
      </c>
      <c r="C63" s="371" t="s">
        <v>144</v>
      </c>
      <c r="D63" s="371" t="s">
        <v>646</v>
      </c>
      <c r="E63" s="283"/>
      <c r="F63" s="284"/>
      <c r="G63" s="284"/>
      <c r="H63" s="2"/>
    </row>
    <row r="64" ht="18.0" customHeight="1">
      <c r="A64" s="280"/>
      <c r="B64" s="371" t="s">
        <v>141</v>
      </c>
      <c r="C64" s="371" t="s">
        <v>142</v>
      </c>
      <c r="D64" s="371" t="s">
        <v>646</v>
      </c>
      <c r="E64" s="283"/>
      <c r="F64" s="2" t="s">
        <v>647</v>
      </c>
      <c r="G64" s="2"/>
      <c r="H64" s="2"/>
    </row>
    <row r="65" ht="19.5" customHeight="1">
      <c r="A65" s="280"/>
      <c r="B65" s="371" t="s">
        <v>139</v>
      </c>
      <c r="C65" s="371" t="s">
        <v>140</v>
      </c>
      <c r="D65" s="371" t="s">
        <v>646</v>
      </c>
      <c r="E65" s="283"/>
      <c r="F65" s="2" t="s">
        <v>648</v>
      </c>
      <c r="G65" s="2"/>
      <c r="H65" s="2"/>
    </row>
    <row r="66" ht="12.0" customHeight="1">
      <c r="A66" s="2"/>
      <c r="B66" s="300"/>
      <c r="C66" s="284"/>
      <c r="D66" s="284"/>
      <c r="E66" s="2"/>
      <c r="F66" s="2"/>
      <c r="G66" s="2"/>
      <c r="H66" s="2"/>
    </row>
    <row r="67" ht="12.0" customHeight="1">
      <c r="B67" s="436"/>
      <c r="C67" s="436"/>
      <c r="D67" s="436"/>
      <c r="E67" s="437"/>
      <c r="F67" s="437"/>
      <c r="G67" s="438"/>
      <c r="H67" s="438"/>
    </row>
    <row r="68" ht="12.0" customHeight="1">
      <c r="B68" s="335" t="s">
        <v>676</v>
      </c>
      <c r="C68" s="336"/>
      <c r="D68" s="337"/>
      <c r="E68" s="374"/>
      <c r="F68" s="339"/>
      <c r="G68" s="340"/>
      <c r="H68" s="341"/>
    </row>
    <row r="69" ht="12.0" customHeight="1">
      <c r="B69" s="342"/>
      <c r="D69" s="343"/>
      <c r="F69" s="344"/>
      <c r="H69" s="343"/>
    </row>
    <row r="70" ht="12.0" customHeight="1">
      <c r="B70" s="345"/>
      <c r="C70" s="346"/>
      <c r="D70" s="325"/>
      <c r="E70" s="346"/>
      <c r="F70" s="347"/>
      <c r="G70" s="346"/>
      <c r="H70" s="325"/>
    </row>
    <row r="71" ht="18.75" customHeight="1">
      <c r="B71" s="348" t="s">
        <v>650</v>
      </c>
      <c r="C71" s="346"/>
      <c r="D71" s="325"/>
      <c r="E71" s="349" t="s">
        <v>651</v>
      </c>
      <c r="F71" s="325"/>
      <c r="G71" s="350" t="s">
        <v>652</v>
      </c>
      <c r="H71" s="325"/>
    </row>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c r="B99" s="260"/>
    </row>
    <row r="100" ht="12.0" customHeight="1">
      <c r="B100" s="260"/>
    </row>
    <row r="101" ht="12.0" customHeight="1">
      <c r="B101" s="260"/>
    </row>
    <row r="102" ht="12.0" customHeight="1">
      <c r="B102" s="260"/>
    </row>
    <row r="103" ht="12.0" customHeight="1">
      <c r="B103" s="260"/>
    </row>
    <row r="104" ht="12.0" customHeight="1">
      <c r="B104" s="260"/>
    </row>
    <row r="105" ht="12.0" customHeight="1">
      <c r="B105" s="260"/>
    </row>
    <row r="106" ht="12.0" customHeight="1">
      <c r="B106" s="260"/>
    </row>
    <row r="107" ht="12.0" customHeight="1">
      <c r="B107" s="260"/>
    </row>
    <row r="108" ht="12.0" customHeight="1">
      <c r="B108" s="260"/>
    </row>
    <row r="109" ht="12.0" customHeight="1">
      <c r="B109" s="260"/>
    </row>
    <row r="110" ht="12.0" customHeight="1">
      <c r="B110" s="260"/>
    </row>
    <row r="111" ht="12.0" customHeight="1">
      <c r="B111" s="260"/>
    </row>
    <row r="112" ht="12.0" customHeight="1">
      <c r="B112" s="260"/>
    </row>
    <row r="113" ht="12.0" customHeight="1">
      <c r="B113" s="260"/>
    </row>
    <row r="114" ht="12.0" customHeight="1">
      <c r="B114" s="260"/>
    </row>
    <row r="115" ht="12.0" customHeight="1">
      <c r="B115" s="260"/>
    </row>
    <row r="116" ht="12.0" customHeight="1">
      <c r="B116" s="260"/>
    </row>
    <row r="117" ht="12.0" customHeight="1">
      <c r="B117" s="260"/>
    </row>
    <row r="118" ht="12.0" customHeight="1">
      <c r="B118" s="260"/>
    </row>
    <row r="119" ht="12.0" customHeight="1">
      <c r="B119" s="260"/>
    </row>
    <row r="120" ht="12.0" customHeight="1">
      <c r="B120" s="260"/>
    </row>
    <row r="121" ht="12.0" customHeight="1">
      <c r="B121" s="260"/>
    </row>
    <row r="122" ht="12.0" customHeight="1">
      <c r="B122" s="260"/>
    </row>
    <row r="123" ht="12.0" customHeight="1">
      <c r="B123" s="260"/>
    </row>
    <row r="124" ht="12.0" customHeight="1">
      <c r="B124" s="260"/>
    </row>
    <row r="125" ht="12.0" customHeight="1">
      <c r="B125" s="260"/>
    </row>
    <row r="126" ht="12.0" customHeight="1">
      <c r="B126" s="260"/>
    </row>
    <row r="127" ht="12.0" customHeight="1">
      <c r="B127" s="260"/>
    </row>
    <row r="128" ht="12.0" customHeight="1">
      <c r="B128" s="260"/>
    </row>
    <row r="129" ht="12.0" customHeight="1">
      <c r="B129" s="260"/>
    </row>
    <row r="130" ht="12.0" customHeight="1">
      <c r="B130" s="260"/>
    </row>
    <row r="131" ht="12.0" customHeight="1">
      <c r="B131" s="260"/>
    </row>
    <row r="132" ht="12.0" customHeight="1">
      <c r="B132" s="260"/>
    </row>
    <row r="133" ht="12.0" customHeight="1">
      <c r="B133" s="260"/>
    </row>
    <row r="134" ht="12.0" customHeight="1">
      <c r="B134" s="260"/>
    </row>
    <row r="135" ht="12.0" customHeight="1">
      <c r="B135" s="260"/>
    </row>
    <row r="136" ht="12.0" customHeight="1">
      <c r="B136" s="260"/>
    </row>
    <row r="137" ht="12.0" customHeight="1">
      <c r="B137" s="260"/>
    </row>
    <row r="138" ht="12.0" customHeight="1">
      <c r="B138" s="260"/>
    </row>
    <row r="139" ht="12.0" customHeight="1">
      <c r="B139" s="260"/>
    </row>
    <row r="140" ht="12.0" customHeight="1">
      <c r="B140" s="260"/>
    </row>
    <row r="141" ht="12.0" customHeight="1">
      <c r="B141" s="260"/>
    </row>
    <row r="142" ht="12.0" customHeight="1">
      <c r="B142" s="260"/>
    </row>
    <row r="143" ht="12.0" customHeight="1">
      <c r="B143" s="260"/>
    </row>
    <row r="144" ht="12.0" customHeight="1">
      <c r="B144" s="260"/>
    </row>
    <row r="145" ht="12.0" customHeight="1">
      <c r="B145" s="260"/>
    </row>
    <row r="146" ht="12.0" customHeight="1">
      <c r="B146" s="260"/>
    </row>
    <row r="147" ht="12.0" customHeight="1">
      <c r="B147" s="260"/>
    </row>
    <row r="148" ht="12.0" customHeight="1">
      <c r="B148" s="260"/>
    </row>
    <row r="149" ht="12.0" customHeight="1">
      <c r="B149" s="260"/>
    </row>
    <row r="150" ht="12.0" customHeight="1">
      <c r="B150" s="260"/>
    </row>
    <row r="151" ht="12.0" customHeight="1">
      <c r="B151" s="260"/>
    </row>
    <row r="152" ht="12.0" customHeight="1">
      <c r="B152" s="260"/>
    </row>
    <row r="153" ht="12.0" customHeight="1">
      <c r="B153" s="260"/>
    </row>
    <row r="154" ht="12.0" customHeight="1">
      <c r="B154" s="260"/>
    </row>
    <row r="155" ht="12.0" customHeight="1">
      <c r="B155" s="260"/>
    </row>
    <row r="156" ht="12.0" customHeight="1">
      <c r="B156" s="260"/>
    </row>
    <row r="157" ht="12.0" customHeight="1">
      <c r="B157" s="260"/>
    </row>
    <row r="158" ht="12.0" customHeight="1">
      <c r="B158" s="260"/>
    </row>
    <row r="159" ht="12.0" customHeight="1">
      <c r="B159" s="260"/>
    </row>
    <row r="160" ht="12.0" customHeight="1">
      <c r="B160" s="260"/>
    </row>
    <row r="161" ht="12.0" customHeight="1">
      <c r="B161" s="260"/>
    </row>
    <row r="162" ht="12.0" customHeight="1">
      <c r="B162" s="260"/>
    </row>
    <row r="163" ht="12.0" customHeight="1">
      <c r="B163" s="260"/>
    </row>
    <row r="164" ht="12.0" customHeight="1">
      <c r="B164" s="260"/>
    </row>
    <row r="165" ht="12.0" customHeight="1">
      <c r="B165" s="260"/>
    </row>
    <row r="166" ht="12.0" customHeight="1">
      <c r="B166" s="260"/>
    </row>
    <row r="167" ht="12.0" customHeight="1">
      <c r="B167" s="260"/>
    </row>
    <row r="168" ht="12.0" customHeight="1">
      <c r="B168" s="260"/>
    </row>
    <row r="169" ht="12.0" customHeight="1">
      <c r="B169" s="260"/>
    </row>
    <row r="170" ht="12.0" customHeight="1">
      <c r="B170" s="260"/>
    </row>
    <row r="171" ht="12.0" customHeight="1">
      <c r="B171" s="260"/>
    </row>
    <row r="172" ht="12.0" customHeight="1">
      <c r="B172" s="260"/>
    </row>
    <row r="173" ht="12.0" customHeight="1">
      <c r="B173" s="260"/>
    </row>
    <row r="174" ht="12.0" customHeight="1">
      <c r="B174" s="260"/>
    </row>
    <row r="175" ht="12.0" customHeight="1">
      <c r="B175" s="260"/>
    </row>
    <row r="176" ht="12.0" customHeight="1">
      <c r="B176" s="260"/>
    </row>
    <row r="177" ht="12.0" customHeight="1">
      <c r="B177" s="260"/>
    </row>
    <row r="178" ht="12.0" customHeight="1">
      <c r="B178" s="260"/>
    </row>
    <row r="179" ht="12.0" customHeight="1">
      <c r="B179" s="260"/>
    </row>
    <row r="180" ht="12.0" customHeight="1">
      <c r="B180" s="260"/>
    </row>
    <row r="181" ht="12.0" customHeight="1">
      <c r="B181" s="260"/>
    </row>
    <row r="182" ht="12.0" customHeight="1">
      <c r="B182" s="260"/>
    </row>
    <row r="183" ht="12.0" customHeight="1">
      <c r="B183" s="260"/>
    </row>
    <row r="184" ht="12.0" customHeight="1">
      <c r="B184" s="260"/>
    </row>
    <row r="185" ht="12.0" customHeight="1">
      <c r="B185" s="260"/>
    </row>
    <row r="186" ht="12.0" customHeight="1">
      <c r="B186" s="260"/>
    </row>
    <row r="187" ht="12.0" customHeight="1">
      <c r="B187" s="260"/>
    </row>
    <row r="188" ht="12.0" customHeight="1">
      <c r="B188" s="260"/>
    </row>
    <row r="189" ht="12.0" customHeight="1">
      <c r="B189" s="260"/>
    </row>
    <row r="190" ht="12.0" customHeight="1">
      <c r="B190" s="260"/>
    </row>
    <row r="191" ht="12.0" customHeight="1">
      <c r="B191" s="260"/>
    </row>
    <row r="192" ht="12.0" customHeight="1">
      <c r="B192" s="260"/>
    </row>
    <row r="193" ht="12.0" customHeight="1">
      <c r="B193" s="260"/>
    </row>
    <row r="194" ht="12.0" customHeight="1">
      <c r="B194" s="260"/>
    </row>
    <row r="195" ht="12.0" customHeight="1">
      <c r="B195" s="260"/>
    </row>
    <row r="196" ht="12.0" customHeight="1">
      <c r="B196" s="260"/>
    </row>
    <row r="197" ht="12.0" customHeight="1">
      <c r="B197" s="260"/>
    </row>
    <row r="198" ht="12.0" customHeight="1">
      <c r="B198" s="260"/>
    </row>
    <row r="199" ht="12.0" customHeight="1">
      <c r="B199" s="260"/>
    </row>
    <row r="200" ht="12.0" customHeight="1">
      <c r="B200" s="260"/>
    </row>
    <row r="201" ht="12.0" customHeight="1">
      <c r="B201" s="260"/>
    </row>
    <row r="202" ht="12.0" customHeight="1">
      <c r="B202" s="260"/>
    </row>
    <row r="203" ht="12.0" customHeight="1">
      <c r="B203" s="260"/>
    </row>
    <row r="204" ht="12.0" customHeight="1">
      <c r="B204" s="260"/>
    </row>
    <row r="205" ht="12.0" customHeight="1">
      <c r="B205" s="260"/>
    </row>
    <row r="206" ht="12.0" customHeight="1">
      <c r="B206" s="260"/>
    </row>
    <row r="207" ht="12.0" customHeight="1">
      <c r="B207" s="260"/>
    </row>
    <row r="208" ht="12.0" customHeight="1">
      <c r="B208" s="260"/>
    </row>
    <row r="209" ht="12.0" customHeight="1">
      <c r="B209" s="260"/>
    </row>
    <row r="210" ht="12.0" customHeight="1">
      <c r="B210" s="260"/>
    </row>
    <row r="211" ht="12.0" customHeight="1">
      <c r="B211" s="260"/>
    </row>
    <row r="212" ht="12.0" customHeight="1">
      <c r="B212" s="260"/>
    </row>
    <row r="213" ht="12.0" customHeight="1">
      <c r="B213" s="260"/>
    </row>
    <row r="214" ht="12.0" customHeight="1">
      <c r="B214" s="260"/>
    </row>
    <row r="215" ht="12.0" customHeight="1">
      <c r="B215" s="260"/>
    </row>
    <row r="216" ht="12.0" customHeight="1">
      <c r="B216" s="260"/>
    </row>
    <row r="217" ht="12.0" customHeight="1">
      <c r="B217" s="260"/>
    </row>
    <row r="218" ht="12.0" customHeight="1">
      <c r="B218" s="260"/>
    </row>
    <row r="219" ht="12.0" customHeight="1">
      <c r="B219" s="260"/>
    </row>
    <row r="220" ht="12.0" customHeight="1">
      <c r="B220" s="260"/>
    </row>
    <row r="221" ht="12.0" customHeight="1">
      <c r="B221" s="260"/>
    </row>
    <row r="222" ht="12.0" customHeight="1">
      <c r="B222" s="260"/>
    </row>
    <row r="223" ht="12.0" customHeight="1">
      <c r="B223" s="260"/>
    </row>
    <row r="224" ht="12.0" customHeight="1">
      <c r="B224" s="260"/>
    </row>
    <row r="225" ht="12.0" customHeight="1">
      <c r="B225" s="260"/>
    </row>
    <row r="226" ht="12.0" customHeight="1">
      <c r="B226" s="260"/>
    </row>
    <row r="227" ht="12.0" customHeight="1">
      <c r="B227" s="260"/>
    </row>
    <row r="228" ht="12.0" customHeight="1">
      <c r="B228" s="260"/>
    </row>
    <row r="229" ht="12.0" customHeight="1">
      <c r="B229" s="260"/>
    </row>
    <row r="230" ht="12.0" customHeight="1">
      <c r="B230" s="260"/>
    </row>
    <row r="231" ht="12.0" customHeight="1">
      <c r="B231" s="260"/>
    </row>
    <row r="232" ht="12.0" customHeight="1">
      <c r="B232" s="260"/>
    </row>
    <row r="233" ht="12.0" customHeight="1">
      <c r="B233" s="260"/>
    </row>
    <row r="234" ht="12.0" customHeight="1">
      <c r="B234" s="260"/>
    </row>
    <row r="235" ht="12.0" customHeight="1">
      <c r="B235" s="260"/>
    </row>
    <row r="236" ht="12.0" customHeight="1">
      <c r="B236" s="260"/>
    </row>
    <row r="237" ht="12.0" customHeight="1">
      <c r="B237" s="260"/>
    </row>
    <row r="238" ht="12.0" customHeight="1">
      <c r="B238" s="260"/>
    </row>
    <row r="239" ht="12.0" customHeight="1">
      <c r="B239" s="260"/>
    </row>
    <row r="240" ht="12.0" customHeight="1">
      <c r="B240" s="260"/>
    </row>
    <row r="241" ht="12.0" customHeight="1">
      <c r="B241" s="260"/>
    </row>
    <row r="242" ht="12.0" customHeight="1">
      <c r="B242" s="260"/>
    </row>
    <row r="243" ht="12.0" customHeight="1">
      <c r="B243" s="260"/>
    </row>
    <row r="244" ht="12.0" customHeight="1">
      <c r="B244" s="260"/>
    </row>
    <row r="245" ht="12.0" customHeight="1">
      <c r="B245" s="260"/>
    </row>
    <row r="246" ht="12.0" customHeight="1">
      <c r="B246" s="260"/>
    </row>
    <row r="247" ht="12.0" customHeight="1">
      <c r="B247" s="260"/>
    </row>
    <row r="248" ht="12.0" customHeight="1">
      <c r="B248" s="260"/>
    </row>
    <row r="249" ht="12.0" customHeight="1">
      <c r="B249" s="260"/>
    </row>
    <row r="250" ht="12.0" customHeight="1">
      <c r="B250" s="260"/>
    </row>
    <row r="251" ht="12.0" customHeight="1">
      <c r="B251" s="260"/>
    </row>
    <row r="252" ht="12.0" customHeight="1">
      <c r="B252" s="260"/>
    </row>
    <row r="253" ht="12.0" customHeight="1">
      <c r="B253" s="260"/>
    </row>
    <row r="254" ht="12.0" customHeight="1">
      <c r="B254" s="260"/>
    </row>
    <row r="255" ht="12.0" customHeight="1">
      <c r="B255" s="260"/>
    </row>
    <row r="256" ht="12.0" customHeight="1">
      <c r="B256" s="260"/>
    </row>
    <row r="257" ht="12.0" customHeight="1">
      <c r="B257" s="260"/>
    </row>
    <row r="258" ht="12.0" customHeight="1">
      <c r="B258" s="260"/>
    </row>
    <row r="259" ht="12.0" customHeight="1">
      <c r="B259" s="260"/>
    </row>
    <row r="260" ht="12.0" customHeight="1">
      <c r="B260" s="260"/>
    </row>
    <row r="261" ht="12.0" customHeight="1">
      <c r="B261" s="260"/>
    </row>
    <row r="262" ht="12.0" customHeight="1">
      <c r="B262" s="260"/>
    </row>
    <row r="263" ht="12.0" customHeight="1">
      <c r="B263" s="260"/>
    </row>
    <row r="264" ht="12.0" customHeight="1">
      <c r="B264" s="260"/>
    </row>
    <row r="265" ht="12.0" customHeight="1">
      <c r="B265" s="260"/>
    </row>
    <row r="266" ht="12.0" customHeight="1">
      <c r="B266" s="260"/>
    </row>
    <row r="267" ht="12.0" customHeight="1">
      <c r="B267" s="260"/>
    </row>
    <row r="268" ht="12.0" customHeight="1">
      <c r="B268" s="260"/>
    </row>
    <row r="269" ht="12.0" customHeight="1">
      <c r="B269" s="260"/>
    </row>
    <row r="270" ht="12.0" customHeight="1">
      <c r="B270" s="260"/>
    </row>
    <row r="271" ht="12.0" customHeight="1">
      <c r="B271" s="260"/>
    </row>
    <row r="272" ht="12.0" customHeight="1">
      <c r="B272" s="260"/>
    </row>
    <row r="273" ht="12.0" customHeight="1">
      <c r="B273" s="260"/>
    </row>
    <row r="274" ht="12.0" customHeight="1">
      <c r="B274" s="260"/>
    </row>
    <row r="275" ht="12.0" customHeight="1">
      <c r="B275" s="260"/>
    </row>
    <row r="276" ht="12.0" customHeight="1">
      <c r="B276" s="260"/>
    </row>
    <row r="277" ht="12.0" customHeight="1">
      <c r="B277" s="260"/>
    </row>
    <row r="278" ht="12.0" customHeight="1">
      <c r="B278" s="260"/>
    </row>
    <row r="279" ht="12.0" customHeight="1">
      <c r="B279" s="260"/>
    </row>
    <row r="280" ht="12.0" customHeight="1">
      <c r="B280" s="260"/>
    </row>
    <row r="281" ht="12.0" customHeight="1">
      <c r="B281" s="260"/>
    </row>
    <row r="282" ht="12.0" customHeight="1">
      <c r="B282" s="260"/>
    </row>
    <row r="283" ht="12.0" customHeight="1">
      <c r="B283" s="260"/>
    </row>
    <row r="284" ht="12.0" customHeight="1">
      <c r="B284" s="260"/>
    </row>
    <row r="285" ht="12.0" customHeight="1">
      <c r="B285" s="260"/>
    </row>
    <row r="286" ht="12.0" customHeight="1">
      <c r="B286" s="260"/>
    </row>
    <row r="287" ht="12.0" customHeight="1">
      <c r="B287" s="260"/>
    </row>
    <row r="288" ht="12.0" customHeight="1">
      <c r="B288" s="260"/>
    </row>
    <row r="289" ht="12.0" customHeight="1">
      <c r="B289" s="260"/>
    </row>
    <row r="290" ht="12.0" customHeight="1">
      <c r="B290" s="260"/>
    </row>
    <row r="291" ht="12.0" customHeight="1">
      <c r="B291" s="260"/>
    </row>
    <row r="292" ht="12.0" customHeight="1">
      <c r="B292" s="260"/>
    </row>
    <row r="293" ht="12.0" customHeight="1">
      <c r="B293" s="260"/>
    </row>
    <row r="294" ht="12.0" customHeight="1">
      <c r="B294" s="260"/>
    </row>
    <row r="295" ht="12.0" customHeight="1">
      <c r="B295" s="260"/>
    </row>
    <row r="296" ht="12.0" customHeight="1">
      <c r="B296" s="260"/>
    </row>
    <row r="297" ht="12.0" customHeight="1">
      <c r="B297" s="260"/>
    </row>
    <row r="298" ht="12.0" customHeight="1">
      <c r="B298" s="260"/>
    </row>
    <row r="299" ht="12.0" customHeight="1">
      <c r="B299" s="260"/>
    </row>
    <row r="300" ht="12.0" customHeight="1">
      <c r="B300" s="260"/>
    </row>
    <row r="301" ht="12.0" customHeight="1">
      <c r="B301" s="260"/>
    </row>
    <row r="302" ht="12.0" customHeight="1">
      <c r="B302" s="260"/>
    </row>
    <row r="303" ht="12.0" customHeight="1">
      <c r="B303" s="260"/>
    </row>
    <row r="304" ht="12.0" customHeight="1">
      <c r="B304" s="260"/>
    </row>
    <row r="305" ht="12.0" customHeight="1">
      <c r="B305" s="260"/>
    </row>
    <row r="306" ht="12.0" customHeight="1">
      <c r="B306" s="260"/>
    </row>
    <row r="307" ht="12.0" customHeight="1">
      <c r="B307" s="260"/>
    </row>
    <row r="308" ht="12.0" customHeight="1">
      <c r="B308" s="260"/>
    </row>
    <row r="309" ht="12.0" customHeight="1">
      <c r="B309" s="260"/>
    </row>
    <row r="310" ht="12.0" customHeight="1">
      <c r="B310" s="260"/>
    </row>
    <row r="311" ht="12.0" customHeight="1">
      <c r="B311" s="260"/>
    </row>
    <row r="312" ht="12.0" customHeight="1">
      <c r="B312" s="260"/>
    </row>
    <row r="313" ht="12.0" customHeight="1">
      <c r="B313" s="260"/>
    </row>
    <row r="314" ht="12.0" customHeight="1">
      <c r="B314" s="260"/>
    </row>
    <row r="315" ht="12.0" customHeight="1">
      <c r="B315" s="260"/>
    </row>
    <row r="316" ht="12.0" customHeight="1">
      <c r="B316" s="260"/>
    </row>
    <row r="317" ht="12.0" customHeight="1">
      <c r="B317" s="260"/>
    </row>
    <row r="318" ht="12.0" customHeight="1">
      <c r="B318" s="260"/>
    </row>
    <row r="319" ht="12.0" customHeight="1">
      <c r="B319" s="260"/>
    </row>
    <row r="320" ht="12.0" customHeight="1">
      <c r="B320" s="260"/>
    </row>
    <row r="321" ht="12.0" customHeight="1">
      <c r="B321" s="260"/>
    </row>
    <row r="322" ht="12.0" customHeight="1">
      <c r="B322" s="260"/>
    </row>
    <row r="323" ht="12.0" customHeight="1">
      <c r="B323" s="260"/>
    </row>
    <row r="324" ht="12.0" customHeight="1">
      <c r="B324" s="260"/>
    </row>
    <row r="325" ht="12.0" customHeight="1">
      <c r="B325" s="260"/>
    </row>
    <row r="326" ht="12.0" customHeight="1">
      <c r="B326" s="260"/>
    </row>
    <row r="327" ht="12.0" customHeight="1">
      <c r="B327" s="260"/>
    </row>
    <row r="328" ht="12.0" customHeight="1">
      <c r="B328" s="260"/>
    </row>
    <row r="329" ht="12.0" customHeight="1">
      <c r="B329" s="260"/>
    </row>
    <row r="330" ht="12.0" customHeight="1">
      <c r="B330" s="260"/>
    </row>
    <row r="331" ht="12.0" customHeight="1">
      <c r="B331" s="260"/>
    </row>
    <row r="332" ht="12.0" customHeight="1">
      <c r="B332" s="260"/>
    </row>
    <row r="333" ht="12.0" customHeight="1">
      <c r="B333" s="260"/>
    </row>
    <row r="334" ht="12.0" customHeight="1">
      <c r="B334" s="260"/>
    </row>
    <row r="335" ht="12.0" customHeight="1">
      <c r="B335" s="260"/>
    </row>
    <row r="336" ht="12.0" customHeight="1">
      <c r="B336" s="260"/>
    </row>
    <row r="337" ht="12.0" customHeight="1">
      <c r="B337" s="260"/>
    </row>
    <row r="338" ht="12.0" customHeight="1">
      <c r="B338" s="260"/>
    </row>
    <row r="339" ht="12.0" customHeight="1">
      <c r="B339" s="260"/>
    </row>
    <row r="340" ht="12.0" customHeight="1">
      <c r="B340" s="260"/>
    </row>
    <row r="341" ht="12.0" customHeight="1">
      <c r="B341" s="260"/>
    </row>
    <row r="342" ht="12.0" customHeight="1">
      <c r="B342" s="260"/>
    </row>
    <row r="343" ht="12.0" customHeight="1">
      <c r="B343" s="260"/>
    </row>
    <row r="344" ht="12.0" customHeight="1">
      <c r="B344" s="260"/>
    </row>
    <row r="345" ht="12.0" customHeight="1">
      <c r="B345" s="260"/>
    </row>
    <row r="346" ht="12.0" customHeight="1">
      <c r="B346" s="260"/>
    </row>
    <row r="347" ht="12.0" customHeight="1">
      <c r="B347" s="260"/>
    </row>
    <row r="348" ht="12.0" customHeight="1">
      <c r="B348" s="260"/>
    </row>
    <row r="349" ht="12.0" customHeight="1">
      <c r="B349" s="260"/>
    </row>
    <row r="350" ht="12.0" customHeight="1">
      <c r="B350" s="260"/>
    </row>
    <row r="351" ht="12.0" customHeight="1">
      <c r="B351" s="260"/>
    </row>
    <row r="352" ht="12.0" customHeight="1">
      <c r="B352" s="260"/>
    </row>
    <row r="353" ht="12.0" customHeight="1">
      <c r="B353" s="260"/>
    </row>
    <row r="354" ht="12.0" customHeight="1">
      <c r="B354" s="260"/>
    </row>
    <row r="355" ht="12.0" customHeight="1">
      <c r="B355" s="260"/>
    </row>
    <row r="356" ht="12.0" customHeight="1">
      <c r="B356" s="260"/>
    </row>
    <row r="357" ht="12.0" customHeight="1">
      <c r="B357" s="260"/>
    </row>
    <row r="358" ht="12.0" customHeight="1">
      <c r="B358" s="260"/>
    </row>
    <row r="359" ht="12.0" customHeight="1">
      <c r="B359" s="260"/>
    </row>
    <row r="360" ht="12.0" customHeight="1">
      <c r="B360" s="260"/>
    </row>
    <row r="361" ht="12.0" customHeight="1">
      <c r="B361" s="260"/>
    </row>
    <row r="362" ht="12.0" customHeight="1">
      <c r="B362" s="260"/>
    </row>
    <row r="363" ht="12.0" customHeight="1">
      <c r="B363" s="260"/>
    </row>
    <row r="364" ht="12.0" customHeight="1">
      <c r="B364" s="260"/>
    </row>
    <row r="365" ht="12.0" customHeight="1">
      <c r="B365" s="260"/>
    </row>
    <row r="366" ht="12.0" customHeight="1">
      <c r="B366" s="260"/>
    </row>
    <row r="367" ht="12.0" customHeight="1">
      <c r="B367" s="260"/>
    </row>
    <row r="368" ht="12.0" customHeight="1">
      <c r="B368" s="260"/>
    </row>
    <row r="369" ht="12.0" customHeight="1">
      <c r="B369" s="260"/>
    </row>
    <row r="370" ht="12.0" customHeight="1">
      <c r="B370" s="260"/>
    </row>
    <row r="371" ht="12.0" customHeight="1">
      <c r="B371" s="260"/>
    </row>
    <row r="372" ht="12.0" customHeight="1">
      <c r="B372" s="260"/>
    </row>
    <row r="373" ht="12.0" customHeight="1">
      <c r="B373" s="260"/>
    </row>
    <row r="374" ht="12.0" customHeight="1">
      <c r="B374" s="260"/>
    </row>
    <row r="375" ht="12.0" customHeight="1">
      <c r="B375" s="260"/>
    </row>
    <row r="376" ht="12.0" customHeight="1">
      <c r="B376" s="260"/>
    </row>
    <row r="377" ht="12.0" customHeight="1">
      <c r="B377" s="260"/>
    </row>
    <row r="378" ht="12.0" customHeight="1">
      <c r="B378" s="260"/>
    </row>
    <row r="379" ht="12.0" customHeight="1">
      <c r="B379" s="260"/>
    </row>
    <row r="380" ht="12.0" customHeight="1">
      <c r="B380" s="260"/>
    </row>
    <row r="381" ht="12.0" customHeight="1">
      <c r="B381" s="260"/>
    </row>
    <row r="382" ht="12.0" customHeight="1">
      <c r="B382" s="260"/>
    </row>
    <row r="383" ht="12.0" customHeight="1">
      <c r="B383" s="260"/>
    </row>
    <row r="384" ht="12.0" customHeight="1">
      <c r="B384" s="260"/>
    </row>
    <row r="385" ht="12.0" customHeight="1">
      <c r="B385" s="260"/>
    </row>
    <row r="386" ht="12.0" customHeight="1">
      <c r="B386" s="260"/>
    </row>
    <row r="387" ht="12.0" customHeight="1">
      <c r="B387" s="260"/>
    </row>
    <row r="388" ht="12.0" customHeight="1">
      <c r="B388" s="260"/>
    </row>
    <row r="389" ht="12.0" customHeight="1">
      <c r="B389" s="260"/>
    </row>
    <row r="390" ht="12.0" customHeight="1">
      <c r="B390" s="260"/>
    </row>
    <row r="391" ht="12.0" customHeight="1">
      <c r="B391" s="260"/>
    </row>
    <row r="392" ht="12.0" customHeight="1">
      <c r="B392" s="260"/>
    </row>
    <row r="393" ht="12.0" customHeight="1">
      <c r="B393" s="260"/>
    </row>
    <row r="394" ht="12.0" customHeight="1">
      <c r="B394" s="260"/>
    </row>
    <row r="395" ht="12.0" customHeight="1">
      <c r="B395" s="260"/>
    </row>
    <row r="396" ht="12.0" customHeight="1">
      <c r="B396" s="260"/>
    </row>
    <row r="397" ht="12.0" customHeight="1">
      <c r="B397" s="260"/>
    </row>
    <row r="398" ht="12.0" customHeight="1">
      <c r="B398" s="260"/>
    </row>
    <row r="399" ht="12.0" customHeight="1">
      <c r="B399" s="260"/>
    </row>
    <row r="400" ht="12.0" customHeight="1">
      <c r="B400" s="260"/>
    </row>
    <row r="401" ht="12.0" customHeight="1">
      <c r="B401" s="260"/>
    </row>
    <row r="402" ht="12.0" customHeight="1">
      <c r="B402" s="260"/>
    </row>
    <row r="403" ht="12.0" customHeight="1">
      <c r="B403" s="260"/>
    </row>
    <row r="404" ht="12.0" customHeight="1">
      <c r="B404" s="260"/>
    </row>
    <row r="405" ht="12.0" customHeight="1">
      <c r="B405" s="260"/>
    </row>
    <row r="406" ht="12.0" customHeight="1">
      <c r="B406" s="260"/>
    </row>
    <row r="407" ht="12.0" customHeight="1">
      <c r="B407" s="260"/>
    </row>
    <row r="408" ht="12.0" customHeight="1">
      <c r="B408" s="260"/>
    </row>
    <row r="409" ht="12.0" customHeight="1">
      <c r="B409" s="260"/>
    </row>
    <row r="410" ht="12.0" customHeight="1">
      <c r="B410" s="260"/>
    </row>
    <row r="411" ht="12.0" customHeight="1">
      <c r="B411" s="260"/>
    </row>
    <row r="412" ht="12.0" customHeight="1">
      <c r="B412" s="260"/>
    </row>
    <row r="413" ht="12.0" customHeight="1">
      <c r="B413" s="260"/>
    </row>
    <row r="414" ht="12.0" customHeight="1">
      <c r="B414" s="260"/>
    </row>
    <row r="415" ht="12.0" customHeight="1">
      <c r="B415" s="260"/>
    </row>
    <row r="416" ht="12.0" customHeight="1">
      <c r="B416" s="260"/>
    </row>
    <row r="417" ht="12.0" customHeight="1">
      <c r="B417" s="260"/>
    </row>
    <row r="418" ht="12.0" customHeight="1">
      <c r="B418" s="260"/>
    </row>
    <row r="419" ht="12.0" customHeight="1">
      <c r="B419" s="260"/>
    </row>
    <row r="420" ht="12.0" customHeight="1">
      <c r="B420" s="260"/>
    </row>
    <row r="421" ht="12.0" customHeight="1">
      <c r="B421" s="260"/>
    </row>
    <row r="422" ht="12.0" customHeight="1">
      <c r="B422" s="260"/>
    </row>
    <row r="423" ht="12.0" customHeight="1">
      <c r="B423" s="260"/>
    </row>
    <row r="424" ht="12.0" customHeight="1">
      <c r="B424" s="260"/>
    </row>
    <row r="425" ht="12.0" customHeight="1">
      <c r="B425" s="260"/>
    </row>
    <row r="426" ht="12.0" customHeight="1">
      <c r="B426" s="260"/>
    </row>
    <row r="427" ht="12.0" customHeight="1">
      <c r="B427" s="260"/>
    </row>
    <row r="428" ht="12.0" customHeight="1">
      <c r="B428" s="260"/>
    </row>
    <row r="429" ht="12.0" customHeight="1">
      <c r="B429" s="260"/>
    </row>
    <row r="430" ht="12.0" customHeight="1">
      <c r="B430" s="260"/>
    </row>
    <row r="431" ht="12.0" customHeight="1">
      <c r="B431" s="260"/>
    </row>
    <row r="432" ht="12.0" customHeight="1">
      <c r="B432" s="260"/>
    </row>
    <row r="433" ht="12.0" customHeight="1">
      <c r="B433" s="260"/>
    </row>
    <row r="434" ht="12.0" customHeight="1">
      <c r="B434" s="260"/>
    </row>
    <row r="435" ht="12.0" customHeight="1">
      <c r="B435" s="260"/>
    </row>
    <row r="436" ht="12.0" customHeight="1">
      <c r="B436" s="260"/>
    </row>
    <row r="437" ht="12.0" customHeight="1">
      <c r="B437" s="260"/>
    </row>
    <row r="438" ht="12.0" customHeight="1">
      <c r="B438" s="260"/>
    </row>
    <row r="439" ht="12.0" customHeight="1">
      <c r="B439" s="260"/>
    </row>
    <row r="440" ht="12.0" customHeight="1">
      <c r="B440" s="260"/>
    </row>
    <row r="441" ht="12.0" customHeight="1">
      <c r="B441" s="260"/>
    </row>
    <row r="442" ht="12.0" customHeight="1">
      <c r="B442" s="260"/>
    </row>
    <row r="443" ht="12.0" customHeight="1">
      <c r="B443" s="260"/>
    </row>
    <row r="444" ht="12.0" customHeight="1">
      <c r="B444" s="260"/>
    </row>
    <row r="445" ht="12.0" customHeight="1">
      <c r="B445" s="260"/>
    </row>
    <row r="446" ht="12.0" customHeight="1">
      <c r="B446" s="260"/>
    </row>
    <row r="447" ht="12.0" customHeight="1">
      <c r="B447" s="260"/>
    </row>
    <row r="448" ht="12.0" customHeight="1">
      <c r="B448" s="260"/>
    </row>
    <row r="449" ht="12.0" customHeight="1">
      <c r="B449" s="260"/>
    </row>
    <row r="450" ht="12.0" customHeight="1">
      <c r="B450" s="260"/>
    </row>
    <row r="451" ht="12.0" customHeight="1">
      <c r="B451" s="260"/>
    </row>
    <row r="452" ht="12.0" customHeight="1">
      <c r="B452" s="260"/>
    </row>
    <row r="453" ht="12.0" customHeight="1">
      <c r="B453" s="260"/>
    </row>
    <row r="454" ht="12.0" customHeight="1">
      <c r="B454" s="260"/>
    </row>
    <row r="455" ht="12.0" customHeight="1">
      <c r="B455" s="260"/>
    </row>
    <row r="456" ht="12.0" customHeight="1">
      <c r="B456" s="260"/>
    </row>
    <row r="457" ht="12.0" customHeight="1">
      <c r="B457" s="260"/>
    </row>
    <row r="458" ht="12.0" customHeight="1">
      <c r="B458" s="260"/>
    </row>
    <row r="459" ht="12.0" customHeight="1">
      <c r="B459" s="260"/>
    </row>
    <row r="460" ht="12.0" customHeight="1">
      <c r="B460" s="260"/>
    </row>
    <row r="461" ht="12.0" customHeight="1">
      <c r="B461" s="260"/>
    </row>
    <row r="462" ht="12.0" customHeight="1">
      <c r="B462" s="260"/>
    </row>
    <row r="463" ht="12.0" customHeight="1">
      <c r="B463" s="260"/>
    </row>
    <row r="464" ht="12.0" customHeight="1">
      <c r="B464" s="260"/>
    </row>
    <row r="465" ht="12.0" customHeight="1">
      <c r="B465" s="260"/>
    </row>
    <row r="466" ht="12.0" customHeight="1">
      <c r="B466" s="260"/>
    </row>
    <row r="467" ht="12.0" customHeight="1">
      <c r="B467" s="260"/>
    </row>
    <row r="468" ht="12.0" customHeight="1">
      <c r="B468" s="260"/>
    </row>
    <row r="469" ht="12.0" customHeight="1">
      <c r="B469" s="260"/>
    </row>
    <row r="470" ht="12.0" customHeight="1">
      <c r="B470" s="260"/>
    </row>
    <row r="471" ht="12.0" customHeight="1">
      <c r="B471" s="260"/>
    </row>
    <row r="472" ht="12.0" customHeight="1">
      <c r="B472" s="260"/>
    </row>
    <row r="473" ht="12.0" customHeight="1">
      <c r="B473" s="260"/>
    </row>
    <row r="474" ht="12.0" customHeight="1">
      <c r="B474" s="260"/>
    </row>
    <row r="475" ht="12.0" customHeight="1">
      <c r="B475" s="260"/>
    </row>
    <row r="476" ht="12.0" customHeight="1">
      <c r="B476" s="260"/>
    </row>
    <row r="477" ht="12.0" customHeight="1">
      <c r="B477" s="260"/>
    </row>
    <row r="478" ht="12.0" customHeight="1">
      <c r="B478" s="260"/>
    </row>
    <row r="479" ht="12.0" customHeight="1">
      <c r="B479" s="260"/>
    </row>
    <row r="480" ht="12.0" customHeight="1">
      <c r="B480" s="260"/>
    </row>
    <row r="481" ht="12.0" customHeight="1">
      <c r="B481" s="260"/>
    </row>
    <row r="482" ht="12.0" customHeight="1">
      <c r="B482" s="260"/>
    </row>
    <row r="483" ht="12.0" customHeight="1">
      <c r="B483" s="260"/>
    </row>
    <row r="484" ht="12.0" customHeight="1">
      <c r="B484" s="260"/>
    </row>
    <row r="485" ht="12.0" customHeight="1">
      <c r="B485" s="260"/>
    </row>
    <row r="486" ht="12.0" customHeight="1">
      <c r="B486" s="260"/>
    </row>
    <row r="487" ht="12.0" customHeight="1">
      <c r="B487" s="260"/>
    </row>
    <row r="488" ht="12.0" customHeight="1">
      <c r="B488" s="260"/>
    </row>
    <row r="489" ht="12.0" customHeight="1">
      <c r="B489" s="260"/>
    </row>
    <row r="490" ht="12.0" customHeight="1">
      <c r="B490" s="260"/>
    </row>
    <row r="491" ht="12.0" customHeight="1">
      <c r="B491" s="260"/>
    </row>
    <row r="492" ht="12.0" customHeight="1">
      <c r="B492" s="260"/>
    </row>
    <row r="493" ht="12.0" customHeight="1">
      <c r="B493" s="260"/>
    </row>
    <row r="494" ht="12.0" customHeight="1">
      <c r="B494" s="260"/>
    </row>
    <row r="495" ht="12.0" customHeight="1">
      <c r="B495" s="260"/>
    </row>
    <row r="496" ht="12.0" customHeight="1">
      <c r="B496" s="260"/>
    </row>
    <row r="497" ht="12.0" customHeight="1">
      <c r="B497" s="260"/>
    </row>
    <row r="498" ht="12.0" customHeight="1">
      <c r="B498" s="260"/>
    </row>
    <row r="499" ht="12.0" customHeight="1">
      <c r="B499" s="260"/>
    </row>
    <row r="500" ht="12.0" customHeight="1">
      <c r="B500" s="260"/>
    </row>
    <row r="501" ht="12.0" customHeight="1">
      <c r="B501" s="260"/>
    </row>
    <row r="502" ht="12.0" customHeight="1">
      <c r="B502" s="260"/>
    </row>
    <row r="503" ht="12.0" customHeight="1">
      <c r="B503" s="260"/>
    </row>
    <row r="504" ht="12.0" customHeight="1">
      <c r="B504" s="260"/>
    </row>
    <row r="505" ht="12.0" customHeight="1">
      <c r="B505" s="260"/>
    </row>
    <row r="506" ht="12.0" customHeight="1">
      <c r="B506" s="260"/>
    </row>
    <row r="507" ht="12.0" customHeight="1">
      <c r="B507" s="260"/>
    </row>
    <row r="508" ht="12.0" customHeight="1">
      <c r="B508" s="260"/>
    </row>
    <row r="509" ht="12.0" customHeight="1">
      <c r="B509" s="260"/>
    </row>
    <row r="510" ht="12.0" customHeight="1">
      <c r="B510" s="260"/>
    </row>
    <row r="511" ht="12.0" customHeight="1">
      <c r="B511" s="260"/>
    </row>
    <row r="512" ht="12.0" customHeight="1">
      <c r="B512" s="260"/>
    </row>
    <row r="513" ht="12.0" customHeight="1">
      <c r="B513" s="260"/>
    </row>
    <row r="514" ht="12.0" customHeight="1">
      <c r="B514" s="260"/>
    </row>
    <row r="515" ht="12.0" customHeight="1">
      <c r="B515" s="260"/>
    </row>
    <row r="516" ht="12.0" customHeight="1">
      <c r="B516" s="260"/>
    </row>
    <row r="517" ht="12.0" customHeight="1">
      <c r="B517" s="260"/>
    </row>
    <row r="518" ht="12.0" customHeight="1">
      <c r="B518" s="260"/>
    </row>
    <row r="519" ht="12.0" customHeight="1">
      <c r="B519" s="260"/>
    </row>
    <row r="520" ht="12.0" customHeight="1">
      <c r="B520" s="260"/>
    </row>
    <row r="521" ht="12.0" customHeight="1">
      <c r="B521" s="260"/>
    </row>
    <row r="522" ht="12.0" customHeight="1">
      <c r="B522" s="260"/>
    </row>
    <row r="523" ht="12.0" customHeight="1">
      <c r="B523" s="260"/>
    </row>
    <row r="524" ht="12.0" customHeight="1">
      <c r="B524" s="260"/>
    </row>
    <row r="525" ht="12.0" customHeight="1">
      <c r="B525" s="260"/>
    </row>
    <row r="526" ht="12.0" customHeight="1">
      <c r="B526" s="260"/>
    </row>
    <row r="527" ht="12.0" customHeight="1">
      <c r="B527" s="260"/>
    </row>
    <row r="528" ht="12.0" customHeight="1">
      <c r="B528" s="260"/>
    </row>
    <row r="529" ht="12.0" customHeight="1">
      <c r="B529" s="260"/>
    </row>
    <row r="530" ht="12.0" customHeight="1">
      <c r="B530" s="260"/>
    </row>
    <row r="531" ht="12.0" customHeight="1">
      <c r="B531" s="260"/>
    </row>
    <row r="532" ht="12.0" customHeight="1">
      <c r="B532" s="260"/>
    </row>
    <row r="533" ht="12.0" customHeight="1">
      <c r="B533" s="260"/>
    </row>
    <row r="534" ht="12.0" customHeight="1">
      <c r="B534" s="260"/>
    </row>
    <row r="535" ht="12.0" customHeight="1">
      <c r="B535" s="260"/>
    </row>
    <row r="536" ht="12.0" customHeight="1">
      <c r="B536" s="260"/>
    </row>
    <row r="537" ht="12.0" customHeight="1">
      <c r="B537" s="260"/>
    </row>
    <row r="538" ht="12.0" customHeight="1">
      <c r="B538" s="260"/>
    </row>
    <row r="539" ht="12.0" customHeight="1">
      <c r="B539" s="260"/>
    </row>
    <row r="540" ht="12.0" customHeight="1">
      <c r="B540" s="260"/>
    </row>
    <row r="541" ht="12.0" customHeight="1">
      <c r="B541" s="260"/>
    </row>
    <row r="542" ht="12.0" customHeight="1">
      <c r="B542" s="260"/>
    </row>
    <row r="543" ht="12.0" customHeight="1">
      <c r="B543" s="260"/>
    </row>
    <row r="544" ht="12.0" customHeight="1">
      <c r="B544" s="260"/>
    </row>
    <row r="545" ht="12.0" customHeight="1">
      <c r="B545" s="260"/>
    </row>
    <row r="546" ht="12.0" customHeight="1">
      <c r="B546" s="260"/>
    </row>
    <row r="547" ht="12.0" customHeight="1">
      <c r="B547" s="260"/>
    </row>
    <row r="548" ht="12.0" customHeight="1">
      <c r="B548" s="260"/>
    </row>
    <row r="549" ht="12.0" customHeight="1">
      <c r="B549" s="260"/>
    </row>
    <row r="550" ht="12.0" customHeight="1">
      <c r="B550" s="260"/>
    </row>
    <row r="551" ht="12.0" customHeight="1">
      <c r="B551" s="260"/>
    </row>
    <row r="552" ht="12.0" customHeight="1">
      <c r="B552" s="260"/>
    </row>
    <row r="553" ht="12.0" customHeight="1">
      <c r="B553" s="260"/>
    </row>
    <row r="554" ht="12.0" customHeight="1">
      <c r="B554" s="260"/>
    </row>
    <row r="555" ht="12.0" customHeight="1">
      <c r="B555" s="260"/>
    </row>
    <row r="556" ht="12.0" customHeight="1">
      <c r="B556" s="260"/>
    </row>
    <row r="557" ht="12.0" customHeight="1">
      <c r="B557" s="260"/>
    </row>
    <row r="558" ht="12.0" customHeight="1">
      <c r="B558" s="260"/>
    </row>
    <row r="559" ht="12.0" customHeight="1">
      <c r="B559" s="260"/>
    </row>
    <row r="560" ht="12.0" customHeight="1">
      <c r="B560" s="260"/>
    </row>
    <row r="561" ht="12.0" customHeight="1">
      <c r="B561" s="260"/>
    </row>
    <row r="562" ht="12.0" customHeight="1">
      <c r="B562" s="260"/>
    </row>
    <row r="563" ht="12.0" customHeight="1">
      <c r="B563" s="260"/>
    </row>
    <row r="564" ht="12.0" customHeight="1">
      <c r="B564" s="260"/>
    </row>
    <row r="565" ht="12.0" customHeight="1">
      <c r="B565" s="260"/>
    </row>
    <row r="566" ht="12.0" customHeight="1">
      <c r="B566" s="260"/>
    </row>
    <row r="567" ht="12.0" customHeight="1">
      <c r="B567" s="260"/>
    </row>
    <row r="568" ht="12.0" customHeight="1">
      <c r="B568" s="260"/>
    </row>
    <row r="569" ht="12.0" customHeight="1">
      <c r="B569" s="260"/>
    </row>
    <row r="570" ht="12.0" customHeight="1">
      <c r="B570" s="260"/>
    </row>
    <row r="571" ht="12.0" customHeight="1">
      <c r="B571" s="260"/>
    </row>
    <row r="572" ht="12.0" customHeight="1">
      <c r="B572" s="260"/>
    </row>
    <row r="573" ht="12.0" customHeight="1">
      <c r="B573" s="260"/>
    </row>
    <row r="574" ht="12.0" customHeight="1">
      <c r="B574" s="260"/>
    </row>
    <row r="575" ht="12.0" customHeight="1">
      <c r="B575" s="260"/>
    </row>
    <row r="576" ht="12.0" customHeight="1">
      <c r="B576" s="260"/>
    </row>
    <row r="577" ht="12.0" customHeight="1">
      <c r="B577" s="260"/>
    </row>
    <row r="578" ht="12.0" customHeight="1">
      <c r="B578" s="260"/>
    </row>
    <row r="579" ht="12.0" customHeight="1">
      <c r="B579" s="260"/>
    </row>
    <row r="580" ht="12.0" customHeight="1">
      <c r="B580" s="260"/>
    </row>
    <row r="581" ht="12.0" customHeight="1">
      <c r="B581" s="260"/>
    </row>
    <row r="582" ht="12.0" customHeight="1">
      <c r="B582" s="260"/>
    </row>
    <row r="583" ht="12.0" customHeight="1">
      <c r="B583" s="260"/>
    </row>
    <row r="584" ht="12.0" customHeight="1">
      <c r="B584" s="260"/>
    </row>
    <row r="585" ht="12.0" customHeight="1">
      <c r="B585" s="260"/>
    </row>
    <row r="586" ht="12.0" customHeight="1">
      <c r="B586" s="260"/>
    </row>
    <row r="587" ht="12.0" customHeight="1">
      <c r="B587" s="260"/>
    </row>
    <row r="588" ht="12.0" customHeight="1">
      <c r="B588" s="260"/>
    </row>
    <row r="589" ht="12.0" customHeight="1">
      <c r="B589" s="260"/>
    </row>
    <row r="590" ht="12.0" customHeight="1">
      <c r="B590" s="260"/>
    </row>
    <row r="591" ht="12.0" customHeight="1">
      <c r="B591" s="260"/>
    </row>
    <row r="592" ht="12.0" customHeight="1">
      <c r="B592" s="260"/>
    </row>
    <row r="593" ht="12.0" customHeight="1">
      <c r="B593" s="260"/>
    </row>
    <row r="594" ht="12.0" customHeight="1">
      <c r="B594" s="260"/>
    </row>
    <row r="595" ht="12.0" customHeight="1">
      <c r="B595" s="260"/>
    </row>
    <row r="596" ht="12.0" customHeight="1">
      <c r="B596" s="260"/>
    </row>
    <row r="597" ht="12.0" customHeight="1">
      <c r="B597" s="260"/>
    </row>
    <row r="598" ht="12.0" customHeight="1">
      <c r="B598" s="260"/>
    </row>
    <row r="599" ht="12.0" customHeight="1">
      <c r="B599" s="260"/>
    </row>
    <row r="600" ht="12.0" customHeight="1">
      <c r="B600" s="260"/>
    </row>
    <row r="601" ht="12.0" customHeight="1">
      <c r="B601" s="260"/>
    </row>
    <row r="602" ht="12.0" customHeight="1">
      <c r="B602" s="260"/>
    </row>
    <row r="603" ht="12.0" customHeight="1">
      <c r="B603" s="260"/>
    </row>
    <row r="604" ht="12.0" customHeight="1">
      <c r="B604" s="260"/>
    </row>
    <row r="605" ht="12.0" customHeight="1">
      <c r="B605" s="260"/>
    </row>
    <row r="606" ht="12.0" customHeight="1">
      <c r="B606" s="260"/>
    </row>
    <row r="607" ht="12.0" customHeight="1">
      <c r="B607" s="260"/>
    </row>
    <row r="608" ht="12.0" customHeight="1">
      <c r="B608" s="260"/>
    </row>
    <row r="609" ht="12.0" customHeight="1">
      <c r="B609" s="260"/>
    </row>
    <row r="610" ht="12.0" customHeight="1">
      <c r="B610" s="260"/>
    </row>
    <row r="611" ht="12.0" customHeight="1">
      <c r="B611" s="260"/>
    </row>
    <row r="612" ht="12.0" customHeight="1">
      <c r="B612" s="260"/>
    </row>
    <row r="613" ht="12.0" customHeight="1">
      <c r="B613" s="260"/>
    </row>
    <row r="614" ht="12.0" customHeight="1">
      <c r="B614" s="260"/>
    </row>
    <row r="615" ht="12.0" customHeight="1">
      <c r="B615" s="260"/>
    </row>
    <row r="616" ht="12.0" customHeight="1">
      <c r="B616" s="260"/>
    </row>
    <row r="617" ht="12.0" customHeight="1">
      <c r="B617" s="260"/>
    </row>
    <row r="618" ht="12.0" customHeight="1">
      <c r="B618" s="260"/>
    </row>
    <row r="619" ht="12.0" customHeight="1">
      <c r="B619" s="260"/>
    </row>
    <row r="620" ht="12.0" customHeight="1">
      <c r="B620" s="260"/>
    </row>
    <row r="621" ht="12.0" customHeight="1">
      <c r="B621" s="260"/>
    </row>
    <row r="622" ht="12.0" customHeight="1">
      <c r="B622" s="260"/>
    </row>
    <row r="623" ht="12.0" customHeight="1">
      <c r="B623" s="260"/>
    </row>
    <row r="624" ht="12.0" customHeight="1">
      <c r="B624" s="260"/>
    </row>
    <row r="625" ht="12.0" customHeight="1">
      <c r="B625" s="260"/>
    </row>
    <row r="626" ht="12.0" customHeight="1">
      <c r="B626" s="260"/>
    </row>
    <row r="627" ht="12.0" customHeight="1">
      <c r="B627" s="260"/>
    </row>
    <row r="628" ht="12.0" customHeight="1">
      <c r="B628" s="260"/>
    </row>
    <row r="629" ht="12.0" customHeight="1">
      <c r="B629" s="260"/>
    </row>
    <row r="630" ht="12.0" customHeight="1">
      <c r="B630" s="260"/>
    </row>
    <row r="631" ht="12.0" customHeight="1">
      <c r="B631" s="260"/>
    </row>
    <row r="632" ht="12.0" customHeight="1">
      <c r="B632" s="260"/>
    </row>
    <row r="633" ht="12.0" customHeight="1">
      <c r="B633" s="260"/>
    </row>
    <row r="634" ht="12.0" customHeight="1">
      <c r="B634" s="260"/>
    </row>
    <row r="635" ht="12.0" customHeight="1">
      <c r="B635" s="260"/>
    </row>
    <row r="636" ht="12.0" customHeight="1">
      <c r="B636" s="260"/>
    </row>
    <row r="637" ht="12.0" customHeight="1">
      <c r="B637" s="260"/>
    </row>
    <row r="638" ht="12.0" customHeight="1">
      <c r="B638" s="260"/>
    </row>
    <row r="639" ht="12.0" customHeight="1">
      <c r="B639" s="260"/>
    </row>
    <row r="640" ht="12.0" customHeight="1">
      <c r="B640" s="260"/>
    </row>
    <row r="641" ht="12.0" customHeight="1">
      <c r="B641" s="260"/>
    </row>
    <row r="642" ht="12.0" customHeight="1">
      <c r="B642" s="260"/>
    </row>
    <row r="643" ht="12.0" customHeight="1">
      <c r="B643" s="260"/>
    </row>
    <row r="644" ht="12.0" customHeight="1">
      <c r="B644" s="260"/>
    </row>
    <row r="645" ht="12.0" customHeight="1">
      <c r="B645" s="260"/>
    </row>
    <row r="646" ht="12.0" customHeight="1">
      <c r="B646" s="260"/>
    </row>
    <row r="647" ht="12.0" customHeight="1">
      <c r="B647" s="260"/>
    </row>
    <row r="648" ht="12.0" customHeight="1">
      <c r="B648" s="260"/>
    </row>
    <row r="649" ht="12.0" customHeight="1">
      <c r="B649" s="260"/>
    </row>
    <row r="650" ht="12.0" customHeight="1">
      <c r="B650" s="260"/>
    </row>
    <row r="651" ht="12.0" customHeight="1">
      <c r="B651" s="260"/>
    </row>
    <row r="652" ht="12.0" customHeight="1">
      <c r="B652" s="260"/>
    </row>
    <row r="653" ht="12.0" customHeight="1">
      <c r="B653" s="260"/>
    </row>
    <row r="654" ht="12.0" customHeight="1">
      <c r="B654" s="260"/>
    </row>
    <row r="655" ht="12.0" customHeight="1">
      <c r="B655" s="260"/>
    </row>
    <row r="656" ht="12.0" customHeight="1">
      <c r="B656" s="260"/>
    </row>
    <row r="657" ht="12.0" customHeight="1">
      <c r="B657" s="260"/>
    </row>
    <row r="658" ht="12.0" customHeight="1">
      <c r="B658" s="260"/>
    </row>
    <row r="659" ht="12.0" customHeight="1">
      <c r="B659" s="260"/>
    </row>
    <row r="660" ht="12.0" customHeight="1">
      <c r="B660" s="260"/>
    </row>
    <row r="661" ht="12.0" customHeight="1">
      <c r="B661" s="260"/>
    </row>
    <row r="662" ht="12.0" customHeight="1">
      <c r="B662" s="260"/>
    </row>
    <row r="663" ht="12.0" customHeight="1">
      <c r="B663" s="260"/>
    </row>
    <row r="664" ht="12.0" customHeight="1">
      <c r="B664" s="260"/>
    </row>
    <row r="665" ht="12.0" customHeight="1">
      <c r="B665" s="260"/>
    </row>
    <row r="666" ht="12.0" customHeight="1">
      <c r="B666" s="260"/>
    </row>
    <row r="667" ht="12.0" customHeight="1">
      <c r="B667" s="260"/>
    </row>
    <row r="668" ht="12.0" customHeight="1">
      <c r="B668" s="260"/>
    </row>
    <row r="669" ht="12.0" customHeight="1">
      <c r="B669" s="260"/>
    </row>
    <row r="670" ht="12.0" customHeight="1">
      <c r="B670" s="260"/>
    </row>
    <row r="671" ht="12.0" customHeight="1">
      <c r="B671" s="260"/>
    </row>
    <row r="672" ht="12.0" customHeight="1">
      <c r="B672" s="260"/>
    </row>
    <row r="673" ht="12.0" customHeight="1">
      <c r="B673" s="260"/>
    </row>
    <row r="674" ht="12.0" customHeight="1">
      <c r="B674" s="260"/>
    </row>
    <row r="675" ht="12.0" customHeight="1">
      <c r="B675" s="260"/>
    </row>
    <row r="676" ht="12.0" customHeight="1">
      <c r="B676" s="260"/>
    </row>
    <row r="677" ht="12.0" customHeight="1">
      <c r="B677" s="260"/>
    </row>
    <row r="678" ht="12.0" customHeight="1">
      <c r="B678" s="260"/>
    </row>
    <row r="679" ht="12.0" customHeight="1">
      <c r="B679" s="260"/>
    </row>
    <row r="680" ht="12.0" customHeight="1">
      <c r="B680" s="260"/>
    </row>
    <row r="681" ht="12.0" customHeight="1">
      <c r="B681" s="260"/>
    </row>
    <row r="682" ht="12.0" customHeight="1">
      <c r="B682" s="260"/>
    </row>
    <row r="683" ht="12.0" customHeight="1">
      <c r="B683" s="260"/>
    </row>
    <row r="684" ht="12.0" customHeight="1">
      <c r="B684" s="260"/>
    </row>
    <row r="685" ht="12.0" customHeight="1">
      <c r="B685" s="260"/>
    </row>
    <row r="686" ht="12.0" customHeight="1">
      <c r="B686" s="260"/>
    </row>
    <row r="687" ht="12.0" customHeight="1">
      <c r="B687" s="260"/>
    </row>
    <row r="688" ht="12.0" customHeight="1">
      <c r="B688" s="260"/>
    </row>
    <row r="689" ht="12.0" customHeight="1">
      <c r="B689" s="260"/>
    </row>
    <row r="690" ht="12.0" customHeight="1">
      <c r="B690" s="260"/>
    </row>
    <row r="691" ht="12.0" customHeight="1">
      <c r="B691" s="260"/>
    </row>
    <row r="692" ht="12.0" customHeight="1">
      <c r="B692" s="260"/>
    </row>
    <row r="693" ht="12.0" customHeight="1">
      <c r="B693" s="260"/>
    </row>
    <row r="694" ht="12.0" customHeight="1">
      <c r="B694" s="260"/>
    </row>
    <row r="695" ht="12.0" customHeight="1">
      <c r="B695" s="260"/>
    </row>
    <row r="696" ht="12.0" customHeight="1">
      <c r="B696" s="260"/>
    </row>
    <row r="697" ht="12.0" customHeight="1">
      <c r="B697" s="260"/>
    </row>
    <row r="698" ht="12.0" customHeight="1">
      <c r="B698" s="260"/>
    </row>
    <row r="699" ht="12.0" customHeight="1">
      <c r="B699" s="260"/>
    </row>
    <row r="700" ht="12.0" customHeight="1">
      <c r="B700" s="260"/>
    </row>
    <row r="701" ht="12.0" customHeight="1">
      <c r="B701" s="260"/>
    </row>
    <row r="702" ht="12.0" customHeight="1">
      <c r="B702" s="260"/>
    </row>
    <row r="703" ht="12.0" customHeight="1">
      <c r="B703" s="260"/>
    </row>
    <row r="704" ht="12.0" customHeight="1">
      <c r="B704" s="260"/>
    </row>
    <row r="705" ht="12.0" customHeight="1">
      <c r="B705" s="260"/>
    </row>
    <row r="706" ht="12.0" customHeight="1">
      <c r="B706" s="260"/>
    </row>
    <row r="707" ht="12.0" customHeight="1">
      <c r="B707" s="260"/>
    </row>
    <row r="708" ht="12.0" customHeight="1">
      <c r="B708" s="260"/>
    </row>
    <row r="709" ht="12.0" customHeight="1">
      <c r="B709" s="260"/>
    </row>
    <row r="710" ht="12.0" customHeight="1">
      <c r="B710" s="260"/>
    </row>
    <row r="711" ht="12.0" customHeight="1">
      <c r="B711" s="260"/>
    </row>
    <row r="712" ht="12.0" customHeight="1">
      <c r="B712" s="260"/>
    </row>
    <row r="713" ht="12.0" customHeight="1">
      <c r="B713" s="260"/>
    </row>
    <row r="714" ht="12.0" customHeight="1">
      <c r="B714" s="260"/>
    </row>
    <row r="715" ht="12.0" customHeight="1">
      <c r="B715" s="260"/>
    </row>
    <row r="716" ht="12.0" customHeight="1">
      <c r="B716" s="260"/>
    </row>
    <row r="717" ht="12.0" customHeight="1">
      <c r="B717" s="260"/>
    </row>
    <row r="718" ht="12.0" customHeight="1">
      <c r="B718" s="260"/>
    </row>
    <row r="719" ht="12.0" customHeight="1">
      <c r="B719" s="260"/>
    </row>
    <row r="720" ht="12.0" customHeight="1">
      <c r="B720" s="260"/>
    </row>
    <row r="721" ht="12.0" customHeight="1">
      <c r="B721" s="260"/>
    </row>
    <row r="722" ht="12.0" customHeight="1">
      <c r="B722" s="260"/>
    </row>
    <row r="723" ht="12.0" customHeight="1">
      <c r="B723" s="260"/>
    </row>
    <row r="724" ht="12.0" customHeight="1">
      <c r="B724" s="260"/>
    </row>
    <row r="725" ht="12.0" customHeight="1">
      <c r="B725" s="260"/>
    </row>
    <row r="726" ht="12.0" customHeight="1">
      <c r="B726" s="260"/>
    </row>
    <row r="727" ht="12.0" customHeight="1">
      <c r="B727" s="260"/>
    </row>
    <row r="728" ht="12.0" customHeight="1">
      <c r="B728" s="260"/>
    </row>
    <row r="729" ht="12.0" customHeight="1">
      <c r="B729" s="260"/>
    </row>
    <row r="730" ht="12.0" customHeight="1">
      <c r="B730" s="260"/>
    </row>
    <row r="731" ht="12.0" customHeight="1">
      <c r="B731" s="260"/>
    </row>
    <row r="732" ht="12.0" customHeight="1">
      <c r="B732" s="260"/>
    </row>
    <row r="733" ht="12.0" customHeight="1">
      <c r="B733" s="260"/>
    </row>
    <row r="734" ht="12.0" customHeight="1">
      <c r="B734" s="260"/>
    </row>
    <row r="735" ht="12.0" customHeight="1">
      <c r="B735" s="260"/>
    </row>
    <row r="736" ht="12.0" customHeight="1">
      <c r="B736" s="260"/>
    </row>
    <row r="737" ht="12.0" customHeight="1">
      <c r="B737" s="260"/>
    </row>
    <row r="738" ht="12.0" customHeight="1">
      <c r="B738" s="260"/>
    </row>
    <row r="739" ht="12.0" customHeight="1">
      <c r="B739" s="260"/>
    </row>
    <row r="740" ht="12.0" customHeight="1">
      <c r="B740" s="260"/>
    </row>
    <row r="741" ht="12.0" customHeight="1">
      <c r="B741" s="260"/>
    </row>
    <row r="742" ht="12.0" customHeight="1">
      <c r="B742" s="260"/>
    </row>
    <row r="743" ht="12.0" customHeight="1">
      <c r="B743" s="260"/>
    </row>
    <row r="744" ht="12.0" customHeight="1">
      <c r="B744" s="260"/>
    </row>
    <row r="745" ht="12.0" customHeight="1">
      <c r="B745" s="260"/>
    </row>
    <row r="746" ht="12.0" customHeight="1">
      <c r="B746" s="260"/>
    </row>
    <row r="747" ht="12.0" customHeight="1">
      <c r="B747" s="260"/>
    </row>
    <row r="748" ht="12.0" customHeight="1">
      <c r="B748" s="260"/>
    </row>
    <row r="749" ht="12.0" customHeight="1">
      <c r="B749" s="260"/>
    </row>
    <row r="750" ht="12.0" customHeight="1">
      <c r="B750" s="260"/>
    </row>
    <row r="751" ht="12.0" customHeight="1">
      <c r="B751" s="260"/>
    </row>
    <row r="752" ht="12.0" customHeight="1">
      <c r="B752" s="260"/>
    </row>
    <row r="753" ht="12.0" customHeight="1">
      <c r="B753" s="260"/>
    </row>
    <row r="754" ht="12.0" customHeight="1">
      <c r="B754" s="260"/>
    </row>
    <row r="755" ht="12.0" customHeight="1">
      <c r="B755" s="260"/>
    </row>
    <row r="756" ht="12.0" customHeight="1">
      <c r="B756" s="260"/>
    </row>
    <row r="757" ht="12.0" customHeight="1">
      <c r="B757" s="260"/>
    </row>
    <row r="758" ht="12.0" customHeight="1">
      <c r="B758" s="260"/>
    </row>
    <row r="759" ht="12.0" customHeight="1">
      <c r="B759" s="260"/>
    </row>
    <row r="760" ht="12.0" customHeight="1">
      <c r="B760" s="260"/>
    </row>
    <row r="761" ht="12.0" customHeight="1">
      <c r="B761" s="260"/>
    </row>
    <row r="762" ht="12.0" customHeight="1">
      <c r="B762" s="260"/>
    </row>
    <row r="763" ht="12.0" customHeight="1">
      <c r="B763" s="260"/>
    </row>
    <row r="764" ht="12.0" customHeight="1">
      <c r="B764" s="260"/>
    </row>
    <row r="765" ht="12.0" customHeight="1">
      <c r="B765" s="260"/>
    </row>
    <row r="766" ht="12.0" customHeight="1">
      <c r="B766" s="260"/>
    </row>
    <row r="767" ht="12.0" customHeight="1">
      <c r="B767" s="260"/>
    </row>
    <row r="768" ht="12.0" customHeight="1">
      <c r="B768" s="260"/>
    </row>
    <row r="769" ht="12.0" customHeight="1">
      <c r="B769" s="260"/>
    </row>
    <row r="770" ht="12.0" customHeight="1">
      <c r="B770" s="260"/>
    </row>
    <row r="771" ht="12.0" customHeight="1">
      <c r="B771" s="260"/>
    </row>
    <row r="772" ht="12.0" customHeight="1">
      <c r="B772" s="260"/>
    </row>
    <row r="773" ht="12.0" customHeight="1">
      <c r="B773" s="260"/>
    </row>
    <row r="774" ht="12.0" customHeight="1">
      <c r="B774" s="260"/>
    </row>
    <row r="775" ht="12.0" customHeight="1">
      <c r="B775" s="260"/>
    </row>
    <row r="776" ht="12.0" customHeight="1">
      <c r="B776" s="260"/>
    </row>
    <row r="777" ht="12.0" customHeight="1">
      <c r="B777" s="260"/>
    </row>
    <row r="778" ht="12.0" customHeight="1">
      <c r="B778" s="260"/>
    </row>
    <row r="779" ht="12.0" customHeight="1">
      <c r="B779" s="260"/>
    </row>
    <row r="780" ht="12.0" customHeight="1">
      <c r="B780" s="260"/>
    </row>
    <row r="781" ht="12.0" customHeight="1">
      <c r="B781" s="260"/>
    </row>
    <row r="782" ht="12.0" customHeight="1">
      <c r="B782" s="260"/>
    </row>
    <row r="783" ht="12.0" customHeight="1">
      <c r="B783" s="260"/>
    </row>
    <row r="784" ht="12.0" customHeight="1">
      <c r="B784" s="260"/>
    </row>
    <row r="785" ht="12.0" customHeight="1">
      <c r="B785" s="260"/>
    </row>
    <row r="786" ht="12.0" customHeight="1">
      <c r="B786" s="260"/>
    </row>
    <row r="787" ht="12.0" customHeight="1">
      <c r="B787" s="260"/>
    </row>
    <row r="788" ht="12.0" customHeight="1">
      <c r="B788" s="260"/>
    </row>
    <row r="789" ht="12.0" customHeight="1">
      <c r="B789" s="260"/>
    </row>
    <row r="790" ht="12.0" customHeight="1">
      <c r="B790" s="260"/>
    </row>
    <row r="791" ht="12.0" customHeight="1">
      <c r="B791" s="260"/>
    </row>
    <row r="792" ht="12.0" customHeight="1">
      <c r="B792" s="260"/>
    </row>
    <row r="793" ht="12.0" customHeight="1">
      <c r="B793" s="260"/>
    </row>
    <row r="794" ht="12.0" customHeight="1">
      <c r="B794" s="260"/>
    </row>
    <row r="795" ht="12.0" customHeight="1">
      <c r="B795" s="260"/>
    </row>
    <row r="796" ht="12.0" customHeight="1">
      <c r="B796" s="260"/>
    </row>
    <row r="797" ht="12.0" customHeight="1">
      <c r="B797" s="260"/>
    </row>
    <row r="798" ht="12.0" customHeight="1">
      <c r="B798" s="260"/>
    </row>
    <row r="799" ht="12.0" customHeight="1">
      <c r="B799" s="260"/>
    </row>
    <row r="800" ht="12.0" customHeight="1">
      <c r="B800" s="260"/>
    </row>
    <row r="801" ht="12.0" customHeight="1">
      <c r="B801" s="260"/>
    </row>
    <row r="802" ht="12.0" customHeight="1">
      <c r="B802" s="260"/>
    </row>
    <row r="803" ht="12.0" customHeight="1">
      <c r="B803" s="260"/>
    </row>
    <row r="804" ht="12.0" customHeight="1">
      <c r="B804" s="260"/>
    </row>
    <row r="805" ht="12.0" customHeight="1">
      <c r="B805" s="260"/>
    </row>
    <row r="806" ht="12.0" customHeight="1">
      <c r="B806" s="260"/>
    </row>
    <row r="807" ht="12.0" customHeight="1">
      <c r="B807" s="260"/>
    </row>
    <row r="808" ht="12.0" customHeight="1">
      <c r="B808" s="260"/>
    </row>
    <row r="809" ht="12.0" customHeight="1">
      <c r="B809" s="260"/>
    </row>
    <row r="810" ht="12.0" customHeight="1">
      <c r="B810" s="260"/>
    </row>
    <row r="811" ht="12.0" customHeight="1">
      <c r="B811" s="260"/>
    </row>
    <row r="812" ht="12.0" customHeight="1">
      <c r="B812" s="260"/>
    </row>
    <row r="813" ht="12.0" customHeight="1">
      <c r="B813" s="260"/>
    </row>
    <row r="814" ht="12.0" customHeight="1">
      <c r="B814" s="260"/>
    </row>
    <row r="815" ht="12.0" customHeight="1">
      <c r="B815" s="260"/>
    </row>
    <row r="816" ht="12.0" customHeight="1">
      <c r="B816" s="260"/>
    </row>
    <row r="817" ht="12.0" customHeight="1">
      <c r="B817" s="260"/>
    </row>
    <row r="818" ht="12.0" customHeight="1">
      <c r="B818" s="260"/>
    </row>
    <row r="819" ht="12.0" customHeight="1">
      <c r="B819" s="260"/>
    </row>
    <row r="820" ht="12.0" customHeight="1">
      <c r="B820" s="260"/>
    </row>
    <row r="821" ht="12.0" customHeight="1">
      <c r="B821" s="260"/>
    </row>
    <row r="822" ht="12.0" customHeight="1">
      <c r="B822" s="260"/>
    </row>
    <row r="823" ht="12.0" customHeight="1">
      <c r="B823" s="260"/>
    </row>
    <row r="824" ht="12.0" customHeight="1">
      <c r="B824" s="260"/>
    </row>
    <row r="825" ht="12.0" customHeight="1">
      <c r="B825" s="260"/>
    </row>
    <row r="826" ht="12.0" customHeight="1">
      <c r="B826" s="260"/>
    </row>
    <row r="827" ht="12.0" customHeight="1">
      <c r="B827" s="260"/>
    </row>
    <row r="828" ht="12.0" customHeight="1">
      <c r="B828" s="260"/>
    </row>
    <row r="829" ht="12.0" customHeight="1">
      <c r="B829" s="260"/>
    </row>
    <row r="830" ht="12.0" customHeight="1">
      <c r="B830" s="260"/>
    </row>
    <row r="831" ht="12.0" customHeight="1">
      <c r="B831" s="260"/>
    </row>
    <row r="832" ht="12.0" customHeight="1">
      <c r="B832" s="260"/>
    </row>
    <row r="833" ht="12.0" customHeight="1">
      <c r="B833" s="260"/>
    </row>
    <row r="834" ht="12.0" customHeight="1">
      <c r="B834" s="260"/>
    </row>
    <row r="835" ht="12.0" customHeight="1">
      <c r="B835" s="260"/>
    </row>
    <row r="836" ht="12.0" customHeight="1">
      <c r="B836" s="260"/>
    </row>
    <row r="837" ht="12.0" customHeight="1">
      <c r="B837" s="260"/>
    </row>
    <row r="838" ht="12.0" customHeight="1">
      <c r="B838" s="260"/>
    </row>
    <row r="839" ht="12.0" customHeight="1">
      <c r="B839" s="260"/>
    </row>
    <row r="840" ht="12.0" customHeight="1">
      <c r="B840" s="260"/>
    </row>
    <row r="841" ht="12.0" customHeight="1">
      <c r="B841" s="260"/>
    </row>
    <row r="842" ht="12.0" customHeight="1">
      <c r="B842" s="260"/>
    </row>
    <row r="843" ht="12.0" customHeight="1">
      <c r="B843" s="260"/>
    </row>
    <row r="844" ht="12.0" customHeight="1">
      <c r="B844" s="260"/>
    </row>
    <row r="845" ht="12.0" customHeight="1">
      <c r="B845" s="260"/>
    </row>
    <row r="846" ht="12.0" customHeight="1">
      <c r="B846" s="260"/>
    </row>
    <row r="847" ht="12.0" customHeight="1">
      <c r="B847" s="260"/>
    </row>
    <row r="848" ht="12.0" customHeight="1">
      <c r="B848" s="260"/>
    </row>
    <row r="849" ht="12.0" customHeight="1">
      <c r="B849" s="260"/>
    </row>
    <row r="850" ht="12.0" customHeight="1">
      <c r="B850" s="260"/>
    </row>
    <row r="851" ht="12.0" customHeight="1">
      <c r="B851" s="260"/>
    </row>
    <row r="852" ht="12.0" customHeight="1">
      <c r="B852" s="260"/>
    </row>
    <row r="853" ht="12.0" customHeight="1">
      <c r="B853" s="260"/>
    </row>
    <row r="854" ht="12.0" customHeight="1">
      <c r="B854" s="260"/>
    </row>
    <row r="855" ht="12.0" customHeight="1">
      <c r="B855" s="260"/>
    </row>
    <row r="856" ht="12.0" customHeight="1">
      <c r="B856" s="260"/>
    </row>
    <row r="857" ht="12.0" customHeight="1">
      <c r="B857" s="260"/>
    </row>
    <row r="858" ht="12.0" customHeight="1">
      <c r="B858" s="260"/>
    </row>
    <row r="859" ht="12.0" customHeight="1">
      <c r="B859" s="260"/>
    </row>
    <row r="860" ht="12.0" customHeight="1">
      <c r="B860" s="260"/>
    </row>
    <row r="861" ht="12.0" customHeight="1">
      <c r="B861" s="260"/>
    </row>
    <row r="862" ht="12.0" customHeight="1">
      <c r="B862" s="260"/>
    </row>
    <row r="863" ht="12.0" customHeight="1">
      <c r="B863" s="260"/>
    </row>
    <row r="864" ht="12.0" customHeight="1">
      <c r="B864" s="260"/>
    </row>
    <row r="865" ht="12.0" customHeight="1">
      <c r="B865" s="260"/>
    </row>
    <row r="866" ht="12.0" customHeight="1">
      <c r="B866" s="260"/>
    </row>
    <row r="867" ht="12.0" customHeight="1">
      <c r="B867" s="260"/>
    </row>
    <row r="868" ht="12.0" customHeight="1">
      <c r="B868" s="260"/>
    </row>
    <row r="869" ht="12.0" customHeight="1">
      <c r="B869" s="260"/>
    </row>
    <row r="870" ht="12.0" customHeight="1">
      <c r="B870" s="260"/>
    </row>
    <row r="871" ht="12.0" customHeight="1">
      <c r="B871" s="260"/>
    </row>
    <row r="872" ht="12.0" customHeight="1">
      <c r="B872" s="260"/>
    </row>
    <row r="873" ht="12.0" customHeight="1">
      <c r="B873" s="260"/>
    </row>
    <row r="874" ht="12.0" customHeight="1">
      <c r="B874" s="260"/>
    </row>
    <row r="875" ht="12.0" customHeight="1">
      <c r="B875" s="260"/>
    </row>
    <row r="876" ht="12.0" customHeight="1">
      <c r="B876" s="260"/>
    </row>
    <row r="877" ht="12.0" customHeight="1">
      <c r="B877" s="260"/>
    </row>
    <row r="878" ht="12.0" customHeight="1">
      <c r="B878" s="260"/>
    </row>
    <row r="879" ht="12.0" customHeight="1">
      <c r="B879" s="260"/>
    </row>
    <row r="880" ht="12.0" customHeight="1">
      <c r="B880" s="260"/>
    </row>
    <row r="881" ht="12.0" customHeight="1">
      <c r="B881" s="260"/>
    </row>
    <row r="882" ht="12.0" customHeight="1">
      <c r="B882" s="260"/>
    </row>
    <row r="883" ht="12.0" customHeight="1">
      <c r="B883" s="260"/>
    </row>
    <row r="884" ht="12.0" customHeight="1">
      <c r="B884" s="260"/>
    </row>
    <row r="885" ht="12.0" customHeight="1">
      <c r="B885" s="260"/>
    </row>
    <row r="886" ht="12.0" customHeight="1">
      <c r="B886" s="260"/>
    </row>
    <row r="887" ht="12.0" customHeight="1">
      <c r="B887" s="260"/>
    </row>
    <row r="888" ht="12.0" customHeight="1">
      <c r="B888" s="260"/>
    </row>
    <row r="889" ht="12.0" customHeight="1">
      <c r="B889" s="260"/>
    </row>
    <row r="890" ht="12.0" customHeight="1">
      <c r="B890" s="260"/>
    </row>
    <row r="891" ht="12.0" customHeight="1">
      <c r="B891" s="260"/>
    </row>
    <row r="892" ht="12.0" customHeight="1">
      <c r="B892" s="260"/>
    </row>
    <row r="893" ht="12.0" customHeight="1">
      <c r="B893" s="260"/>
    </row>
    <row r="894" ht="12.0" customHeight="1">
      <c r="B894" s="260"/>
    </row>
    <row r="895" ht="12.0" customHeight="1">
      <c r="B895" s="260"/>
    </row>
    <row r="896" ht="12.0" customHeight="1">
      <c r="B896" s="260"/>
    </row>
    <row r="897" ht="12.0" customHeight="1">
      <c r="B897" s="260"/>
    </row>
    <row r="898" ht="12.0" customHeight="1">
      <c r="B898" s="260"/>
    </row>
    <row r="899" ht="12.0" customHeight="1">
      <c r="B899" s="260"/>
    </row>
    <row r="900" ht="12.0" customHeight="1">
      <c r="B900" s="260"/>
    </row>
    <row r="901" ht="12.0" customHeight="1">
      <c r="B901" s="260"/>
    </row>
    <row r="902" ht="12.0" customHeight="1">
      <c r="B902" s="260"/>
    </row>
    <row r="903" ht="12.0" customHeight="1">
      <c r="B903" s="260"/>
    </row>
    <row r="904" ht="12.0" customHeight="1">
      <c r="B904" s="260"/>
    </row>
    <row r="905" ht="12.0" customHeight="1">
      <c r="B905" s="260"/>
    </row>
    <row r="906" ht="12.0" customHeight="1">
      <c r="B906" s="260"/>
    </row>
    <row r="907" ht="12.0" customHeight="1">
      <c r="B907" s="260"/>
    </row>
    <row r="908" ht="12.0" customHeight="1">
      <c r="B908" s="260"/>
    </row>
    <row r="909" ht="12.0" customHeight="1">
      <c r="B909" s="260"/>
    </row>
    <row r="910" ht="12.0" customHeight="1">
      <c r="B910" s="260"/>
    </row>
    <row r="911" ht="12.0" customHeight="1">
      <c r="B911" s="260"/>
    </row>
    <row r="912" ht="12.0" customHeight="1">
      <c r="B912" s="260"/>
    </row>
    <row r="913" ht="12.0" customHeight="1">
      <c r="B913" s="260"/>
    </row>
    <row r="914" ht="12.0" customHeight="1">
      <c r="B914" s="260"/>
    </row>
    <row r="915" ht="12.0" customHeight="1">
      <c r="B915" s="260"/>
    </row>
    <row r="916" ht="12.0" customHeight="1">
      <c r="B916" s="260"/>
    </row>
    <row r="917" ht="12.0" customHeight="1">
      <c r="B917" s="260"/>
    </row>
    <row r="918" ht="12.0" customHeight="1">
      <c r="B918" s="260"/>
    </row>
    <row r="919" ht="12.0" customHeight="1">
      <c r="B919" s="260"/>
    </row>
    <row r="920" ht="12.0" customHeight="1">
      <c r="B920" s="260"/>
    </row>
    <row r="921" ht="12.0" customHeight="1">
      <c r="B921" s="260"/>
    </row>
    <row r="922" ht="12.0" customHeight="1">
      <c r="B922" s="260"/>
    </row>
    <row r="923" ht="12.0" customHeight="1">
      <c r="B923" s="260"/>
    </row>
    <row r="924" ht="12.0" customHeight="1">
      <c r="B924" s="260"/>
    </row>
    <row r="925" ht="12.0" customHeight="1">
      <c r="B925" s="260"/>
    </row>
    <row r="926" ht="12.0" customHeight="1">
      <c r="B926" s="260"/>
    </row>
    <row r="927" ht="12.0" customHeight="1">
      <c r="B927" s="260"/>
    </row>
    <row r="928" ht="12.0" customHeight="1">
      <c r="B928" s="260"/>
    </row>
    <row r="929" ht="12.0" customHeight="1">
      <c r="B929" s="260"/>
    </row>
    <row r="930" ht="12.0" customHeight="1">
      <c r="B930" s="260"/>
    </row>
    <row r="931" ht="12.0" customHeight="1">
      <c r="B931" s="260"/>
    </row>
    <row r="932" ht="12.0" customHeight="1">
      <c r="B932" s="260"/>
    </row>
    <row r="933" ht="12.0" customHeight="1">
      <c r="B933" s="260"/>
    </row>
    <row r="934" ht="12.0" customHeight="1">
      <c r="B934" s="260"/>
    </row>
    <row r="935" ht="12.0" customHeight="1">
      <c r="B935" s="260"/>
    </row>
    <row r="936" ht="12.0" customHeight="1">
      <c r="B936" s="260"/>
    </row>
    <row r="937" ht="12.0" customHeight="1">
      <c r="B937" s="260"/>
    </row>
    <row r="938" ht="12.0" customHeight="1">
      <c r="B938" s="260"/>
    </row>
    <row r="939" ht="12.0" customHeight="1">
      <c r="B939" s="260"/>
    </row>
    <row r="940" ht="12.0" customHeight="1">
      <c r="B940" s="260"/>
    </row>
    <row r="941" ht="12.0" customHeight="1">
      <c r="B941" s="260"/>
    </row>
    <row r="942" ht="12.0" customHeight="1">
      <c r="B942" s="260"/>
    </row>
    <row r="943" ht="12.0" customHeight="1">
      <c r="B943" s="260"/>
    </row>
    <row r="944" ht="12.0" customHeight="1">
      <c r="B944" s="260"/>
    </row>
    <row r="945" ht="12.0" customHeight="1">
      <c r="B945" s="260"/>
    </row>
    <row r="946" ht="12.0" customHeight="1">
      <c r="B946" s="260"/>
    </row>
    <row r="947" ht="12.0" customHeight="1">
      <c r="B947" s="260"/>
    </row>
    <row r="948" ht="12.0" customHeight="1">
      <c r="B948" s="260"/>
    </row>
    <row r="949" ht="12.0" customHeight="1">
      <c r="B949" s="260"/>
    </row>
    <row r="950" ht="12.0" customHeight="1">
      <c r="B950" s="260"/>
    </row>
    <row r="951" ht="12.0" customHeight="1">
      <c r="B951" s="260"/>
    </row>
    <row r="952" ht="12.0" customHeight="1">
      <c r="B952" s="260"/>
    </row>
    <row r="953" ht="12.0" customHeight="1">
      <c r="B953" s="260"/>
    </row>
    <row r="954" ht="12.0" customHeight="1">
      <c r="B954" s="260"/>
    </row>
    <row r="955" ht="12.0" customHeight="1">
      <c r="B955" s="260"/>
    </row>
    <row r="956" ht="12.0" customHeight="1">
      <c r="B956" s="260"/>
    </row>
    <row r="957" ht="12.0" customHeight="1">
      <c r="B957" s="260"/>
    </row>
    <row r="958" ht="12.0" customHeight="1">
      <c r="B958" s="260"/>
    </row>
    <row r="959" ht="12.0" customHeight="1">
      <c r="B959" s="260"/>
    </row>
    <row r="960" ht="12.0" customHeight="1">
      <c r="B960" s="260"/>
    </row>
    <row r="961" ht="12.0" customHeight="1">
      <c r="B961" s="260"/>
    </row>
    <row r="962" ht="12.0" customHeight="1">
      <c r="B962" s="260"/>
    </row>
    <row r="963" ht="12.0" customHeight="1">
      <c r="B963" s="260"/>
    </row>
    <row r="964" ht="12.0" customHeight="1">
      <c r="B964" s="260"/>
    </row>
    <row r="965" ht="12.0" customHeight="1">
      <c r="B965" s="260"/>
    </row>
    <row r="966" ht="12.0" customHeight="1">
      <c r="B966" s="260"/>
    </row>
    <row r="967" ht="12.0" customHeight="1">
      <c r="B967" s="260"/>
    </row>
    <row r="968" ht="12.0" customHeight="1">
      <c r="B968" s="260"/>
    </row>
    <row r="969" ht="12.0" customHeight="1">
      <c r="B969" s="260"/>
    </row>
    <row r="970" ht="12.0" customHeight="1">
      <c r="B970" s="260"/>
    </row>
    <row r="971" ht="12.0" customHeight="1">
      <c r="B971" s="260"/>
    </row>
    <row r="972" ht="12.0" customHeight="1">
      <c r="B972" s="260"/>
    </row>
    <row r="973" ht="12.0" customHeight="1">
      <c r="B973" s="260"/>
    </row>
    <row r="974" ht="12.0" customHeight="1">
      <c r="B974" s="260"/>
    </row>
    <row r="975" ht="12.0" customHeight="1">
      <c r="B975" s="260"/>
    </row>
    <row r="976" ht="12.0" customHeight="1">
      <c r="B976" s="260"/>
    </row>
    <row r="977" ht="12.0" customHeight="1">
      <c r="B977" s="260"/>
    </row>
    <row r="978" ht="12.0" customHeight="1">
      <c r="B978" s="260"/>
    </row>
    <row r="979" ht="12.0" customHeight="1">
      <c r="B979" s="260"/>
    </row>
    <row r="980" ht="12.0" customHeight="1">
      <c r="B980" s="260"/>
    </row>
    <row r="981" ht="12.0" customHeight="1">
      <c r="B981" s="260"/>
    </row>
    <row r="982" ht="12.0" customHeight="1">
      <c r="B982" s="260"/>
    </row>
    <row r="983" ht="12.0" customHeight="1">
      <c r="B983" s="260"/>
    </row>
    <row r="984" ht="12.0" customHeight="1">
      <c r="B984" s="260"/>
    </row>
    <row r="985" ht="12.0" customHeight="1">
      <c r="B985" s="260"/>
    </row>
    <row r="986" ht="12.0" customHeight="1">
      <c r="B986" s="260"/>
    </row>
    <row r="987" ht="12.0" customHeight="1">
      <c r="B987" s="260"/>
    </row>
    <row r="988" ht="12.0" customHeight="1">
      <c r="B988" s="260"/>
    </row>
    <row r="989" ht="12.0" customHeight="1">
      <c r="B989" s="260"/>
    </row>
    <row r="990" ht="12.0" customHeight="1">
      <c r="B990" s="260"/>
    </row>
    <row r="991" ht="12.0" customHeight="1">
      <c r="B991" s="260"/>
    </row>
    <row r="992" ht="12.0" customHeight="1">
      <c r="B992" s="260"/>
    </row>
    <row r="993" ht="12.0" customHeight="1">
      <c r="B993" s="260"/>
    </row>
    <row r="994" ht="12.0" customHeight="1">
      <c r="B994" s="260"/>
    </row>
    <row r="995" ht="12.0" customHeight="1">
      <c r="B995" s="260"/>
    </row>
    <row r="996" ht="12.0" customHeight="1">
      <c r="B996" s="260"/>
    </row>
    <row r="997" ht="12.0" customHeight="1">
      <c r="B997" s="260"/>
    </row>
    <row r="998" ht="12.0" customHeight="1">
      <c r="B998" s="260"/>
    </row>
    <row r="999" ht="12.0" customHeight="1">
      <c r="B999" s="260"/>
    </row>
    <row r="1000" ht="12.0" customHeight="1">
      <c r="B1000" s="260"/>
    </row>
    <row r="1001" ht="12.0" customHeight="1">
      <c r="B1001" s="260"/>
    </row>
  </sheetData>
  <mergeCells count="27">
    <mergeCell ref="F27:G27"/>
    <mergeCell ref="F28:G28"/>
    <mergeCell ref="F29:G29"/>
    <mergeCell ref="F30:G30"/>
    <mergeCell ref="F31:G31"/>
    <mergeCell ref="F32:G32"/>
    <mergeCell ref="F33:G33"/>
    <mergeCell ref="F55:H55"/>
    <mergeCell ref="G56:H56"/>
    <mergeCell ref="G57:H57"/>
    <mergeCell ref="G58:H58"/>
    <mergeCell ref="G59:H59"/>
    <mergeCell ref="G60:H60"/>
    <mergeCell ref="G61:H61"/>
    <mergeCell ref="B68:D70"/>
    <mergeCell ref="E68:F70"/>
    <mergeCell ref="G68:H70"/>
    <mergeCell ref="B71:D71"/>
    <mergeCell ref="E71:F71"/>
    <mergeCell ref="G71:H71"/>
    <mergeCell ref="F34:G34"/>
    <mergeCell ref="F35:G35"/>
    <mergeCell ref="B38:C38"/>
    <mergeCell ref="F38:G38"/>
    <mergeCell ref="B47:C47"/>
    <mergeCell ref="B49:G53"/>
    <mergeCell ref="B55:D55"/>
  </mergeCells>
  <dataValidations>
    <dataValidation type="list" allowBlank="1" showErrorMessage="1" sqref="C22">
      <formula1>'A LEVEL'!$A$2:$A$10</formula1>
    </dataValidation>
  </dataValidations>
  <printOptions/>
  <pageMargins bottom="0.75" footer="0.0" header="0.0" left="0.7" right="0.7" top="0.75"/>
  <pageSetup paperSize="8"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23" t="s">
        <v>22</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COUNTIF(LS1A!F5:F28,"U")</f>
        <v>0</v>
      </c>
      <c r="D4" s="209" t="str">
        <f>IFERROR(__xludf.DUMMYFUNCTION("TRANSPOSE(FILTER(LS1A!B:B, LS1A!F:F=""U""))"),"#N/A")</f>
        <v>#N/A</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COUNTIF(LS1A!F5:F28,"G")</f>
        <v>0</v>
      </c>
      <c r="D5" s="209" t="str">
        <f>IFERROR(__xludf.DUMMYFUNCTION("TRANSPOSE(FILTER(LS1A!B:B, LS1A!F:F=""G""))"),"#N/A")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COUNTIF(LS1A!F5:F28,"F")</f>
        <v>2</v>
      </c>
      <c r="D6" s="209" t="str">
        <f>IFERROR(__xludf.DUMMYFUNCTION("TRANSPOSE(FILTER(LS1A!B:B, LS1A!F:F=""F""))"),"Chokr Mohammad")</f>
        <v>Chokr Mohammad</v>
      </c>
      <c r="E6" s="209" t="str">
        <f>IFERROR(__xludf.DUMMYFUNCTION("""COMPUTED_VALUE"""),"Mohamed Moaz")</f>
        <v>Mohamed Moaz</v>
      </c>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COUNTIF(LS1A!F5:F28,"E")</f>
        <v>1</v>
      </c>
      <c r="D7" s="209" t="str">
        <f>IFERROR(__xludf.DUMMYFUNCTION("TRANSPOSE(FILTER(LS1A!B:B, LS1A!F:F=""E""))"),"Mwewa Likezo")</f>
        <v>Mwewa Likezo</v>
      </c>
      <c r="E7" s="209"/>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COUNTIF(LS1A!F5:F28,"D")</f>
        <v>6</v>
      </c>
      <c r="D8" s="209" t="str">
        <f>IFERROR(__xludf.DUMMYFUNCTION("TRANSPOSE(FILTER(LS1A!B:B, LS1A!F:F=""D""))"),"AIsha ")</f>
        <v>AIsha </v>
      </c>
      <c r="E8" s="209" t="str">
        <f>IFERROR(__xludf.DUMMYFUNCTION("""COMPUTED_VALUE"""),"Patel Maahir")</f>
        <v>Patel Maahir</v>
      </c>
      <c r="F8" s="209" t="str">
        <f>IFERROR(__xludf.DUMMYFUNCTION("""COMPUTED_VALUE"""),"Aloyo Viola")</f>
        <v>Aloyo Viola</v>
      </c>
      <c r="G8" s="209" t="str">
        <f>IFERROR(__xludf.DUMMYFUNCTION("""COMPUTED_VALUE"""),"Mutonga Israel")</f>
        <v>Mutonga Israel</v>
      </c>
      <c r="H8" s="209" t="str">
        <f>IFERROR(__xludf.DUMMYFUNCTION("""COMPUTED_VALUE"""),"Abdulle Abdullahi")</f>
        <v>Abdulle Abdullahi</v>
      </c>
      <c r="I8" s="209" t="str">
        <f>IFERROR(__xludf.DUMMYFUNCTION("""COMPUTED_VALUE"""),"Nyirenda Lauzi")</f>
        <v>Nyirenda Lauzi</v>
      </c>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COUNTIF(LS1A!F5:F28,"C")</f>
        <v>5</v>
      </c>
      <c r="D9" s="209" t="str">
        <f>IFERROR(__xludf.DUMMYFUNCTION("TRANSPOSE(FILTER(LS1A!B:B, LS1A!F:F=""C""))"),"Shamiso")</f>
        <v>Shamiso</v>
      </c>
      <c r="E9" s="209" t="str">
        <f>IFERROR(__xludf.DUMMYFUNCTION("""COMPUTED_VALUE"""),"Ntinda Joy")</f>
        <v>Ntinda Joy</v>
      </c>
      <c r="F9" s="209" t="str">
        <f>IFERROR(__xludf.DUMMYFUNCTION("""COMPUTED_VALUE"""),"Nalishuwa Zeruiah")</f>
        <v>Nalishuwa Zeruiah</v>
      </c>
      <c r="G9" s="209" t="str">
        <f>IFERROR(__xludf.DUMMYFUNCTION("""COMPUTED_VALUE"""),"Shalak Jad")</f>
        <v>Shalak Jad</v>
      </c>
      <c r="H9" s="209" t="str">
        <f>IFERROR(__xludf.DUMMYFUNCTION("""COMPUTED_VALUE"""),"Hasan Aaban")</f>
        <v>Hasan Aaban</v>
      </c>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COUNTIF(LS1A!F5:F28,"B")</f>
        <v>8</v>
      </c>
      <c r="D10" s="209" t="str">
        <f>IFERROR(__xludf.DUMMYFUNCTION("TRANSPOSE(FILTER(LS1A!B:B, LS1A!F:F=""B""))"),"Maine Ralesite")</f>
        <v>Maine Ralesite</v>
      </c>
      <c r="E10" s="209" t="str">
        <f>IFERROR(__xludf.DUMMYFUNCTION("""COMPUTED_VALUE"""),"Blount Jaxen")</f>
        <v>Blount Jaxen</v>
      </c>
      <c r="F10" s="209" t="str">
        <f>IFERROR(__xludf.DUMMYFUNCTION("""COMPUTED_VALUE"""),"Mwansa Louise Elizabeth")</f>
        <v>Mwansa Louise Elizabeth</v>
      </c>
      <c r="G10" s="209" t="str">
        <f>IFERROR(__xludf.DUMMYFUNCTION("""COMPUTED_VALUE"""),"Sillitoe Alan")</f>
        <v>Sillitoe Alan</v>
      </c>
      <c r="H10" s="209" t="str">
        <f>IFERROR(__xludf.DUMMYFUNCTION("""COMPUTED_VALUE"""),"Chauhan Humera")</f>
        <v>Chauhan Humera</v>
      </c>
      <c r="I10" s="209" t="str">
        <f>IFERROR(__xludf.DUMMYFUNCTION("""COMPUTED_VALUE"""),"Msoni Zhange")</f>
        <v>Msoni Zhange</v>
      </c>
      <c r="J10" s="209" t="str">
        <f>IFERROR(__xludf.DUMMYFUNCTION("""COMPUTED_VALUE"""),"Malijani Kasonde")</f>
        <v>Malijani Kasonde</v>
      </c>
      <c r="K10" s="209" t="str">
        <f>IFERROR(__xludf.DUMMYFUNCTION("""COMPUTED_VALUE"""),"Mwiimbwa Chileleko")</f>
        <v>Mwiimbwa Chileleko</v>
      </c>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COUNTIF(LS1A!F5:F28,"A")</f>
        <v>2</v>
      </c>
      <c r="D11" s="209" t="str">
        <f>IFERROR(__xludf.DUMMYFUNCTION("TRANSPOSE(FILTER(LS1A!B:B, LS1A!F:F=""A""))"),"Munshi Khadijah")</f>
        <v>Munshi Khadijah</v>
      </c>
      <c r="E11" s="209" t="str">
        <f>IFERROR(__xludf.DUMMYFUNCTION("""COMPUTED_VALUE"""),"Kaoma Natasha")</f>
        <v>Kaoma Natasha</v>
      </c>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COUNTIF(LS1A!F5:F28,"A~*")</f>
        <v>0</v>
      </c>
      <c r="D12" s="209" t="str">
        <f>IFERROR(__xludf.DUMMYFUNCTION("TRANSPOSE(FILTER(LS1A!B:B, LS1A!F:F=""A*""))"),"#N/A")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COUNTIF(LS1A!J5:J28,"U")</f>
        <v>2</v>
      </c>
      <c r="D15" s="209" t="str">
        <f>IFERROR(__xludf.DUMMYFUNCTION("TRANSPOSE(FILTER(LS1A!B:B, LS1A!J:J=""U""))"),"Munshi Khadijah")</f>
        <v>Munshi Khadijah</v>
      </c>
      <c r="E15" s="209" t="str">
        <f>IFERROR(__xludf.DUMMYFUNCTION("""COMPUTED_VALUE"""),"Mwewa Likezo")</f>
        <v>Mwewa Likezo</v>
      </c>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COUNTIF(LS1A!J5:J28,"G")</f>
        <v>5</v>
      </c>
      <c r="D16" s="209" t="str">
        <f>IFERROR(__xludf.DUMMYFUNCTION("TRANSPOSE(FILTER(LS1A!B:B, LS1A!J:J=""G""))"),"AIsha ")</f>
        <v>AIsha </v>
      </c>
      <c r="E16" s="209" t="str">
        <f>IFERROR(__xludf.DUMMYFUNCTION("""COMPUTED_VALUE"""),"Chokr Mohammad")</f>
        <v>Chokr Mohammad</v>
      </c>
      <c r="F16" s="209" t="str">
        <f>IFERROR(__xludf.DUMMYFUNCTION("""COMPUTED_VALUE"""),"Aloyo Viola")</f>
        <v>Aloyo Viola</v>
      </c>
      <c r="G16" s="209" t="str">
        <f>IFERROR(__xludf.DUMMYFUNCTION("""COMPUTED_VALUE"""),"Mutonga Israel")</f>
        <v>Mutonga Israel</v>
      </c>
      <c r="H16" s="209" t="str">
        <f>IFERROR(__xludf.DUMMYFUNCTION("""COMPUTED_VALUE"""),"Msoni Zhange")</f>
        <v>Msoni Zhange</v>
      </c>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COUNTIF(LS1A!J5:J28,"F")</f>
        <v>4</v>
      </c>
      <c r="D17" s="209" t="str">
        <f>IFERROR(__xludf.DUMMYFUNCTION("TRANSPOSE(FILTER(LS1A!B:B, LS1A!J:J=""F""))"),"Blount Jaxen")</f>
        <v>Blount Jaxen</v>
      </c>
      <c r="E17" s="209" t="str">
        <f>IFERROR(__xludf.DUMMYFUNCTION("""COMPUTED_VALUE"""),"Mwansa Louise Elizabeth")</f>
        <v>Mwansa Louise Elizabeth</v>
      </c>
      <c r="F17" s="209" t="str">
        <f>IFERROR(__xludf.DUMMYFUNCTION("""COMPUTED_VALUE"""),"Mohamed Moaz")</f>
        <v>Mohamed Moaz</v>
      </c>
      <c r="G17" s="209" t="str">
        <f>IFERROR(__xludf.DUMMYFUNCTION("""COMPUTED_VALUE"""),"Nyirenda Lauzi")</f>
        <v>Nyirenda Lauzi</v>
      </c>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COUNTIF(LS1A!J5:J28,"E")</f>
        <v>1</v>
      </c>
      <c r="D18" s="209" t="str">
        <f>IFERROR(__xludf.DUMMYFUNCTION("TRANSPOSE(FILTER(LS1A!B:B, LS1A!J:J=""E""))"),"Sillitoe Alan")</f>
        <v>Sillitoe Alan</v>
      </c>
      <c r="E18" s="209"/>
      <c r="F18" s="209"/>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COUNTIF(LS1A!J5:J28,"D")</f>
        <v>4</v>
      </c>
      <c r="D19" s="209" t="str">
        <f>IFERROR(__xludf.DUMMYFUNCTION("TRANSPOSE(FILTER(LS1A!B:B, LS1A!J:J=""D""))"),"Shamiso")</f>
        <v>Shamiso</v>
      </c>
      <c r="E19" s="209" t="str">
        <f>IFERROR(__xludf.DUMMYFUNCTION("""COMPUTED_VALUE"""),"Abdulle Abdullahi")</f>
        <v>Abdulle Abdullahi</v>
      </c>
      <c r="F19" s="209" t="str">
        <f>IFERROR(__xludf.DUMMYFUNCTION("""COMPUTED_VALUE"""),"Chauhan Humera")</f>
        <v>Chauhan Humera</v>
      </c>
      <c r="G19" s="209" t="str">
        <f>IFERROR(__xludf.DUMMYFUNCTION("""COMPUTED_VALUE"""),"Ntinda Joy")</f>
        <v>Ntinda Joy</v>
      </c>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COUNTIF(LS1A!J5:J28,"C")</f>
        <v>6</v>
      </c>
      <c r="D20" s="209" t="str">
        <f>IFERROR(__xludf.DUMMYFUNCTION("TRANSPOSE(FILTER(LS1A!B:B, LS1A!J:J=""C""))"),"Patel Maahir")</f>
        <v>Patel Maahir</v>
      </c>
      <c r="E20" s="209" t="str">
        <f>IFERROR(__xludf.DUMMYFUNCTION("""COMPUTED_VALUE"""),"Kaoma Natasha")</f>
        <v>Kaoma Natasha</v>
      </c>
      <c r="F20" s="209" t="str">
        <f>IFERROR(__xludf.DUMMYFUNCTION("""COMPUTED_VALUE"""),"Nalishuwa Zeruiah")</f>
        <v>Nalishuwa Zeruiah</v>
      </c>
      <c r="G20" s="209" t="str">
        <f>IFERROR(__xludf.DUMMYFUNCTION("""COMPUTED_VALUE"""),"Hasan Aaban")</f>
        <v>Hasan Aaban</v>
      </c>
      <c r="H20" s="209" t="str">
        <f>IFERROR(__xludf.DUMMYFUNCTION("""COMPUTED_VALUE"""),"Malijani Kasonde")</f>
        <v>Malijani Kasonde</v>
      </c>
      <c r="I20" s="209" t="str">
        <f>IFERROR(__xludf.DUMMYFUNCTION("""COMPUTED_VALUE"""),"Mwiimbwa Chileleko")</f>
        <v>Mwiimbwa Chileleko</v>
      </c>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COUNTIF(LS1A!J5:J28,"B")</f>
        <v>1</v>
      </c>
      <c r="D21" s="209" t="str">
        <f>IFERROR(__xludf.DUMMYFUNCTION("TRANSPOSE(FILTER(LS1A!B:B, LS1A!J:J=""B""))"),"Maine Ralesite")</f>
        <v>Maine Ralesite</v>
      </c>
      <c r="E21" s="209"/>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COUNTIF(LS1A!J5:J28,"A")</f>
        <v>1</v>
      </c>
      <c r="D22" s="209" t="str">
        <f>IFERROR(__xludf.DUMMYFUNCTION("TRANSPOSE(FILTER(LS1A!B:B, LS1A!J:J=""A""))"),"Shalak Jad")</f>
        <v>Shalak Jad</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COUNTIF(LS1A!J5:J28,"A~*")</f>
        <v>0</v>
      </c>
      <c r="D23" s="209" t="str">
        <f>IFERROR(__xludf.DUMMYFUNCTION("TRANSPOSE(FILTER(LS1A!B:B, LS1A!J:J=""A*""))"),"#N/A")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140</v>
      </c>
      <c r="C25" s="440">
        <f>COUNTIF(LS1A!N5:N28,"U")</f>
        <v>0</v>
      </c>
      <c r="D25" s="209" t="str">
        <f>IFERROR(__xludf.DUMMYFUNCTION("TRANSPOSE(FILTER(LS1A!B:B, LS1A!N:N=""U""))"),"#N/A")</f>
        <v>#N/A</v>
      </c>
      <c r="E25" s="209"/>
      <c r="F25" s="209"/>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COUNTIF(LS1A!N5:N28,"G")</f>
        <v>1</v>
      </c>
      <c r="D26" s="209" t="str">
        <f>IFERROR(__xludf.DUMMYFUNCTION("TRANSPOSE(FILTER(LS1A!B:B, LS1A!N:N=""G""))"),"Mwewa Likezo")</f>
        <v>Mwewa Likezo</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COUNTIF(LS1A!N5:N28,"F")</f>
        <v>4</v>
      </c>
      <c r="D27" s="209" t="str">
        <f>IFERROR(__xludf.DUMMYFUNCTION("TRANSPOSE(FILTER(LS1A!B:B, LS1A!N:N=""F""))"),"Chokr Mohammad")</f>
        <v>Chokr Mohammad</v>
      </c>
      <c r="E27" s="209" t="str">
        <f>IFERROR(__xludf.DUMMYFUNCTION("""COMPUTED_VALUE"""),"Mutonga Israel")</f>
        <v>Mutonga Israel</v>
      </c>
      <c r="F27" s="209" t="str">
        <f>IFERROR(__xludf.DUMMYFUNCTION("""COMPUTED_VALUE"""),"Ntinda Joy")</f>
        <v>Ntinda Joy</v>
      </c>
      <c r="G27" s="209" t="str">
        <f>IFERROR(__xludf.DUMMYFUNCTION("""COMPUTED_VALUE"""),"Msoni Zhange")</f>
        <v>Msoni Zhange</v>
      </c>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COUNTIF(LS1A!N5:N28,"E")</f>
        <v>8</v>
      </c>
      <c r="D28" s="209" t="str">
        <f>IFERROR(__xludf.DUMMYFUNCTION("TRANSPOSE(FILTER(LS1A!B:B, LS1A!N:N=""E""))"),"AIsha ")</f>
        <v>AIsha </v>
      </c>
      <c r="E28" s="209" t="str">
        <f>IFERROR(__xludf.DUMMYFUNCTION("""COMPUTED_VALUE"""),"Munshi Khadijah")</f>
        <v>Munshi Khadijah</v>
      </c>
      <c r="F28" s="209" t="str">
        <f>IFERROR(__xludf.DUMMYFUNCTION("""COMPUTED_VALUE"""),"Blount Jaxen")</f>
        <v>Blount Jaxen</v>
      </c>
      <c r="G28" s="209" t="str">
        <f>IFERROR(__xludf.DUMMYFUNCTION("""COMPUTED_VALUE"""),"Shamiso")</f>
        <v>Shamiso</v>
      </c>
      <c r="H28" s="209" t="str">
        <f>IFERROR(__xludf.DUMMYFUNCTION("""COMPUTED_VALUE"""),"Aloyo Viola")</f>
        <v>Aloyo Viola</v>
      </c>
      <c r="I28" s="209" t="str">
        <f>IFERROR(__xludf.DUMMYFUNCTION("""COMPUTED_VALUE"""),"Mohamed Moaz")</f>
        <v>Mohamed Moaz</v>
      </c>
      <c r="J28" s="209" t="str">
        <f>IFERROR(__xludf.DUMMYFUNCTION("""COMPUTED_VALUE"""),"Nyirenda Lauzi")</f>
        <v>Nyirenda Lauzi</v>
      </c>
      <c r="K28" s="209" t="str">
        <f>IFERROR(__xludf.DUMMYFUNCTION("""COMPUTED_VALUE"""),"Mwiimbwa Chileleko")</f>
        <v>Mwiimbwa Chileleko</v>
      </c>
      <c r="L28" s="209"/>
      <c r="M28" s="209"/>
      <c r="N28" s="209"/>
      <c r="O28" s="209"/>
      <c r="P28" s="209"/>
      <c r="Q28" s="209"/>
      <c r="R28" s="209"/>
      <c r="S28" s="209"/>
      <c r="T28" s="209"/>
      <c r="U28" s="209"/>
      <c r="V28" s="209"/>
      <c r="W28" s="209"/>
      <c r="X28" s="209"/>
      <c r="Y28" s="209"/>
      <c r="Z28" s="209"/>
      <c r="AA28" s="209"/>
    </row>
    <row r="29">
      <c r="A29" s="441"/>
      <c r="B29" s="440" t="s">
        <v>93</v>
      </c>
      <c r="C29" s="440">
        <f>COUNTIF(LS1A!N5:N28,"D")</f>
        <v>3</v>
      </c>
      <c r="D29" s="209" t="str">
        <f>IFERROR(__xludf.DUMMYFUNCTION("TRANSPOSE(FILTER(LS1A!B:B, LS1A!N:N=""D""))"),"Mwansa Louise Elizabeth")</f>
        <v>Mwansa Louise Elizabeth</v>
      </c>
      <c r="E29" s="209" t="str">
        <f>IFERROR(__xludf.DUMMYFUNCTION("""COMPUTED_VALUE"""),"Sillitoe Alan")</f>
        <v>Sillitoe Alan</v>
      </c>
      <c r="F29" s="209" t="str">
        <f>IFERROR(__xludf.DUMMYFUNCTION("""COMPUTED_VALUE"""),"Nalishuwa Zeruiah")</f>
        <v>Nalishuwa Zeruiah</v>
      </c>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COUNTIF(LS1A!N5:N28,"C")</f>
        <v>4</v>
      </c>
      <c r="D30" s="209" t="str">
        <f>IFERROR(__xludf.DUMMYFUNCTION("TRANSPOSE(FILTER(LS1A!B:B, LS1A!N:N=""C""))"),"Abdulle Abdullahi")</f>
        <v>Abdulle Abdullahi</v>
      </c>
      <c r="E30" s="209" t="str">
        <f>IFERROR(__xludf.DUMMYFUNCTION("""COMPUTED_VALUE"""),"Chauhan Humera")</f>
        <v>Chauhan Humera</v>
      </c>
      <c r="F30" s="209" t="str">
        <f>IFERROR(__xludf.DUMMYFUNCTION("""COMPUTED_VALUE"""),"Shalak Jad")</f>
        <v>Shalak Jad</v>
      </c>
      <c r="G30" s="209" t="str">
        <f>IFERROR(__xludf.DUMMYFUNCTION("""COMPUTED_VALUE"""),"Hasan Aaban")</f>
        <v>Hasan Aaban</v>
      </c>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COUNTIF(LS1A!N5:N28,"B")</f>
        <v>3</v>
      </c>
      <c r="D31" s="209" t="str">
        <f>IFERROR(__xludf.DUMMYFUNCTION("TRANSPOSE(FILTER(LS1A!B:B, LS1A!N:N=""B""))"),"Maine Ralesite")</f>
        <v>Maine Ralesite</v>
      </c>
      <c r="E31" s="209" t="str">
        <f>IFERROR(__xludf.DUMMYFUNCTION("""COMPUTED_VALUE"""),"Patel Maahir")</f>
        <v>Patel Maahir</v>
      </c>
      <c r="F31" s="209" t="str">
        <f>IFERROR(__xludf.DUMMYFUNCTION("""COMPUTED_VALUE"""),"Malijani Kasonde")</f>
        <v>Malijani Kasonde</v>
      </c>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COUNTIF(LS1A!N5:N28,"A")</f>
        <v>1</v>
      </c>
      <c r="D32" s="209" t="str">
        <f>IFERROR(__xludf.DUMMYFUNCTION("TRANSPOSE(FILTER(LS1A!B:B, LS1A!N:N=""A""))"),"Kaoma Natasha")</f>
        <v>Kaoma Natasha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COUNTIF(LS1A!N5:N28,"A~*")</f>
        <v>0</v>
      </c>
      <c r="D33" s="209" t="str">
        <f>IFERROR(__xludf.DUMMYFUNCTION("TRANSPOSE(FILTER(LS1A!B:B, LS1A!N:N=""A*""))"),"#N/A")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COUNTIF(LS1A!R5:R28,"U")</f>
        <v>0</v>
      </c>
      <c r="D35" s="209" t="str">
        <f>IFERROR(__xludf.DUMMYFUNCTION("TRANSPOSE(FILTER(LS1A!B:B, LS1A!R:R=""U""))"),"#N/A")</f>
        <v>#N/A</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COUNTIF(LS1A!R5:R28,"G")</f>
        <v>0</v>
      </c>
      <c r="D36" s="209" t="str">
        <f>IFERROR(__xludf.DUMMYFUNCTION("TRANSPOSE(FILTER(LS1A!B:B, LS1A!R:R=""G""))"),"#N/A")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COUNTIF(LS1A!R5:R28,"F")</f>
        <v>1</v>
      </c>
      <c r="D37" s="209" t="str">
        <f>IFERROR(__xludf.DUMMYFUNCTION("TRANSPOSE(FILTER(LS1A!B:B, LS1A!R:R=""F""))"),"Mohamed Moaz")</f>
        <v>Mohamed Moaz</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COUNTIF(LS1A!R5:R28,"E")</f>
        <v>2</v>
      </c>
      <c r="D38" s="209" t="str">
        <f>IFERROR(__xludf.DUMMYFUNCTION("TRANSPOSE(FILTER(LS1A!B:B, LS1A!R:R=""E""))"),"AIsha ")</f>
        <v>AIsha </v>
      </c>
      <c r="E38" s="209" t="str">
        <f>IFERROR(__xludf.DUMMYFUNCTION("""COMPUTED_VALUE"""),"Chokr Mohammad")</f>
        <v>Chokr Mohammad</v>
      </c>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COUNTIF(LS1A!R5:R28,"D")</f>
        <v>4</v>
      </c>
      <c r="D39" s="209" t="str">
        <f>IFERROR(__xludf.DUMMYFUNCTION("TRANSPOSE(FILTER(LS1A!B:B, LS1A!R:R=""D""))"),"Munshi Khadijah")</f>
        <v>Munshi Khadijah</v>
      </c>
      <c r="E39" s="209" t="str">
        <f>IFERROR(__xludf.DUMMYFUNCTION("""COMPUTED_VALUE"""),"Mwewa Likezo")</f>
        <v>Mwewa Likezo</v>
      </c>
      <c r="F39" s="209" t="str">
        <f>IFERROR(__xludf.DUMMYFUNCTION("""COMPUTED_VALUE"""),"Aloyo Viola")</f>
        <v>Aloyo Viola</v>
      </c>
      <c r="G39" s="209" t="str">
        <f>IFERROR(__xludf.DUMMYFUNCTION("""COMPUTED_VALUE"""),"Abdulle Abdullahi")</f>
        <v>Abdulle Abdullahi</v>
      </c>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COUNTIF(LS1A!R5:R28,"C")</f>
        <v>4</v>
      </c>
      <c r="D40" s="209" t="str">
        <f>IFERROR(__xludf.DUMMYFUNCTION("TRANSPOSE(FILTER(LS1A!B:B, LS1A!R:R=""C""))"),"Mwansa Louise Elizabeth")</f>
        <v>Mwansa Louise Elizabeth</v>
      </c>
      <c r="E40" s="209" t="str">
        <f>IFERROR(__xludf.DUMMYFUNCTION("""COMPUTED_VALUE"""),"Patel Maahir")</f>
        <v>Patel Maahir</v>
      </c>
      <c r="F40" s="209" t="str">
        <f>IFERROR(__xludf.DUMMYFUNCTION("""COMPUTED_VALUE"""),"Ntinda Joy")</f>
        <v>Ntinda Joy</v>
      </c>
      <c r="G40" s="209" t="str">
        <f>IFERROR(__xludf.DUMMYFUNCTION("""COMPUTED_VALUE"""),"Hasan Aaban")</f>
        <v>Hasan Aaban</v>
      </c>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COUNTIF(LS1A!R5:R28,"B")</f>
        <v>7</v>
      </c>
      <c r="D41" s="209" t="str">
        <f>IFERROR(__xludf.DUMMYFUNCTION("TRANSPOSE(FILTER(LS1A!B:B, LS1A!R:R=""B""))"),"Blount Jaxen")</f>
        <v>Blount Jaxen</v>
      </c>
      <c r="E41" s="209" t="str">
        <f>IFERROR(__xludf.DUMMYFUNCTION("""COMPUTED_VALUE"""),"Shamiso")</f>
        <v>Shamiso</v>
      </c>
      <c r="F41" s="209" t="str">
        <f>IFERROR(__xludf.DUMMYFUNCTION("""COMPUTED_VALUE"""),"Mutonga Israel")</f>
        <v>Mutonga Israel</v>
      </c>
      <c r="G41" s="209" t="str">
        <f>IFERROR(__xludf.DUMMYFUNCTION("""COMPUTED_VALUE"""),"Msoni Zhange")</f>
        <v>Msoni Zhange</v>
      </c>
      <c r="H41" s="209" t="str">
        <f>IFERROR(__xludf.DUMMYFUNCTION("""COMPUTED_VALUE"""),"Shalak Jad")</f>
        <v>Shalak Jad</v>
      </c>
      <c r="I41" s="209" t="str">
        <f>IFERROR(__xludf.DUMMYFUNCTION("""COMPUTED_VALUE"""),"Malijani Kasonde")</f>
        <v>Malijani Kasonde</v>
      </c>
      <c r="J41" s="209" t="str">
        <f>IFERROR(__xludf.DUMMYFUNCTION("""COMPUTED_VALUE"""),"Mwiimbwa Chileleko")</f>
        <v>Mwiimbwa Chileleko</v>
      </c>
      <c r="K41" s="209"/>
      <c r="L41" s="209"/>
      <c r="M41" s="209"/>
      <c r="N41" s="209"/>
      <c r="O41" s="209"/>
      <c r="P41" s="209"/>
      <c r="Q41" s="209"/>
      <c r="R41" s="209"/>
      <c r="S41" s="209"/>
      <c r="T41" s="209"/>
      <c r="U41" s="209"/>
      <c r="V41" s="209"/>
      <c r="W41" s="209"/>
      <c r="X41" s="209"/>
      <c r="Y41" s="209"/>
      <c r="Z41" s="209"/>
      <c r="AA41" s="209"/>
    </row>
    <row r="42">
      <c r="A42" s="441"/>
      <c r="B42" s="440" t="s">
        <v>85</v>
      </c>
      <c r="C42" s="440">
        <f>COUNTIF(LS1A!R5:R28,"A")</f>
        <v>6</v>
      </c>
      <c r="D42" s="209" t="str">
        <f>IFERROR(__xludf.DUMMYFUNCTION("TRANSPOSE(FILTER(LS1A!B:B, LS1A!R:R=""A""))"),"Maine Ralesite")</f>
        <v>Maine Ralesite</v>
      </c>
      <c r="E42" s="209" t="str">
        <f>IFERROR(__xludf.DUMMYFUNCTION("""COMPUTED_VALUE"""),"Sillitoe Alan")</f>
        <v>Sillitoe Alan</v>
      </c>
      <c r="F42" s="209" t="str">
        <f>IFERROR(__xludf.DUMMYFUNCTION("""COMPUTED_VALUE"""),"Kaoma Natasha")</f>
        <v>Kaoma Natasha</v>
      </c>
      <c r="G42" s="209" t="str">
        <f>IFERROR(__xludf.DUMMYFUNCTION("""COMPUTED_VALUE"""),"Chauhan Humera")</f>
        <v>Chauhan Humera</v>
      </c>
      <c r="H42" s="209" t="str">
        <f>IFERROR(__xludf.DUMMYFUNCTION("""COMPUTED_VALUE"""),"Nalishuwa Zeruiah")</f>
        <v>Nalishuwa Zeruiah</v>
      </c>
      <c r="I42" s="209" t="str">
        <f>IFERROR(__xludf.DUMMYFUNCTION("""COMPUTED_VALUE"""),"Nyirenda Lauzi")</f>
        <v>Nyirenda Lauzi</v>
      </c>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COUNTIF(LS1A!R5:R28,"A~*")</f>
        <v>0</v>
      </c>
      <c r="D43" s="209" t="str">
        <f>IFERROR(__xludf.DUMMYFUNCTION("TRANSPOSE(FILTER(LS1A!B:B, LS1A!R:R=""A*""))"),"#N/A")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COUNTIF(LS1A!Z5:Z28,"U")</f>
        <v>1</v>
      </c>
      <c r="D45" s="209" t="str">
        <f>IFERROR(__xludf.DUMMYFUNCTION("TRANSPOSE(FILTER(LS1A!B:B, LS1A!Z:Z=""U""))"),"Chokr Mohammad")</f>
        <v>Chokr Mohammad</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COUNTIF(LS1A!Z5:Z28,"G")</f>
        <v>0</v>
      </c>
      <c r="D46" s="209" t="str">
        <f>IFERROR(__xludf.DUMMYFUNCTION("TRANSPOSE(FILTER(LS1A!B:B, LS1A!Z:Z=""G""))"),"#N/A")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COUNTIF(LS1A!Z5:Z28,"F")</f>
        <v>1</v>
      </c>
      <c r="D47" s="209" t="str">
        <f>IFERROR(__xludf.DUMMYFUNCTION("TRANSPOSE(FILTER(LS1A!B:B, LS1A!Z:Z=""F""))"),"Ntinda Joy")</f>
        <v>Ntinda Joy</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COUNTIF(LS1A!Z5:Z28,"E")</f>
        <v>1</v>
      </c>
      <c r="D48" s="209" t="str">
        <f>IFERROR(__xludf.DUMMYFUNCTION("TRANSPOSE(FILTER(LS1A!B:B, LS1A!Z:Z=""E""))"),"AIsha ")</f>
        <v>AIsha </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COUNTIF(LS1A!Z5:Z28,"D")</f>
        <v>8</v>
      </c>
      <c r="D49" s="209" t="str">
        <f>IFERROR(__xludf.DUMMYFUNCTION("TRANSPOSE(FILTER(LS1A!B:B, LS1A!Z:Z=""D""))"),"Munshi Khadijah")</f>
        <v>Munshi Khadijah</v>
      </c>
      <c r="E49" s="209" t="str">
        <f>IFERROR(__xludf.DUMMYFUNCTION("""COMPUTED_VALUE"""),"Blount Jaxen")</f>
        <v>Blount Jaxen</v>
      </c>
      <c r="F49" s="209" t="str">
        <f>IFERROR(__xludf.DUMMYFUNCTION("""COMPUTED_VALUE"""),"Shamiso")</f>
        <v>Shamiso</v>
      </c>
      <c r="G49" s="209" t="str">
        <f>IFERROR(__xludf.DUMMYFUNCTION("""COMPUTED_VALUE"""),"Aloyo Viola")</f>
        <v>Aloyo Viola</v>
      </c>
      <c r="H49" s="209" t="str">
        <f>IFERROR(__xludf.DUMMYFUNCTION("""COMPUTED_VALUE"""),"Mohamed Moaz")</f>
        <v>Mohamed Moaz</v>
      </c>
      <c r="I49" s="209" t="str">
        <f>IFERROR(__xludf.DUMMYFUNCTION("""COMPUTED_VALUE"""),"Abdulle Abdullahi")</f>
        <v>Abdulle Abdullahi</v>
      </c>
      <c r="J49" s="209" t="str">
        <f>IFERROR(__xludf.DUMMYFUNCTION("""COMPUTED_VALUE"""),"Msoni Zhange")</f>
        <v>Msoni Zhange</v>
      </c>
      <c r="K49" s="209" t="str">
        <f>IFERROR(__xludf.DUMMYFUNCTION("""COMPUTED_VALUE"""),"Nyirenda Lauzi")</f>
        <v>Nyirenda Lauzi</v>
      </c>
      <c r="L49" s="209"/>
      <c r="M49" s="209"/>
      <c r="N49" s="209"/>
      <c r="O49" s="209"/>
      <c r="P49" s="209"/>
      <c r="Q49" s="209"/>
      <c r="R49" s="209"/>
      <c r="S49" s="209"/>
      <c r="T49" s="209"/>
      <c r="U49" s="209"/>
      <c r="V49" s="209"/>
      <c r="W49" s="209"/>
      <c r="X49" s="209"/>
      <c r="Y49" s="209"/>
      <c r="Z49" s="209"/>
      <c r="AA49" s="209"/>
    </row>
    <row r="50">
      <c r="A50" s="441"/>
      <c r="B50" s="440" t="s">
        <v>90</v>
      </c>
      <c r="C50" s="440">
        <f>COUNTIF(LS1A!Z5:Z28,"C")</f>
        <v>4</v>
      </c>
      <c r="D50" s="209" t="str">
        <f>IFERROR(__xludf.DUMMYFUNCTION("TRANSPOSE(FILTER(LS1A!B:B, LS1A!Z:Z=""C""))"),"Mwewa Likezo")</f>
        <v>Mwewa Likezo</v>
      </c>
      <c r="E50" s="209" t="str">
        <f>IFERROR(__xludf.DUMMYFUNCTION("""COMPUTED_VALUE"""),"Mwansa Louise Elizabeth")</f>
        <v>Mwansa Louise Elizabeth</v>
      </c>
      <c r="F50" s="209" t="str">
        <f>IFERROR(__xludf.DUMMYFUNCTION("""COMPUTED_VALUE"""),"Mutonga Israel")</f>
        <v>Mutonga Israel</v>
      </c>
      <c r="G50" s="209" t="str">
        <f>IFERROR(__xludf.DUMMYFUNCTION("""COMPUTED_VALUE"""),"Sillitoe Alan")</f>
        <v>Sillitoe Alan</v>
      </c>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COUNTIF(LS1A!Z5:Z28,"B")</f>
        <v>5</v>
      </c>
      <c r="D51" s="209" t="str">
        <f>IFERROR(__xludf.DUMMYFUNCTION("TRANSPOSE(FILTER(LS1A!B:B, LS1A!Z:Z=""B""))"),"Maine Ralesite")</f>
        <v>Maine Ralesite</v>
      </c>
      <c r="E51" s="209" t="str">
        <f>IFERROR(__xludf.DUMMYFUNCTION("""COMPUTED_VALUE"""),"Kaoma Natasha")</f>
        <v>Kaoma Natasha</v>
      </c>
      <c r="F51" s="209" t="str">
        <f>IFERROR(__xludf.DUMMYFUNCTION("""COMPUTED_VALUE"""),"Nalishuwa Zeruiah")</f>
        <v>Nalishuwa Zeruiah</v>
      </c>
      <c r="G51" s="209" t="str">
        <f>IFERROR(__xludf.DUMMYFUNCTION("""COMPUTED_VALUE"""),"Hasan Aaban")</f>
        <v>Hasan Aaban</v>
      </c>
      <c r="H51" s="209" t="str">
        <f>IFERROR(__xludf.DUMMYFUNCTION("""COMPUTED_VALUE"""),"Mwiimbwa Chileleko")</f>
        <v>Mwiimbwa Chileleko</v>
      </c>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COUNTIF(LS1A!Z5:Z28,"A")</f>
        <v>2</v>
      </c>
      <c r="D52" s="209" t="str">
        <f>IFERROR(__xludf.DUMMYFUNCTION("TRANSPOSE(FILTER(LS1A!B:B, LS1A!Z:Z=""A""))"),"Patel Maahir")</f>
        <v>Patel Maahir</v>
      </c>
      <c r="E52" s="209" t="str">
        <f>IFERROR(__xludf.DUMMYFUNCTION("""COMPUTED_VALUE"""),"Malijani Kasonde")</f>
        <v>Malijani Kasonde</v>
      </c>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COUNTIF(LS1A!Z5:Z28,"A~*")</f>
        <v>2</v>
      </c>
      <c r="D53" s="209" t="str">
        <f>IFERROR(__xludf.DUMMYFUNCTION("TRANSPOSE(FILTER(LS1A!B:B, LS1A!Z:Z=""A*""))"),"Chauhan Humera")</f>
        <v>Chauhan Humera</v>
      </c>
      <c r="E53" s="209" t="str">
        <f>IFERROR(__xludf.DUMMYFUNCTION("""COMPUTED_VALUE"""),"Shalak Jad")</f>
        <v>Shalak Jad</v>
      </c>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COUNTIF(LS1A!AD5:AD28,"U")</f>
        <v>0</v>
      </c>
      <c r="D55" s="209" t="str">
        <f>IFERROR(__xludf.DUMMYFUNCTION("TRANSPOSE(FILTER(LS1A!B:B, LS1A!AD:AD=""U""))"),"#N/A")</f>
        <v>#N/A</v>
      </c>
      <c r="E55" s="209"/>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COUNTIF(LS1A!AD5:AD28,"G")</f>
        <v>0</v>
      </c>
      <c r="D56" s="209" t="str">
        <f>IFERROR(__xludf.DUMMYFUNCTION("TRANSPOSE(FILTER(LS1A!B:B, LS1A!AD:AD=""G""))"),"#N/A")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COUNTIF(LS1A!AD5:AD28,"F")</f>
        <v>3</v>
      </c>
      <c r="D57" s="209" t="str">
        <f>IFERROR(__xludf.DUMMYFUNCTION("TRANSPOSE(FILTER(LS1A!B:B, LS1A!AD:AD=""F""))"),"Chokr Mohammad")</f>
        <v>Chokr Mohammad</v>
      </c>
      <c r="E57" s="209" t="str">
        <f>IFERROR(__xludf.DUMMYFUNCTION("""COMPUTED_VALUE"""),"Mohamed Moaz")</f>
        <v>Mohamed Moaz</v>
      </c>
      <c r="F57" s="209" t="str">
        <f>IFERROR(__xludf.DUMMYFUNCTION("""COMPUTED_VALUE"""),"Sillitoe Alan")</f>
        <v>Sillitoe Alan</v>
      </c>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COUNTIF(LS1A!AD5:AD28,"E")</f>
        <v>6</v>
      </c>
      <c r="D58" s="209" t="str">
        <f>IFERROR(__xludf.DUMMYFUNCTION("TRANSPOSE(FILTER(LS1A!B:B, LS1A!AD:AD=""E""))"),"Munshi Khadijah")</f>
        <v>Munshi Khadijah</v>
      </c>
      <c r="E58" s="209" t="str">
        <f>IFERROR(__xludf.DUMMYFUNCTION("""COMPUTED_VALUE"""),"Mwewa Likezo")</f>
        <v>Mwewa Likezo</v>
      </c>
      <c r="F58" s="209" t="str">
        <f>IFERROR(__xludf.DUMMYFUNCTION("""COMPUTED_VALUE"""),"Blount Jaxen")</f>
        <v>Blount Jaxen</v>
      </c>
      <c r="G58" s="209" t="str">
        <f>IFERROR(__xludf.DUMMYFUNCTION("""COMPUTED_VALUE"""),"Mutonga Israel")</f>
        <v>Mutonga Israel</v>
      </c>
      <c r="H58" s="209" t="str">
        <f>IFERROR(__xludf.DUMMYFUNCTION("""COMPUTED_VALUE"""),"Abdulle Abdullahi")</f>
        <v>Abdulle Abdullahi</v>
      </c>
      <c r="I58" s="209" t="str">
        <f>IFERROR(__xludf.DUMMYFUNCTION("""COMPUTED_VALUE"""),"Ntinda Joy")</f>
        <v>Ntinda Joy</v>
      </c>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COUNTIF(LS1A!AD5:AD28,"D")</f>
        <v>4</v>
      </c>
      <c r="D59" s="209" t="str">
        <f>IFERROR(__xludf.DUMMYFUNCTION("TRANSPOSE(FILTER(LS1A!B:B, LS1A!AD:AD=""D""))"),"AIsha ")</f>
        <v>AIsha </v>
      </c>
      <c r="E59" s="209" t="str">
        <f>IFERROR(__xludf.DUMMYFUNCTION("""COMPUTED_VALUE"""),"Shamiso")</f>
        <v>Shamiso</v>
      </c>
      <c r="F59" s="209" t="str">
        <f>IFERROR(__xludf.DUMMYFUNCTION("""COMPUTED_VALUE"""),"Aloyo Viola")</f>
        <v>Aloyo Viola</v>
      </c>
      <c r="G59" s="209" t="str">
        <f>IFERROR(__xludf.DUMMYFUNCTION("""COMPUTED_VALUE"""),"Nyirenda Lauzi")</f>
        <v>Nyirenda Lauzi</v>
      </c>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COUNTIF(LS1A!AD5:AD28,"C")</f>
        <v>3</v>
      </c>
      <c r="D60" s="209" t="str">
        <f>IFERROR(__xludf.DUMMYFUNCTION("TRANSPOSE(FILTER(LS1A!B:B, LS1A!AD:AD=""C""))"),"Maine Ralesite")</f>
        <v>Maine Ralesite</v>
      </c>
      <c r="E60" s="209" t="str">
        <f>IFERROR(__xludf.DUMMYFUNCTION("""COMPUTED_VALUE"""),"Msoni Zhange")</f>
        <v>Msoni Zhange</v>
      </c>
      <c r="F60" s="209" t="str">
        <f>IFERROR(__xludf.DUMMYFUNCTION("""COMPUTED_VALUE"""),"Nalishuwa Zeruiah")</f>
        <v>Nalishuwa Zeruiah</v>
      </c>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COUNTIF(LS1A!AD5:AD28,"B")</f>
        <v>4</v>
      </c>
      <c r="D61" s="209" t="str">
        <f>IFERROR(__xludf.DUMMYFUNCTION("TRANSPOSE(FILTER(LS1A!B:B, LS1A!AD:AD=""B""))"),"Mwansa Louise Elizabeth")</f>
        <v>Mwansa Louise Elizabeth</v>
      </c>
      <c r="E61" s="209" t="str">
        <f>IFERROR(__xludf.DUMMYFUNCTION("""COMPUTED_VALUE"""),"Chauhan Humera")</f>
        <v>Chauhan Humera</v>
      </c>
      <c r="F61" s="209" t="str">
        <f>IFERROR(__xludf.DUMMYFUNCTION("""COMPUTED_VALUE"""),"Hasan Aaban")</f>
        <v>Hasan Aaban</v>
      </c>
      <c r="G61" s="209" t="str">
        <f>IFERROR(__xludf.DUMMYFUNCTION("""COMPUTED_VALUE"""),"Mwiimbwa Chileleko")</f>
        <v>Mwiimbwa Chileleko</v>
      </c>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COUNTIF(LS1A!AD5:AD28,"A")</f>
        <v>3</v>
      </c>
      <c r="D62" s="209" t="str">
        <f>IFERROR(__xludf.DUMMYFUNCTION("TRANSPOSE(FILTER(LS1A!B:B, LS1A!AD:AD=""A""))"),"Patel Maahir")</f>
        <v>Patel Maahir</v>
      </c>
      <c r="E62" s="209" t="str">
        <f>IFERROR(__xludf.DUMMYFUNCTION("""COMPUTED_VALUE"""),"Kaoma Natasha")</f>
        <v>Kaoma Natasha</v>
      </c>
      <c r="F62" s="209" t="str">
        <f>IFERROR(__xludf.DUMMYFUNCTION("""COMPUTED_VALUE"""),"Shalak Jad")</f>
        <v>Shalak Jad</v>
      </c>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COUNTIF(LS1A!AD5:AD28,"A~*")</f>
        <v>1</v>
      </c>
      <c r="D63" s="209" t="str">
        <f>IFERROR(__xludf.DUMMYFUNCTION("TRANSPOSE(FILTER(LS1A!B:B, LS1A!AD:AD=""A*""))"),"Malijani Kasonde")</f>
        <v>Malijani Kasonde</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COUNTIF(LS1A!AH5:AH28,"U")</f>
        <v>0</v>
      </c>
      <c r="D65" s="209" t="str">
        <f>IFERROR(__xludf.DUMMYFUNCTION("TRANSPOSE(FILTER(LS1A!B:B, LS1A!AH:AH=""U""))"),"")</f>
        <v/>
      </c>
      <c r="E65" s="209"/>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COUNTIF(LS1A!AH5:AH28,"G")</f>
        <v>0</v>
      </c>
      <c r="D66" s="209" t="str">
        <f>IFERROR(__xludf.DUMMYFUNCTION("TRANSPOSE(FILTER(LS1A!B:B, LS1A!AH:AH=""G""))"),"#N/A")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COUNTIF(LS1A!AH5:AH28,"F")</f>
        <v>0</v>
      </c>
      <c r="D67" s="209" t="str">
        <f>IFERROR(__xludf.DUMMYFUNCTION("TRANSPOSE(FILTER(LS1A!B:B, LS1A!AH:AH=""F""))"),"#N/A")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COUNTIF(LS1A!AH5:AH28,"E")</f>
        <v>0</v>
      </c>
      <c r="D68" s="209" t="str">
        <f>IFERROR(__xludf.DUMMYFUNCTION("TRANSPOSE(FILTER(LS1A!B:B, LS1A!AH:AH=""E""))"),"#N/A")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COUNTIF(LS1A!AH5:AH28,"D")</f>
        <v>1</v>
      </c>
      <c r="D69" s="209" t="str">
        <f>IFERROR(__xludf.DUMMYFUNCTION("TRANSPOSE(FILTER(LS1A!B:B, LS1A!AH:AH=""D""))"),"Abdulle Abdullahi")</f>
        <v>Abdulle Abdullahi</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COUNTIF(LS1A!AH5:AH28,"C")</f>
        <v>6</v>
      </c>
      <c r="D70" s="209" t="str">
        <f>IFERROR(__xludf.DUMMYFUNCTION("TRANSPOSE(FILTER(LS1A!B:B, LS1A!AH:AH=""C""))"),"AIsha ")</f>
        <v>AIsha </v>
      </c>
      <c r="E70" s="209" t="str">
        <f>IFERROR(__xludf.DUMMYFUNCTION("""COMPUTED_VALUE"""),"Chokr Mohammad")</f>
        <v>Chokr Mohammad</v>
      </c>
      <c r="F70" s="209" t="str">
        <f>IFERROR(__xludf.DUMMYFUNCTION("""COMPUTED_VALUE"""),"Mwewa Likezo")</f>
        <v>Mwewa Likezo</v>
      </c>
      <c r="G70" s="209" t="str">
        <f>IFERROR(__xludf.DUMMYFUNCTION("""COMPUTED_VALUE"""),"Aloyo Viola")</f>
        <v>Aloyo Viola</v>
      </c>
      <c r="H70" s="209" t="str">
        <f>IFERROR(__xludf.DUMMYFUNCTION("""COMPUTED_VALUE"""),"Msoni Zhange")</f>
        <v>Msoni Zhange</v>
      </c>
      <c r="I70" s="209" t="str">
        <f>IFERROR(__xludf.DUMMYFUNCTION("""COMPUTED_VALUE"""),"Hasan Aaban")</f>
        <v>Hasan Aaban</v>
      </c>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COUNTIF(LS1A!AH5:AH28,"B")</f>
        <v>11</v>
      </c>
      <c r="D71" s="209" t="str">
        <f>IFERROR(__xludf.DUMMYFUNCTION("TRANSPOSE(FILTER(LS1A!B:B, LS1A!AH:AH=""B""))"),"Maine Ralesite")</f>
        <v>Maine Ralesite</v>
      </c>
      <c r="E71" s="209" t="str">
        <f>IFERROR(__xludf.DUMMYFUNCTION("""COMPUTED_VALUE"""),"Blount Jaxen")</f>
        <v>Blount Jaxen</v>
      </c>
      <c r="F71" s="209" t="str">
        <f>IFERROR(__xludf.DUMMYFUNCTION("""COMPUTED_VALUE"""),"Shamiso")</f>
        <v>Shamiso</v>
      </c>
      <c r="G71" s="209" t="str">
        <f>IFERROR(__xludf.DUMMYFUNCTION("""COMPUTED_VALUE"""),"Mutonga Israel")</f>
        <v>Mutonga Israel</v>
      </c>
      <c r="H71" s="209" t="str">
        <f>IFERROR(__xludf.DUMMYFUNCTION("""COMPUTED_VALUE"""),"Sillitoe Alan")</f>
        <v>Sillitoe Alan</v>
      </c>
      <c r="I71" s="209" t="str">
        <f>IFERROR(__xludf.DUMMYFUNCTION("""COMPUTED_VALUE"""),"Chauhan Humera")</f>
        <v>Chauhan Humera</v>
      </c>
      <c r="J71" s="209" t="str">
        <f>IFERROR(__xludf.DUMMYFUNCTION("""COMPUTED_VALUE"""),"Ntinda Joy")</f>
        <v>Ntinda Joy</v>
      </c>
      <c r="K71" s="209" t="str">
        <f>IFERROR(__xludf.DUMMYFUNCTION("""COMPUTED_VALUE"""),"Nalishuwa Zeruiah")</f>
        <v>Nalishuwa Zeruiah</v>
      </c>
      <c r="L71" s="209" t="str">
        <f>IFERROR(__xludf.DUMMYFUNCTION("""COMPUTED_VALUE"""),"Shalak Jad")</f>
        <v>Shalak Jad</v>
      </c>
      <c r="M71" s="209" t="str">
        <f>IFERROR(__xludf.DUMMYFUNCTION("""COMPUTED_VALUE"""),"Nyirenda Lauzi")</f>
        <v>Nyirenda Lauzi</v>
      </c>
      <c r="N71" s="209" t="str">
        <f>IFERROR(__xludf.DUMMYFUNCTION("""COMPUTED_VALUE"""),"Mwiimbwa Chileleko")</f>
        <v>Mwiimbwa Chileleko</v>
      </c>
      <c r="O71" s="209"/>
      <c r="P71" s="209"/>
      <c r="Q71" s="209"/>
      <c r="R71" s="209"/>
      <c r="S71" s="209"/>
      <c r="T71" s="209"/>
      <c r="U71" s="209"/>
      <c r="V71" s="209"/>
      <c r="W71" s="209"/>
      <c r="X71" s="209"/>
      <c r="Y71" s="209"/>
      <c r="Z71" s="209"/>
      <c r="AA71" s="209"/>
    </row>
    <row r="72">
      <c r="A72" s="441"/>
      <c r="B72" s="440" t="s">
        <v>85</v>
      </c>
      <c r="C72" s="440">
        <f>COUNTIF(LS1A!AH5:AH28,"A")</f>
        <v>6</v>
      </c>
      <c r="D72" s="209" t="str">
        <f>IFERROR(__xludf.DUMMYFUNCTION("TRANSPOSE(FILTER(LS1A!B:B, LS1A!AH:AH=""A""))"),"Munshi Khadijah")</f>
        <v>Munshi Khadijah</v>
      </c>
      <c r="E72" s="209" t="str">
        <f>IFERROR(__xludf.DUMMYFUNCTION("""COMPUTED_VALUE"""),"Mwansa Louise Elizabeth")</f>
        <v>Mwansa Louise Elizabeth</v>
      </c>
      <c r="F72" s="209" t="str">
        <f>IFERROR(__xludf.DUMMYFUNCTION("""COMPUTED_VALUE"""),"Patel Maahir")</f>
        <v>Patel Maahir</v>
      </c>
      <c r="G72" s="209" t="str">
        <f>IFERROR(__xludf.DUMMYFUNCTION("""COMPUTED_VALUE"""),"Mohamed Moaz")</f>
        <v>Mohamed Moaz</v>
      </c>
      <c r="H72" s="209" t="str">
        <f>IFERROR(__xludf.DUMMYFUNCTION("""COMPUTED_VALUE"""),"Kaoma Natasha")</f>
        <v>Kaoma Natasha</v>
      </c>
      <c r="I72" s="209" t="str">
        <f>IFERROR(__xludf.DUMMYFUNCTION("""COMPUTED_VALUE"""),"Malijani Kasonde")</f>
        <v>Malijani Kasonde</v>
      </c>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COUNTIF(LS1A!AH5:AH28,"A~*")</f>
        <v>0</v>
      </c>
      <c r="D73" s="209" t="str">
        <f>IFERROR(__xludf.DUMMYFUNCTION("TRANSPOSE(FILTER(LS1A!B:B, LS1A!AH:AH=""A*""))"),"#N/A")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COUNTIF(LS1A!AL5:AL28,"U")</f>
        <v>0</v>
      </c>
      <c r="D75" s="209" t="str">
        <f>IFERROR(__xludf.DUMMYFUNCTION("TRANSPOSE(FILTER(LS1A!B:B, LS1A!AL:AL=""U""))"),"#N/A")</f>
        <v>#N/A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COUNTIF(LS1A!AL5:AL28,"G")</f>
        <v>0</v>
      </c>
      <c r="D76" s="209" t="str">
        <f>IFERROR(__xludf.DUMMYFUNCTION("TRANSPOSE(FILTER(LS1A!B:B, LS1A!AL:AL=""G""))"),"#N/A")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COUNTIF(LS1A!AL5:AL28,"F")</f>
        <v>0</v>
      </c>
      <c r="D77" s="209" t="str">
        <f>IFERROR(__xludf.DUMMYFUNCTION("TRANSPOSE(FILTER(LS1A!B:B, LS1A!AL:AL=""F""))"),"#N/A")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COUNTIF(LS1A!AL5:AL28,"E")</f>
        <v>0</v>
      </c>
      <c r="D78" s="209" t="str">
        <f>IFERROR(__xludf.DUMMYFUNCTION("TRANSPOSE(FILTER(LS1A!B:B, LS1A!AL:AL=""E""))"),"#N/A")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COUNTIF(LS1A!AL5:AL28,"D")</f>
        <v>0</v>
      </c>
      <c r="D79" s="209" t="str">
        <f>IFERROR(__xludf.DUMMYFUNCTION("TRANSPOSE(FILTER(LS1A!B:B, LS1A!AL:AL=""D""))"),"#N/A")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COUNTIF(LS1A!AL5:AL28,"C")</f>
        <v>5</v>
      </c>
      <c r="D80" s="209" t="str">
        <f>IFERROR(__xludf.DUMMYFUNCTION("TRANSPOSE(FILTER(LS1A!B:B, LS1A!AL:AL=""C""))"),"Chokr Mohammad")</f>
        <v>Chokr Mohammad</v>
      </c>
      <c r="E80" s="209" t="str">
        <f>IFERROR(__xludf.DUMMYFUNCTION("""COMPUTED_VALUE"""),"Mohamed Moaz")</f>
        <v>Mohamed Moaz</v>
      </c>
      <c r="F80" s="209" t="str">
        <f>IFERROR(__xludf.DUMMYFUNCTION("""COMPUTED_VALUE"""),"Mutonga Israel")</f>
        <v>Mutonga Israel</v>
      </c>
      <c r="G80" s="209" t="str">
        <f>IFERROR(__xludf.DUMMYFUNCTION("""COMPUTED_VALUE"""),"Ntinda Joy")</f>
        <v>Ntinda Joy</v>
      </c>
      <c r="H80" s="209" t="str">
        <f>IFERROR(__xludf.DUMMYFUNCTION("""COMPUTED_VALUE"""),"Nyirenda Lauzi")</f>
        <v>Nyirenda Lauzi</v>
      </c>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COUNTIF(LS1A!AL5:AL28,"B")</f>
        <v>9</v>
      </c>
      <c r="D81" s="209" t="str">
        <f>IFERROR(__xludf.DUMMYFUNCTION("TRANSPOSE(FILTER(LS1A!B:B, LS1A!AL:AL=""B""))"),"Munshi Khadijah")</f>
        <v>Munshi Khadijah</v>
      </c>
      <c r="E81" s="209" t="str">
        <f>IFERROR(__xludf.DUMMYFUNCTION("""COMPUTED_VALUE"""),"Mwewa Likezo")</f>
        <v>Mwewa Likezo</v>
      </c>
      <c r="F81" s="209" t="str">
        <f>IFERROR(__xludf.DUMMYFUNCTION("""COMPUTED_VALUE"""),"Shamiso")</f>
        <v>Shamiso</v>
      </c>
      <c r="G81" s="209" t="str">
        <f>IFERROR(__xludf.DUMMYFUNCTION("""COMPUTED_VALUE"""),"Mwansa Louise Elizabeth")</f>
        <v>Mwansa Louise Elizabeth</v>
      </c>
      <c r="H81" s="209" t="str">
        <f>IFERROR(__xludf.DUMMYFUNCTION("""COMPUTED_VALUE"""),"Aloyo Viola")</f>
        <v>Aloyo Viola</v>
      </c>
      <c r="I81" s="209" t="str">
        <f>IFERROR(__xludf.DUMMYFUNCTION("""COMPUTED_VALUE"""),"Abdulle Abdullahi")</f>
        <v>Abdulle Abdullahi</v>
      </c>
      <c r="J81" s="209" t="str">
        <f>IFERROR(__xludf.DUMMYFUNCTION("""COMPUTED_VALUE"""),"Sillitoe Alan")</f>
        <v>Sillitoe Alan</v>
      </c>
      <c r="K81" s="209" t="str">
        <f>IFERROR(__xludf.DUMMYFUNCTION("""COMPUTED_VALUE"""),"Msoni Zhange")</f>
        <v>Msoni Zhange</v>
      </c>
      <c r="L81" s="209" t="str">
        <f>IFERROR(__xludf.DUMMYFUNCTION("""COMPUTED_VALUE"""),"Hasan Aaban")</f>
        <v>Hasan Aaban</v>
      </c>
      <c r="M81" s="209"/>
      <c r="N81" s="209"/>
      <c r="O81" s="209"/>
      <c r="P81" s="209"/>
      <c r="Q81" s="209"/>
      <c r="R81" s="209"/>
      <c r="S81" s="209"/>
      <c r="T81" s="209"/>
      <c r="U81" s="209"/>
      <c r="V81" s="209"/>
      <c r="W81" s="209"/>
      <c r="X81" s="209"/>
      <c r="Y81" s="209"/>
      <c r="Z81" s="209"/>
      <c r="AA81" s="209"/>
    </row>
    <row r="82">
      <c r="A82" s="441"/>
      <c r="B82" s="440" t="s">
        <v>85</v>
      </c>
      <c r="C82" s="440">
        <f>COUNTIF(LS1A!AL5:AL28,"A")</f>
        <v>9</v>
      </c>
      <c r="D82" s="209" t="str">
        <f>IFERROR(__xludf.DUMMYFUNCTION("TRANSPOSE(FILTER(LS1A!B:B, LS1A!AL:AL=""A""))"),"Maine Ralesite")</f>
        <v>Maine Ralesite</v>
      </c>
      <c r="E82" s="209" t="str">
        <f>IFERROR(__xludf.DUMMYFUNCTION("""COMPUTED_VALUE"""),"AIsha ")</f>
        <v>AIsha </v>
      </c>
      <c r="F82" s="209" t="str">
        <f>IFERROR(__xludf.DUMMYFUNCTION("""COMPUTED_VALUE"""),"Blount Jaxen")</f>
        <v>Blount Jaxen</v>
      </c>
      <c r="G82" s="209" t="str">
        <f>IFERROR(__xludf.DUMMYFUNCTION("""COMPUTED_VALUE"""),"Patel Maahir")</f>
        <v>Patel Maahir</v>
      </c>
      <c r="H82" s="209" t="str">
        <f>IFERROR(__xludf.DUMMYFUNCTION("""COMPUTED_VALUE"""),"Kaoma Natasha")</f>
        <v>Kaoma Natasha</v>
      </c>
      <c r="I82" s="209" t="str">
        <f>IFERROR(__xludf.DUMMYFUNCTION("""COMPUTED_VALUE"""),"Chauhan Humera")</f>
        <v>Chauhan Humera</v>
      </c>
      <c r="J82" s="209" t="str">
        <f>IFERROR(__xludf.DUMMYFUNCTION("""COMPUTED_VALUE"""),"Nalishuwa Zeruiah")</f>
        <v>Nalishuwa Zeruiah</v>
      </c>
      <c r="K82" s="209" t="str">
        <f>IFERROR(__xludf.DUMMYFUNCTION("""COMPUTED_VALUE"""),"Shalak Jad")</f>
        <v>Shalak Jad</v>
      </c>
      <c r="L82" s="209" t="str">
        <f>IFERROR(__xludf.DUMMYFUNCTION("""COMPUTED_VALUE"""),"Mwiimbwa Chileleko")</f>
        <v>Mwiimbwa Chileleko</v>
      </c>
      <c r="M82" s="209"/>
      <c r="N82" s="209"/>
      <c r="O82" s="209"/>
      <c r="P82" s="209"/>
      <c r="Q82" s="209"/>
      <c r="R82" s="209"/>
      <c r="S82" s="209"/>
      <c r="T82" s="209"/>
      <c r="U82" s="209"/>
      <c r="V82" s="209"/>
      <c r="W82" s="209"/>
      <c r="X82" s="209"/>
      <c r="Y82" s="209"/>
      <c r="Z82" s="209"/>
      <c r="AA82" s="209"/>
    </row>
    <row r="83">
      <c r="A83" s="441"/>
      <c r="B83" s="440" t="s">
        <v>152</v>
      </c>
      <c r="C83" s="440">
        <f>COUNTIF(LS1A!AL5:AL28,"A~*")</f>
        <v>1</v>
      </c>
      <c r="D83" s="209" t="str">
        <f>IFERROR(__xludf.DUMMYFUNCTION("TRANSPOSE(FILTER(LS1A!B:B, LS1A!AL:AL=""A*""))"),"Malijani Kasonde")</f>
        <v>Malijani Kasonde</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COUNTIF(LS1A!AP5:AP28,"U")</f>
        <v>0</v>
      </c>
      <c r="D85" s="209" t="str">
        <f>IFERROR(__xludf.DUMMYFUNCTION("TRANSPOSE(FILTER(LS1A!B:B, LS1A!AP:AP=""U""))"),"#N/A")</f>
        <v>#N/A</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COUNTIF(LS1A!AP5:AP28,"G")</f>
        <v>0</v>
      </c>
      <c r="D86" s="209" t="str">
        <f>IFERROR(__xludf.DUMMYFUNCTION("TRANSPOSE(FILTER(LS1A!B:B, LS1A!AP:AP=""G""))"),"#N/A")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COUNTIF(LS1A!AP5:AP28,"F")</f>
        <v>0</v>
      </c>
      <c r="D87" s="209" t="str">
        <f>IFERROR(__xludf.DUMMYFUNCTION("TRANSPOSE(FILTER(LS1A!B:B, LS1A!AP:AP=""F""))"),"#N/A")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COUNTIF(LS1A!AP5:AP28,"E")</f>
        <v>2</v>
      </c>
      <c r="D88" s="209" t="str">
        <f>IFERROR(__xludf.DUMMYFUNCTION("TRANSPOSE(FILTER(LS1A!B:B, LS1A!AP:AP=""E""))"),"Mwewa Likezo")</f>
        <v>Mwewa Likezo</v>
      </c>
      <c r="E88" s="209" t="str">
        <f>IFERROR(__xludf.DUMMYFUNCTION("""COMPUTED_VALUE"""),"Msoni Zhange")</f>
        <v>Msoni Zhange</v>
      </c>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COUNTIF(LS1A!AP5:AP28,"D")</f>
        <v>3</v>
      </c>
      <c r="D89" s="209" t="str">
        <f>IFERROR(__xludf.DUMMYFUNCTION("TRANSPOSE(FILTER(LS1A!B:B, LS1A!AP:AP=""D""))"),"AIsha ")</f>
        <v>AIsha </v>
      </c>
      <c r="E89" s="209" t="str">
        <f>IFERROR(__xludf.DUMMYFUNCTION("""COMPUTED_VALUE"""),"Aloyo Viola")</f>
        <v>Aloyo Viola</v>
      </c>
      <c r="F89" s="209" t="str">
        <f>IFERROR(__xludf.DUMMYFUNCTION("""COMPUTED_VALUE"""),"Mwiimbwa Chileleko")</f>
        <v>Mwiimbwa Chileleko</v>
      </c>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COUNTIF(LS1A!AP5:AP28,"C")</f>
        <v>6</v>
      </c>
      <c r="D90" s="209" t="str">
        <f>IFERROR(__xludf.DUMMYFUNCTION("TRANSPOSE(FILTER(LS1A!B:B, LS1A!AP:AP=""C""))"),"Maine Ralesite")</f>
        <v>Maine Ralesite</v>
      </c>
      <c r="E90" s="209" t="str">
        <f>IFERROR(__xludf.DUMMYFUNCTION("""COMPUTED_VALUE"""),"Chokr Mohammad")</f>
        <v>Chokr Mohammad</v>
      </c>
      <c r="F90" s="209" t="str">
        <f>IFERROR(__xludf.DUMMYFUNCTION("""COMPUTED_VALUE"""),"Blount Jaxen")</f>
        <v>Blount Jaxen</v>
      </c>
      <c r="G90" s="209" t="str">
        <f>IFERROR(__xludf.DUMMYFUNCTION("""COMPUTED_VALUE"""),"Patel Maahir")</f>
        <v>Patel Maahir</v>
      </c>
      <c r="H90" s="209" t="str">
        <f>IFERROR(__xludf.DUMMYFUNCTION("""COMPUTED_VALUE"""),"Shalak Jad")</f>
        <v>Shalak Jad</v>
      </c>
      <c r="I90" s="209" t="str">
        <f>IFERROR(__xludf.DUMMYFUNCTION("""COMPUTED_VALUE"""),"Hasan Aaban")</f>
        <v>Hasan Aaban</v>
      </c>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COUNTIF(LS1A!AP5:AP28,"B")</f>
        <v>10</v>
      </c>
      <c r="D91" s="209" t="str">
        <f>IFERROR(__xludf.DUMMYFUNCTION("TRANSPOSE(FILTER(LS1A!B:B, LS1A!AP:AP=""B""))"),"Munshi Khadijah")</f>
        <v>Munshi Khadijah</v>
      </c>
      <c r="E91" s="209" t="str">
        <f>IFERROR(__xludf.DUMMYFUNCTION("""COMPUTED_VALUE"""),"Mwansa Louise Elizabeth")</f>
        <v>Mwansa Louise Elizabeth</v>
      </c>
      <c r="F91" s="209" t="str">
        <f>IFERROR(__xludf.DUMMYFUNCTION("""COMPUTED_VALUE"""),"Mohamed Moaz")</f>
        <v>Mohamed Moaz</v>
      </c>
      <c r="G91" s="209" t="str">
        <f>IFERROR(__xludf.DUMMYFUNCTION("""COMPUTED_VALUE"""),"Mutonga Israel")</f>
        <v>Mutonga Israel</v>
      </c>
      <c r="H91" s="209" t="str">
        <f>IFERROR(__xludf.DUMMYFUNCTION("""COMPUTED_VALUE"""),"Abdulle Abdullahi")</f>
        <v>Abdulle Abdullahi</v>
      </c>
      <c r="I91" s="209" t="str">
        <f>IFERROR(__xludf.DUMMYFUNCTION("""COMPUTED_VALUE"""),"Sillitoe Alan")</f>
        <v>Sillitoe Alan</v>
      </c>
      <c r="J91" s="209" t="str">
        <f>IFERROR(__xludf.DUMMYFUNCTION("""COMPUTED_VALUE"""),"Kaoma Natasha")</f>
        <v>Kaoma Natasha</v>
      </c>
      <c r="K91" s="209" t="str">
        <f>IFERROR(__xludf.DUMMYFUNCTION("""COMPUTED_VALUE"""),"Chauhan Humera")</f>
        <v>Chauhan Humera</v>
      </c>
      <c r="L91" s="209" t="str">
        <f>IFERROR(__xludf.DUMMYFUNCTION("""COMPUTED_VALUE"""),"Nalishuwa Zeruiah")</f>
        <v>Nalishuwa Zeruiah</v>
      </c>
      <c r="M91" s="209" t="str">
        <f>IFERROR(__xludf.DUMMYFUNCTION("""COMPUTED_VALUE"""),"Malijani Kasonde")</f>
        <v>Malijani Kasonde</v>
      </c>
      <c r="N91" s="209"/>
      <c r="O91" s="209"/>
      <c r="P91" s="209"/>
      <c r="Q91" s="209"/>
      <c r="R91" s="209"/>
      <c r="S91" s="209"/>
      <c r="T91" s="209"/>
      <c r="U91" s="209"/>
      <c r="V91" s="209"/>
      <c r="W91" s="209"/>
      <c r="X91" s="209"/>
      <c r="Y91" s="209"/>
      <c r="Z91" s="209"/>
      <c r="AA91" s="209"/>
    </row>
    <row r="92">
      <c r="A92" s="441"/>
      <c r="B92" s="440" t="s">
        <v>85</v>
      </c>
      <c r="C92" s="440">
        <f>COUNTIF(LS1A!AP5:AP28,"A")</f>
        <v>3</v>
      </c>
      <c r="D92" s="209" t="str">
        <f>IFERROR(__xludf.DUMMYFUNCTION("TRANSPOSE(FILTER(LS1A!B:B, LS1A!AP:AP=""A""))"),"Shamiso")</f>
        <v>Shamiso</v>
      </c>
      <c r="E92" s="209" t="str">
        <f>IFERROR(__xludf.DUMMYFUNCTION("""COMPUTED_VALUE"""),"Ntinda Joy")</f>
        <v>Ntinda Joy</v>
      </c>
      <c r="F92" s="209" t="str">
        <f>IFERROR(__xludf.DUMMYFUNCTION("""COMPUTED_VALUE"""),"Nyirenda Lauzi")</f>
        <v>Nyirenda Lauzi</v>
      </c>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COUNTIF(LS1A!AP5:AP28,"A~*")</f>
        <v>0</v>
      </c>
      <c r="D93" s="209" t="str">
        <f>IFERROR(__xludf.DUMMYFUNCTION("TRANSPOSE(FILTER(LS1A!B:B, LS1A!AP:AP=""A*""))"),"#N/A")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cellComments="atEnd" orientation="landscape"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38</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COUNTIF(LS1B!F5:F31,"U")</f>
        <v>0</v>
      </c>
      <c r="D4" s="209" t="str">
        <f>IFERROR(__xludf.DUMMYFUNCTION("TRANSPOSE(FILTER(LS1B!B:B, LS1B!F:F=""U""))"),"#N/A")</f>
        <v>#N/A</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COUNTIF(LS1B!F5:F31,"G")</f>
        <v>0</v>
      </c>
      <c r="D5" s="209" t="str">
        <f>IFERROR(__xludf.DUMMYFUNCTION("TRANSPOSE(FILTER(LS1B!B:B, LS1B!F:F=""G""))"),"#N/A")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COUNTIF(LS1B!F5:F31,"F")</f>
        <v>1</v>
      </c>
      <c r="D6" s="209" t="str">
        <f>IFERROR(__xludf.DUMMYFUNCTION("TRANSPOSE(FILTER(LS1B!B:B, LS1B!F:F=""F""))"),"Jeri Ethan Moses")</f>
        <v>Jeri Ethan Moses</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COUNTIF(LS1B!F5:F31,"E")</f>
        <v>0</v>
      </c>
      <c r="D7" s="209" t="str">
        <f>IFERROR(__xludf.DUMMYFUNCTION("TRANSPOSE(FILTER(LS1B!B:B, LS1B!F:F=""E""))"),"#N/A")</f>
        <v>#N/A</v>
      </c>
      <c r="E7" s="209"/>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COUNTIF(LS1B!F5:F32,"D")</f>
        <v>5</v>
      </c>
      <c r="D8" s="209" t="str">
        <f>IFERROR(__xludf.DUMMYFUNCTION("TRANSPOSE(FILTER(LS1B!B:B, LS1B!F:F=""D""))"),"Khalil Sara Ahmed Mohamed")</f>
        <v>Khalil Sara Ahmed Mohamed</v>
      </c>
      <c r="E8" s="209" t="str">
        <f>IFERROR(__xludf.DUMMYFUNCTION("""COMPUTED_VALUE"""),"Pandor Aila Ishmail")</f>
        <v>Pandor Aila Ishmail</v>
      </c>
      <c r="F8" s="209" t="str">
        <f>IFERROR(__xludf.DUMMYFUNCTION("""COMPUTED_VALUE"""),"Kyalusanza Mukwami")</f>
        <v>Kyalusanza Mukwami</v>
      </c>
      <c r="G8" s="209" t="str">
        <f>IFERROR(__xludf.DUMMYFUNCTION("""COMPUTED_VALUE"""),"Ghumra Shazneen")</f>
        <v>Ghumra Shazneen</v>
      </c>
      <c r="H8" s="209" t="str">
        <f>IFERROR(__xludf.DUMMYFUNCTION("""COMPUTED_VALUE"""),"Mutena Michelle")</f>
        <v>Mutena Michelle</v>
      </c>
      <c r="I8" s="209"/>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COUNTIF(LS1B!F5:F32,"C")</f>
        <v>9</v>
      </c>
      <c r="D9" s="209" t="str">
        <f>IFERROR(__xludf.DUMMYFUNCTION("TRANSPOSE(FILTER(LS1B!B:B, LS1B!F:F=""C""))"),"Nhundu Nokutenda")</f>
        <v>Nhundu Nokutenda</v>
      </c>
      <c r="E9" s="209" t="str">
        <f>IFERROR(__xludf.DUMMYFUNCTION("""COMPUTED_VALUE"""),"Maponga Taonga")</f>
        <v>Maponga Taonga</v>
      </c>
      <c r="F9" s="209" t="str">
        <f>IFERROR(__xludf.DUMMYFUNCTION("""COMPUTED_VALUE"""),"Chilufya Loisa Njavwa ")</f>
        <v>Chilufya Loisa Njavwa </v>
      </c>
      <c r="G9" s="209" t="str">
        <f>IFERROR(__xludf.DUMMYFUNCTION("""COMPUTED_VALUE"""),"Mavhunga Mukudzei")</f>
        <v>Mavhunga Mukudzei</v>
      </c>
      <c r="H9" s="209" t="str">
        <f>IFERROR(__xludf.DUMMYFUNCTION("""COMPUTED_VALUE"""),"Sanderse Chendi")</f>
        <v>Sanderse Chendi</v>
      </c>
      <c r="I9" s="209" t="str">
        <f>IFERROR(__xludf.DUMMYFUNCTION("""COMPUTED_VALUE"""),"Mushipe Angel Tasimbiswa")</f>
        <v>Mushipe Angel Tasimbiswa</v>
      </c>
      <c r="J9" s="209" t="str">
        <f>IFERROR(__xludf.DUMMYFUNCTION("""COMPUTED_VALUE"""),"Pardesi Mariam")</f>
        <v>Pardesi Mariam</v>
      </c>
      <c r="K9" s="209" t="str">
        <f>IFERROR(__xludf.DUMMYFUNCTION("""COMPUTED_VALUE"""),"Hamze Jaad")</f>
        <v>Hamze Jaad</v>
      </c>
      <c r="L9" s="209" t="str">
        <f>IFERROR(__xludf.DUMMYFUNCTION("""COMPUTED_VALUE"""),"Kalupahana Kevin")</f>
        <v>Kalupahana Kevin</v>
      </c>
      <c r="M9" s="209"/>
      <c r="N9" s="209"/>
      <c r="O9" s="209"/>
      <c r="P9" s="209"/>
      <c r="Q9" s="209"/>
      <c r="R9" s="209"/>
      <c r="S9" s="209"/>
      <c r="T9" s="209"/>
      <c r="U9" s="209"/>
      <c r="V9" s="209"/>
      <c r="W9" s="209"/>
      <c r="X9" s="209"/>
      <c r="Y9" s="209"/>
      <c r="Z9" s="209"/>
      <c r="AA9" s="209"/>
    </row>
    <row r="10" ht="24.0" customHeight="1">
      <c r="A10" s="441"/>
      <c r="B10" s="440" t="s">
        <v>87</v>
      </c>
      <c r="C10" s="440">
        <f>COUNTIF(LS1B!F5:F32,"B")</f>
        <v>11</v>
      </c>
      <c r="D10" s="209" t="str">
        <f>IFERROR(__xludf.DUMMYFUNCTION("TRANSPOSE(FILTER(LS1B!B:B, LS1B!F:F=""B""))"),"Ncube Nkosazana")</f>
        <v>Ncube Nkosazana</v>
      </c>
      <c r="E10" s="209" t="str">
        <f>IFERROR(__xludf.DUMMYFUNCTION("""COMPUTED_VALUE"""),"Munshi Mahira")</f>
        <v>Munshi Mahira</v>
      </c>
      <c r="F10" s="209" t="str">
        <f>IFERROR(__xludf.DUMMYFUNCTION("""COMPUTED_VALUE"""),"Rakindas Rijith Hayagriv")</f>
        <v>Rakindas Rijith Hayagriv</v>
      </c>
      <c r="G10" s="209" t="str">
        <f>IFERROR(__xludf.DUMMYFUNCTION("""COMPUTED_VALUE"""),"Konnur Vibha")</f>
        <v>Konnur Vibha</v>
      </c>
      <c r="H10" s="209" t="str">
        <f>IFERROR(__xludf.DUMMYFUNCTION("""COMPUTED_VALUE"""),"Mutombo Marlo Mande")</f>
        <v>Mutombo Marlo Mande</v>
      </c>
      <c r="I10" s="209" t="str">
        <f>IFERROR(__xludf.DUMMYFUNCTION("""COMPUTED_VALUE"""),"Mohammed Tasneem")</f>
        <v>Mohammed Tasneem</v>
      </c>
      <c r="J10" s="209" t="str">
        <f>IFERROR(__xludf.DUMMYFUNCTION("""COMPUTED_VALUE"""),"Mwamba Mwamba")</f>
        <v>Mwamba Mwamba</v>
      </c>
      <c r="K10" s="209" t="str">
        <f>IFERROR(__xludf.DUMMYFUNCTION("""COMPUTED_VALUE"""),"Pathak Akshat")</f>
        <v>Pathak Akshat</v>
      </c>
      <c r="L10" s="209" t="str">
        <f>IFERROR(__xludf.DUMMYFUNCTION("""COMPUTED_VALUE"""),"Nacidze Raquel")</f>
        <v>Nacidze Raquel</v>
      </c>
      <c r="M10" s="209" t="str">
        <f>IFERROR(__xludf.DUMMYFUNCTION("""COMPUTED_VALUE"""),"Bredt Bupe")</f>
        <v>Bredt Bupe</v>
      </c>
      <c r="N10" s="209" t="str">
        <f>IFERROR(__xludf.DUMMYFUNCTION("""COMPUTED_VALUE"""),"Bhagchandani Maahi")</f>
        <v>Bhagchandani Maahi</v>
      </c>
      <c r="O10" s="209"/>
      <c r="P10" s="209"/>
      <c r="Q10" s="209"/>
      <c r="R10" s="209"/>
      <c r="S10" s="209"/>
      <c r="T10" s="209"/>
      <c r="U10" s="209"/>
      <c r="V10" s="209"/>
      <c r="W10" s="209"/>
      <c r="X10" s="209"/>
      <c r="Y10" s="209"/>
      <c r="Z10" s="209"/>
      <c r="AA10" s="209"/>
    </row>
    <row r="11" ht="25.5" customHeight="1">
      <c r="A11" s="441"/>
      <c r="B11" s="440" t="s">
        <v>85</v>
      </c>
      <c r="C11" s="440">
        <f>COUNTIF(LS1B!F5:F31,"A")</f>
        <v>1</v>
      </c>
      <c r="D11" s="209" t="str">
        <f>IFERROR(__xludf.DUMMYFUNCTION("TRANSPOSE(FILTER(LS1B!B:B, LS1B!F:F=""A""))"),"Shimwambwa Natalie")</f>
        <v>Shimwambwa Natalie</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COUNTIF(LS1B!F5:F31,"A~*")</f>
        <v>0</v>
      </c>
      <c r="D12" s="209" t="str">
        <f>IFERROR(__xludf.DUMMYFUNCTION("TRANSPOSE(FILTER(LS1B!B:B, LS1B!F:F=""A*""))"),"#N/A")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COUNTIF(LS1B!J5:J31,"U")</f>
        <v>2</v>
      </c>
      <c r="D15" s="209" t="str">
        <f>IFERROR(__xludf.DUMMYFUNCTION("TRANSPOSE(FILTER(LS1B!B:B, LS1B!J:J=""U""))"),"Maponga Taonga")</f>
        <v>Maponga Taonga</v>
      </c>
      <c r="E15" s="209" t="str">
        <f>IFERROR(__xludf.DUMMYFUNCTION("""COMPUTED_VALUE"""),"Jeri Ethan Moses")</f>
        <v>Jeri Ethan Moses</v>
      </c>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COUNTIF(LS1B!J5:J31,"G")</f>
        <v>1</v>
      </c>
      <c r="D16" s="209" t="str">
        <f>IFERROR(__xludf.DUMMYFUNCTION("TRANSPOSE(FILTER(LS1B!B:B, LS1B!J:J=""G""))"),"Pandor Aila Ishmail")</f>
        <v>Pandor Aila Ishmail</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COUNTIF(LS1B!J5:J31,"F")</f>
        <v>3</v>
      </c>
      <c r="D17" s="209" t="str">
        <f>IFERROR(__xludf.DUMMYFUNCTION("TRANSPOSE(FILTER(LS1B!B:B, LS1B!J:J=""F""))"),"Nhundu Nokutenda")</f>
        <v>Nhundu Nokutenda</v>
      </c>
      <c r="E17" s="209" t="str">
        <f>IFERROR(__xludf.DUMMYFUNCTION("""COMPUTED_VALUE"""),"Chilufya Loisa Njavwa ")</f>
        <v>Chilufya Loisa Njavwa </v>
      </c>
      <c r="F17" s="209" t="str">
        <f>IFERROR(__xludf.DUMMYFUNCTION("""COMPUTED_VALUE"""),"Mushipe Angel Tasimbiswa")</f>
        <v>Mushipe Angel Tasimbiswa</v>
      </c>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COUNTIF(LS1B!J5:J31,"E")</f>
        <v>4</v>
      </c>
      <c r="D18" s="209" t="str">
        <f>IFERROR(__xludf.DUMMYFUNCTION("TRANSPOSE(FILTER(LS1B!B:B, LS1B!J:J=""E""))"),"Ncube Nkosazana")</f>
        <v>Ncube Nkosazana</v>
      </c>
      <c r="E18" s="209" t="str">
        <f>IFERROR(__xludf.DUMMYFUNCTION("""COMPUTED_VALUE"""),"Kyalusanza Mukwami")</f>
        <v>Kyalusanza Mukwami</v>
      </c>
      <c r="F18" s="209" t="str">
        <f>IFERROR(__xludf.DUMMYFUNCTION("""COMPUTED_VALUE"""),"Hamze Jaad")</f>
        <v>Hamze Jaad</v>
      </c>
      <c r="G18" s="209" t="str">
        <f>IFERROR(__xludf.DUMMYFUNCTION("""COMPUTED_VALUE"""),"Bhagchandani Maahi")</f>
        <v>Bhagchandani Maahi</v>
      </c>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COUNTIF(LS1B!J5:J31,"D")</f>
        <v>8</v>
      </c>
      <c r="D19" s="209" t="str">
        <f>IFERROR(__xludf.DUMMYFUNCTION("TRANSPOSE(FILTER(LS1B!B:B, LS1B!J:J=""D""))"),"Munshi Mahira")</f>
        <v>Munshi Mahira</v>
      </c>
      <c r="E19" s="209" t="str">
        <f>IFERROR(__xludf.DUMMYFUNCTION("""COMPUTED_VALUE"""),"Khalil Sara Ahmed Mohamed")</f>
        <v>Khalil Sara Ahmed Mohamed</v>
      </c>
      <c r="F19" s="209" t="str">
        <f>IFERROR(__xludf.DUMMYFUNCTION("""COMPUTED_VALUE"""),"Mohammed Tasneem")</f>
        <v>Mohammed Tasneem</v>
      </c>
      <c r="G19" s="209" t="str">
        <f>IFERROR(__xludf.DUMMYFUNCTION("""COMPUTED_VALUE"""),"Ghumra Shazneen")</f>
        <v>Ghumra Shazneen</v>
      </c>
      <c r="H19" s="209" t="str">
        <f>IFERROR(__xludf.DUMMYFUNCTION("""COMPUTED_VALUE"""),"Pardesi Mariam")</f>
        <v>Pardesi Mariam</v>
      </c>
      <c r="I19" s="209" t="str">
        <f>IFERROR(__xludf.DUMMYFUNCTION("""COMPUTED_VALUE"""),"Mutena Michelle")</f>
        <v>Mutena Michelle</v>
      </c>
      <c r="J19" s="209" t="str">
        <f>IFERROR(__xludf.DUMMYFUNCTION("""COMPUTED_VALUE"""),"Bredt Bupe")</f>
        <v>Bredt Bupe</v>
      </c>
      <c r="K19" s="209" t="str">
        <f>IFERROR(__xludf.DUMMYFUNCTION("""COMPUTED_VALUE"""),"Kalupahana Kevin")</f>
        <v>Kalupahana Kevin</v>
      </c>
      <c r="L19" s="209"/>
      <c r="M19" s="209"/>
      <c r="N19" s="209"/>
      <c r="O19" s="209"/>
      <c r="P19" s="209"/>
      <c r="Q19" s="209"/>
      <c r="R19" s="209"/>
      <c r="S19" s="209"/>
      <c r="T19" s="209"/>
      <c r="U19" s="209"/>
      <c r="V19" s="209"/>
      <c r="W19" s="209"/>
      <c r="X19" s="209"/>
      <c r="Y19" s="209"/>
      <c r="Z19" s="209"/>
      <c r="AA19" s="209"/>
    </row>
    <row r="20">
      <c r="A20" s="441"/>
      <c r="B20" s="440" t="s">
        <v>90</v>
      </c>
      <c r="C20" s="440">
        <f>COUNTIF(LS1B!J5:J31,"C")</f>
        <v>4</v>
      </c>
      <c r="D20" s="209" t="str">
        <f>IFERROR(__xludf.DUMMYFUNCTION("TRANSPOSE(FILTER(LS1B!B:B, LS1B!J:J=""C""))"),"Sanderse Chendi")</f>
        <v>Sanderse Chendi</v>
      </c>
      <c r="E20" s="209" t="str">
        <f>IFERROR(__xludf.DUMMYFUNCTION("""COMPUTED_VALUE"""),"Mutombo Marlo Mande")</f>
        <v>Mutombo Marlo Mande</v>
      </c>
      <c r="F20" s="209" t="str">
        <f>IFERROR(__xludf.DUMMYFUNCTION("""COMPUTED_VALUE"""),"Mwamba Mwamba")</f>
        <v>Mwamba Mwamba</v>
      </c>
      <c r="G20" s="209" t="str">
        <f>IFERROR(__xludf.DUMMYFUNCTION("""COMPUTED_VALUE"""),"Nacidze Raquel")</f>
        <v>Nacidze Raquel</v>
      </c>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COUNTIF(LS1B!J5:J31,"B")</f>
        <v>3</v>
      </c>
      <c r="D21" s="209" t="str">
        <f>IFERROR(__xludf.DUMMYFUNCTION("TRANSPOSE(FILTER(LS1B!B:B, LS1B!J:J=""B""))"),"Mavhunga Mukudzei")</f>
        <v>Mavhunga Mukudzei</v>
      </c>
      <c r="E21" s="209" t="str">
        <f>IFERROR(__xludf.DUMMYFUNCTION("""COMPUTED_VALUE"""),"Shimwambwa Natalie")</f>
        <v>Shimwambwa Natalie</v>
      </c>
      <c r="F21" s="209" t="str">
        <f>IFERROR(__xludf.DUMMYFUNCTION("""COMPUTED_VALUE"""),"Pathak Akshat")</f>
        <v>Pathak Akshat</v>
      </c>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COUNTIF(LS1B!J5:J31,"A")</f>
        <v>2</v>
      </c>
      <c r="D22" s="209" t="str">
        <f>IFERROR(__xludf.DUMMYFUNCTION("TRANSPOSE(FILTER(LS1B!B:B, LS1B!J:J=""A""))"),"Rakindas Rijith Hayagriv")</f>
        <v>Rakindas Rijith Hayagriv</v>
      </c>
      <c r="E22" s="209" t="str">
        <f>IFERROR(__xludf.DUMMYFUNCTION("""COMPUTED_VALUE"""),"Konnur Vibha")</f>
        <v>Konnur Vibha</v>
      </c>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COUNTIF(LS1B!J5:J31,"A~*")</f>
        <v>0</v>
      </c>
      <c r="D23" s="209" t="str">
        <f>IFERROR(__xludf.DUMMYFUNCTION("TRANSPOSE(FILTER(LS1B!B:B, LS1B!J:J=""A*""))"),"#N/A")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140</v>
      </c>
      <c r="C25" s="440">
        <f>COUNTIF(LS1B!N5:N31,"U")</f>
        <v>0</v>
      </c>
      <c r="D25" s="209" t="str">
        <f>IFERROR(__xludf.DUMMYFUNCTION("TRANSPOSE(FILTER(LS1B!B:B, LS1B!N:N=""U""))"),"#N/A")</f>
        <v>#N/A</v>
      </c>
      <c r="E25" s="209"/>
      <c r="F25" s="209"/>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COUNTIF(LS1B!N5:N31,"G")</f>
        <v>1</v>
      </c>
      <c r="D26" s="209" t="str">
        <f>IFERROR(__xludf.DUMMYFUNCTION("TRANSPOSE(FILTER(LS1B!B:B, LS1B!N:N=""G""))"),"Pandor Aila Ishmail")</f>
        <v>Pandor Aila Ishmail</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COUNTIF(LS1B!N5:N31,"F")</f>
        <v>3</v>
      </c>
      <c r="D27" s="209" t="str">
        <f>IFERROR(__xludf.DUMMYFUNCTION("TRANSPOSE(FILTER(LS1B!B:B, LS1B!N:N=""F""))"),"Mutena Michelle")</f>
        <v>Mutena Michelle</v>
      </c>
      <c r="E27" s="209" t="str">
        <f>IFERROR(__xludf.DUMMYFUNCTION("""COMPUTED_VALUE"""),"Hamze Jaad")</f>
        <v>Hamze Jaad</v>
      </c>
      <c r="F27" s="209" t="str">
        <f>IFERROR(__xludf.DUMMYFUNCTION("""COMPUTED_VALUE"""),"Jeri Ethan Moses")</f>
        <v>Jeri Ethan Moses</v>
      </c>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COUNTIF(LS1B!N5:N31,"E")</f>
        <v>4</v>
      </c>
      <c r="D28" s="209" t="str">
        <f>IFERROR(__xludf.DUMMYFUNCTION("TRANSPOSE(FILTER(LS1B!B:B, LS1B!N:N=""E""))"),"Maponga Taonga")</f>
        <v>Maponga Taonga</v>
      </c>
      <c r="E28" s="209" t="str">
        <f>IFERROR(__xludf.DUMMYFUNCTION("""COMPUTED_VALUE"""),"Chilufya Loisa Njavwa ")</f>
        <v>Chilufya Loisa Njavwa </v>
      </c>
      <c r="F28" s="209" t="str">
        <f>IFERROR(__xludf.DUMMYFUNCTION("""COMPUTED_VALUE"""),"Mushipe Angel Tasimbiswa")</f>
        <v>Mushipe Angel Tasimbiswa</v>
      </c>
      <c r="G28" s="209" t="str">
        <f>IFERROR(__xludf.DUMMYFUNCTION("""COMPUTED_VALUE"""),"Bhagchandani Maahi")</f>
        <v>Bhagchandani Maahi</v>
      </c>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COUNTIF(LS1B!N5:N31,"D")</f>
        <v>6</v>
      </c>
      <c r="D29" s="209" t="str">
        <f>IFERROR(__xludf.DUMMYFUNCTION("TRANSPOSE(FILTER(LS1B!B:B, LS1B!N:N=""D""))"),"Nhundu Nokutenda")</f>
        <v>Nhundu Nokutenda</v>
      </c>
      <c r="E29" s="209" t="str">
        <f>IFERROR(__xludf.DUMMYFUNCTION("""COMPUTED_VALUE"""),"Ncube Nkosazana")</f>
        <v>Ncube Nkosazana</v>
      </c>
      <c r="F29" s="209" t="str">
        <f>IFERROR(__xludf.DUMMYFUNCTION("""COMPUTED_VALUE"""),"Munshi Mahira")</f>
        <v>Munshi Mahira</v>
      </c>
      <c r="G29" s="209" t="str">
        <f>IFERROR(__xludf.DUMMYFUNCTION("""COMPUTED_VALUE"""),"Khalil Sara Ahmed Mohamed")</f>
        <v>Khalil Sara Ahmed Mohamed</v>
      </c>
      <c r="H29" s="209" t="str">
        <f>IFERROR(__xludf.DUMMYFUNCTION("""COMPUTED_VALUE"""),"Mwamba Mwamba")</f>
        <v>Mwamba Mwamba</v>
      </c>
      <c r="I29" s="209" t="str">
        <f>IFERROR(__xludf.DUMMYFUNCTION("""COMPUTED_VALUE"""),"Kalupahana Kevin")</f>
        <v>Kalupahana Kevin</v>
      </c>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COUNTIF(LS1B!N5:N31,"C")</f>
        <v>6</v>
      </c>
      <c r="D30" s="209" t="str">
        <f>IFERROR(__xludf.DUMMYFUNCTION("TRANSPOSE(FILTER(LS1B!B:B, LS1B!N:N=""C""))"),"Sanderse Chendi")</f>
        <v>Sanderse Chendi</v>
      </c>
      <c r="E30" s="209" t="str">
        <f>IFERROR(__xludf.DUMMYFUNCTION("""COMPUTED_VALUE"""),"Kyalusanza Mukwami")</f>
        <v>Kyalusanza Mukwami</v>
      </c>
      <c r="F30" s="209" t="str">
        <f>IFERROR(__xludf.DUMMYFUNCTION("""COMPUTED_VALUE"""),"Ghumra Shazneen")</f>
        <v>Ghumra Shazneen</v>
      </c>
      <c r="G30" s="209" t="str">
        <f>IFERROR(__xludf.DUMMYFUNCTION("""COMPUTED_VALUE"""),"Pardesi Mariam")</f>
        <v>Pardesi Mariam</v>
      </c>
      <c r="H30" s="209" t="str">
        <f>IFERROR(__xludf.DUMMYFUNCTION("""COMPUTED_VALUE"""),"Nacidze Raquel")</f>
        <v>Nacidze Raquel</v>
      </c>
      <c r="I30" s="209" t="str">
        <f>IFERROR(__xludf.DUMMYFUNCTION("""COMPUTED_VALUE"""),"Bredt Bupe")</f>
        <v>Bredt Bupe</v>
      </c>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COUNTIF(LS1B!N5:N31,"B")</f>
        <v>3</v>
      </c>
      <c r="D31" s="209" t="str">
        <f>IFERROR(__xludf.DUMMYFUNCTION("TRANSPOSE(FILTER(LS1B!B:B, LS1B!N:N=""B""))"),"Mavhunga Mukudzei")</f>
        <v>Mavhunga Mukudzei</v>
      </c>
      <c r="E31" s="209" t="str">
        <f>IFERROR(__xludf.DUMMYFUNCTION("""COMPUTED_VALUE"""),"Mohammed Tasneem")</f>
        <v>Mohammed Tasneem</v>
      </c>
      <c r="F31" s="209" t="str">
        <f>IFERROR(__xludf.DUMMYFUNCTION("""COMPUTED_VALUE"""),"Shimwambwa Natalie")</f>
        <v>Shimwambwa Natalie</v>
      </c>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COUNTIF(LS1B!N5:N31,"A")</f>
        <v>3</v>
      </c>
      <c r="D32" s="209" t="str">
        <f>IFERROR(__xludf.DUMMYFUNCTION("TRANSPOSE(FILTER(LS1B!B:B, LS1B!N:N=""A""))"),"Konnur Vibha")</f>
        <v>Konnur Vibha</v>
      </c>
      <c r="E32" s="209" t="str">
        <f>IFERROR(__xludf.DUMMYFUNCTION("""COMPUTED_VALUE"""),"Mutombo Marlo Mande")</f>
        <v>Mutombo Marlo Mande</v>
      </c>
      <c r="F32" s="209" t="str">
        <f>IFERROR(__xludf.DUMMYFUNCTION("""COMPUTED_VALUE"""),"Pathak Akshat")</f>
        <v>Pathak Akshat</v>
      </c>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COUNTIF(LS1B!N5:N31,"A~*")</f>
        <v>1</v>
      </c>
      <c r="D33" s="209" t="str">
        <f>IFERROR(__xludf.DUMMYFUNCTION("TRANSPOSE(FILTER(LS1B!B:B, LS1B!N:N=""A*""))"),"Rakindas Rijith Hayagriv")</f>
        <v>Rakindas Rijith Hayagriv</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COUNTIF(LS1B!R5:R31,"U")</f>
        <v>0</v>
      </c>
      <c r="D35" s="209" t="str">
        <f>IFERROR(__xludf.DUMMYFUNCTION("TRANSPOSE(FILTER(LS1B!B:B, LS1B!R:R=""U""))"),"#N/A")</f>
        <v>#N/A</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COUNTIF(LS1B!R5:R31,"G")</f>
        <v>1</v>
      </c>
      <c r="D36" s="209" t="str">
        <f>IFERROR(__xludf.DUMMYFUNCTION("TRANSPOSE(FILTER(LS1B!B:B, LS1B!R:R=""G""))"),"Jeri Ethan Moses")</f>
        <v>Jeri Ethan Moses</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COUNTIF(LS1B!R5:R31,"F")</f>
        <v>0</v>
      </c>
      <c r="D37" s="209" t="str">
        <f>IFERROR(__xludf.DUMMYFUNCTION("TRANSPOSE(FILTER(LS1B!B:B, LS1B!R:R=""F""))"),"#N/A")</f>
        <v>#N/A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COUNTIF(LS1B!R5:R31,"E")</f>
        <v>3</v>
      </c>
      <c r="D38" s="209" t="str">
        <f>IFERROR(__xludf.DUMMYFUNCTION("TRANSPOSE(FILTER(LS1B!B:B, LS1B!R:R=""E""))"),"Pandor Aila Ishmail")</f>
        <v>Pandor Aila Ishmail</v>
      </c>
      <c r="E38" s="209" t="str">
        <f>IFERROR(__xludf.DUMMYFUNCTION("""COMPUTED_VALUE"""),"Kyalusanza Mukwami")</f>
        <v>Kyalusanza Mukwami</v>
      </c>
      <c r="F38" s="209" t="str">
        <f>IFERROR(__xludf.DUMMYFUNCTION("""COMPUTED_VALUE"""),"Kalupahana Kevin")</f>
        <v>Kalupahana Kevin</v>
      </c>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COUNTIF(LS1B!R5:R31,"D")</f>
        <v>6</v>
      </c>
      <c r="D39" s="209" t="str">
        <f>IFERROR(__xludf.DUMMYFUNCTION("TRANSPOSE(FILTER(LS1B!B:B, LS1B!R:R=""D""))"),"Maponga Taonga")</f>
        <v>Maponga Taonga</v>
      </c>
      <c r="E39" s="209" t="str">
        <f>IFERROR(__xludf.DUMMYFUNCTION("""COMPUTED_VALUE"""),"Sanderse Chendi")</f>
        <v>Sanderse Chendi</v>
      </c>
      <c r="F39" s="209" t="str">
        <f>IFERROR(__xludf.DUMMYFUNCTION("""COMPUTED_VALUE"""),"Mohammed Tasneem")</f>
        <v>Mohammed Tasneem</v>
      </c>
      <c r="G39" s="209" t="str">
        <f>IFERROR(__xludf.DUMMYFUNCTION("""COMPUTED_VALUE"""),"Pardesi Mariam")</f>
        <v>Pardesi Mariam</v>
      </c>
      <c r="H39" s="209" t="str">
        <f>IFERROR(__xludf.DUMMYFUNCTION("""COMPUTED_VALUE"""),"Nacidze Raquel")</f>
        <v>Nacidze Raquel</v>
      </c>
      <c r="I39" s="209" t="str">
        <f>IFERROR(__xludf.DUMMYFUNCTION("""COMPUTED_VALUE"""),"Hamze Jaad")</f>
        <v>Hamze Jaad</v>
      </c>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COUNTIF(LS1B!R5:R31,"C")</f>
        <v>8</v>
      </c>
      <c r="D40" s="209" t="str">
        <f>IFERROR(__xludf.DUMMYFUNCTION("TRANSPOSE(FILTER(LS1B!B:B, LS1B!R:R=""C""))"),"Chilufya Loisa Njavwa ")</f>
        <v>Chilufya Loisa Njavwa </v>
      </c>
      <c r="E40" s="209" t="str">
        <f>IFERROR(__xludf.DUMMYFUNCTION("""COMPUTED_VALUE"""),"Munshi Mahira")</f>
        <v>Munshi Mahira</v>
      </c>
      <c r="F40" s="209" t="str">
        <f>IFERROR(__xludf.DUMMYFUNCTION("""COMPUTED_VALUE"""),"Mavhunga Mukudzei")</f>
        <v>Mavhunga Mukudzei</v>
      </c>
      <c r="G40" s="209" t="str">
        <f>IFERROR(__xludf.DUMMYFUNCTION("""COMPUTED_VALUE"""),"Mutombo Marlo Mande")</f>
        <v>Mutombo Marlo Mande</v>
      </c>
      <c r="H40" s="209" t="str">
        <f>IFERROR(__xludf.DUMMYFUNCTION("""COMPUTED_VALUE"""),"Mushipe Angel Tasimbiswa")</f>
        <v>Mushipe Angel Tasimbiswa</v>
      </c>
      <c r="I40" s="209" t="str">
        <f>IFERROR(__xludf.DUMMYFUNCTION("""COMPUTED_VALUE"""),"Ghumra Shazneen")</f>
        <v>Ghumra Shazneen</v>
      </c>
      <c r="J40" s="209" t="str">
        <f>IFERROR(__xludf.DUMMYFUNCTION("""COMPUTED_VALUE"""),"Bredt Bupe")</f>
        <v>Bredt Bupe</v>
      </c>
      <c r="K40" s="209" t="str">
        <f>IFERROR(__xludf.DUMMYFUNCTION("""COMPUTED_VALUE"""),"Bhagchandani Maahi")</f>
        <v>Bhagchandani Maahi</v>
      </c>
      <c r="L40" s="209"/>
      <c r="M40" s="209"/>
      <c r="N40" s="209"/>
      <c r="O40" s="209"/>
      <c r="P40" s="209"/>
      <c r="Q40" s="209"/>
      <c r="R40" s="209"/>
      <c r="S40" s="209"/>
      <c r="T40" s="209"/>
      <c r="U40" s="209"/>
      <c r="V40" s="209"/>
      <c r="W40" s="209"/>
      <c r="X40" s="209"/>
      <c r="Y40" s="209"/>
      <c r="Z40" s="209"/>
      <c r="AA40" s="209"/>
    </row>
    <row r="41">
      <c r="A41" s="441"/>
      <c r="B41" s="440" t="s">
        <v>87</v>
      </c>
      <c r="C41" s="440">
        <f>COUNTIF(LS1B!R5:R31,"B")</f>
        <v>7</v>
      </c>
      <c r="D41" s="209" t="str">
        <f>IFERROR(__xludf.DUMMYFUNCTION("TRANSPOSE(FILTER(LS1B!B:B, LS1B!R:R=""B""))"),"Nhundu Nokutenda")</f>
        <v>Nhundu Nokutenda</v>
      </c>
      <c r="E41" s="209" t="str">
        <f>IFERROR(__xludf.DUMMYFUNCTION("""COMPUTED_VALUE"""),"Ncube Nkosazana")</f>
        <v>Ncube Nkosazana</v>
      </c>
      <c r="F41" s="209" t="str">
        <f>IFERROR(__xludf.DUMMYFUNCTION("""COMPUTED_VALUE"""),"Konnur Vibha")</f>
        <v>Konnur Vibha</v>
      </c>
      <c r="G41" s="209" t="str">
        <f>IFERROR(__xludf.DUMMYFUNCTION("""COMPUTED_VALUE"""),"Khalil Sara Ahmed Mohamed")</f>
        <v>Khalil Sara Ahmed Mohamed</v>
      </c>
      <c r="H41" s="209" t="str">
        <f>IFERROR(__xludf.DUMMYFUNCTION("""COMPUTED_VALUE"""),"Mwamba Mwamba")</f>
        <v>Mwamba Mwamba</v>
      </c>
      <c r="I41" s="209" t="str">
        <f>IFERROR(__xludf.DUMMYFUNCTION("""COMPUTED_VALUE"""),"Pathak Akshat")</f>
        <v>Pathak Akshat</v>
      </c>
      <c r="J41" s="209" t="str">
        <f>IFERROR(__xludf.DUMMYFUNCTION("""COMPUTED_VALUE"""),"Mutena Michelle")</f>
        <v>Mutena Michelle</v>
      </c>
      <c r="K41" s="209"/>
      <c r="L41" s="209"/>
      <c r="M41" s="209"/>
      <c r="N41" s="209"/>
      <c r="O41" s="209"/>
      <c r="P41" s="209"/>
      <c r="Q41" s="209"/>
      <c r="R41" s="209"/>
      <c r="S41" s="209"/>
      <c r="T41" s="209"/>
      <c r="U41" s="209"/>
      <c r="V41" s="209"/>
      <c r="W41" s="209"/>
      <c r="X41" s="209"/>
      <c r="Y41" s="209"/>
      <c r="Z41" s="209"/>
      <c r="AA41" s="209"/>
    </row>
    <row r="42">
      <c r="A42" s="441"/>
      <c r="B42" s="440" t="s">
        <v>85</v>
      </c>
      <c r="C42" s="440">
        <f>COUNTIF(LS1B!R5:R31,"A")</f>
        <v>2</v>
      </c>
      <c r="D42" s="209" t="str">
        <f>IFERROR(__xludf.DUMMYFUNCTION("TRANSPOSE(FILTER(LS1B!B:B, LS1B!R:R=""A""))"),"Rakindas Rijith Hayagriv")</f>
        <v>Rakindas Rijith Hayagriv</v>
      </c>
      <c r="E42" s="209" t="str">
        <f>IFERROR(__xludf.DUMMYFUNCTION("""COMPUTED_VALUE"""),"Shimwambwa Natalie")</f>
        <v>Shimwambwa Natalie</v>
      </c>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COUNTIF(LS1B!R5:R31,"A~*")</f>
        <v>0</v>
      </c>
      <c r="D43" s="209" t="str">
        <f>IFERROR(__xludf.DUMMYFUNCTION("TRANSPOSE(FILTER(LS1B!B:B, LS1B!R:R=""A*""))"),"#N/A")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COUNTIF(LS1B!Z5:Z31,"U")</f>
        <v>0</v>
      </c>
      <c r="D45" s="209" t="str">
        <f>IFERROR(__xludf.DUMMYFUNCTION("TRANSPOSE(FILTER(LS1B!B:B, LS1B!Z:Z=""U""))"),"#N/A")</f>
        <v>#N/A</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COUNTIF(LS1B!Z5:Z31,"G")</f>
        <v>0</v>
      </c>
      <c r="D46" s="209" t="str">
        <f>IFERROR(__xludf.DUMMYFUNCTION("TRANSPOSE(FILTER(LS1B!B:B, LS1B!Z:Z=""G""))"),"#N/A")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COUNTIF(LS1B!Z5:Z31,"F")</f>
        <v>0</v>
      </c>
      <c r="D47" s="209" t="str">
        <f>IFERROR(__xludf.DUMMYFUNCTION("TRANSPOSE(FILTER(LS1B!B:B, LS1B!Z:Z=""F""))"),"#N/A")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COUNTIF(LS1B!Z5:Z31,"E")</f>
        <v>1</v>
      </c>
      <c r="D48" s="209" t="str">
        <f>IFERROR(__xludf.DUMMYFUNCTION("TRANSPOSE(FILTER(LS1B!B:B, LS1B!Z:Z=""E""))"),"Pandor Aila Ishmail")</f>
        <v>Pandor Aila Ishmail</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COUNTIF(LS1B!Z5:Z31,"D")</f>
        <v>2</v>
      </c>
      <c r="D49" s="209" t="str">
        <f>IFERROR(__xludf.DUMMYFUNCTION("TRANSPOSE(FILTER(LS1B!B:B, LS1B!Z:Z=""D""))"),"Maponga Taonga")</f>
        <v>Maponga Taonga</v>
      </c>
      <c r="E49" s="209" t="str">
        <f>IFERROR(__xludf.DUMMYFUNCTION("""COMPUTED_VALUE"""),"Jeri Ethan Moses")</f>
        <v>Jeri Ethan Moses</v>
      </c>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COUNTIF(LS1B!Z5:Z31,"C")</f>
        <v>11</v>
      </c>
      <c r="D50" s="209" t="str">
        <f>IFERROR(__xludf.DUMMYFUNCTION("TRANSPOSE(FILTER(LS1B!B:B, LS1B!Z:Z=""C""))"),"Nhundu Nokutenda")</f>
        <v>Nhundu Nokutenda</v>
      </c>
      <c r="E50" s="209" t="str">
        <f>IFERROR(__xludf.DUMMYFUNCTION("""COMPUTED_VALUE"""),"Mavhunga Mukudzei")</f>
        <v>Mavhunga Mukudzei</v>
      </c>
      <c r="F50" s="209" t="str">
        <f>IFERROR(__xludf.DUMMYFUNCTION("""COMPUTED_VALUE"""),"Sanderse Chendi")</f>
        <v>Sanderse Chendi</v>
      </c>
      <c r="G50" s="209" t="str">
        <f>IFERROR(__xludf.DUMMYFUNCTION("""COMPUTED_VALUE"""),"Mushipe Angel Tasimbiswa")</f>
        <v>Mushipe Angel Tasimbiswa</v>
      </c>
      <c r="H50" s="209" t="str">
        <f>IFERROR(__xludf.DUMMYFUNCTION("""COMPUTED_VALUE"""),"Kyalusanza Mukwami")</f>
        <v>Kyalusanza Mukwami</v>
      </c>
      <c r="I50" s="209" t="str">
        <f>IFERROR(__xludf.DUMMYFUNCTION("""COMPUTED_VALUE"""),"Mwamba Mwamba")</f>
        <v>Mwamba Mwamba</v>
      </c>
      <c r="J50" s="209" t="str">
        <f>IFERROR(__xludf.DUMMYFUNCTION("""COMPUTED_VALUE"""),"Ghumra Shazneen")</f>
        <v>Ghumra Shazneen</v>
      </c>
      <c r="K50" s="209" t="str">
        <f>IFERROR(__xludf.DUMMYFUNCTION("""COMPUTED_VALUE"""),"Mutena Michelle")</f>
        <v>Mutena Michelle</v>
      </c>
      <c r="L50" s="209" t="str">
        <f>IFERROR(__xludf.DUMMYFUNCTION("""COMPUTED_VALUE"""),"Bredt Bupe")</f>
        <v>Bredt Bupe</v>
      </c>
      <c r="M50" s="209" t="str">
        <f>IFERROR(__xludf.DUMMYFUNCTION("""COMPUTED_VALUE"""),"Kalupahana Kevin")</f>
        <v>Kalupahana Kevin</v>
      </c>
      <c r="N50" s="209" t="str">
        <f>IFERROR(__xludf.DUMMYFUNCTION("""COMPUTED_VALUE"""),"Bhagchandani Maahi")</f>
        <v>Bhagchandani Maahi</v>
      </c>
      <c r="O50" s="209"/>
      <c r="P50" s="209"/>
      <c r="Q50" s="209"/>
      <c r="R50" s="209"/>
      <c r="S50" s="209"/>
      <c r="T50" s="209"/>
      <c r="U50" s="209"/>
      <c r="V50" s="209"/>
      <c r="W50" s="209"/>
      <c r="X50" s="209"/>
      <c r="Y50" s="209"/>
      <c r="Z50" s="209"/>
      <c r="AA50" s="209"/>
    </row>
    <row r="51">
      <c r="A51" s="441"/>
      <c r="B51" s="440" t="s">
        <v>87</v>
      </c>
      <c r="C51" s="440">
        <f>COUNTIF(LS1B!Z5:Z31,"B")</f>
        <v>5</v>
      </c>
      <c r="D51" s="209" t="str">
        <f>IFERROR(__xludf.DUMMYFUNCTION("TRANSPOSE(FILTER(LS1B!B:B, LS1B!Z:Z=""B""))"),"Ncube Nkosazana")</f>
        <v>Ncube Nkosazana</v>
      </c>
      <c r="E51" s="209" t="str">
        <f>IFERROR(__xludf.DUMMYFUNCTION("""COMPUTED_VALUE"""),"Munshi Mahira")</f>
        <v>Munshi Mahira</v>
      </c>
      <c r="F51" s="209" t="str">
        <f>IFERROR(__xludf.DUMMYFUNCTION("""COMPUTED_VALUE"""),"Mutombo Marlo Mande")</f>
        <v>Mutombo Marlo Mande</v>
      </c>
      <c r="G51" s="209" t="str">
        <f>IFERROR(__xludf.DUMMYFUNCTION("""COMPUTED_VALUE"""),"Nacidze Raquel")</f>
        <v>Nacidze Raquel</v>
      </c>
      <c r="H51" s="209" t="str">
        <f>IFERROR(__xludf.DUMMYFUNCTION("""COMPUTED_VALUE"""),"Hamze Jaad")</f>
        <v>Hamze Jaad</v>
      </c>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COUNTIF(LS1B!Z5:Z31,"A")</f>
        <v>6</v>
      </c>
      <c r="D52" s="209" t="str">
        <f>IFERROR(__xludf.DUMMYFUNCTION("TRANSPOSE(FILTER(LS1B!B:B, LS1B!Z:Z=""A""))"),"Konnur Vibha")</f>
        <v>Konnur Vibha</v>
      </c>
      <c r="E52" s="209" t="str">
        <f>IFERROR(__xludf.DUMMYFUNCTION("""COMPUTED_VALUE"""),"Khalil Sara Ahmed Mohamed")</f>
        <v>Khalil Sara Ahmed Mohamed</v>
      </c>
      <c r="F52" s="209" t="str">
        <f>IFERROR(__xludf.DUMMYFUNCTION("""COMPUTED_VALUE"""),"Mohammed Tasneem")</f>
        <v>Mohammed Tasneem</v>
      </c>
      <c r="G52" s="209" t="str">
        <f>IFERROR(__xludf.DUMMYFUNCTION("""COMPUTED_VALUE"""),"Shimwambwa Natalie")</f>
        <v>Shimwambwa Natalie</v>
      </c>
      <c r="H52" s="209" t="str">
        <f>IFERROR(__xludf.DUMMYFUNCTION("""COMPUTED_VALUE"""),"Pathak Akshat")</f>
        <v>Pathak Akshat</v>
      </c>
      <c r="I52" s="209" t="str">
        <f>IFERROR(__xludf.DUMMYFUNCTION("""COMPUTED_VALUE"""),"Pardesi Mariam")</f>
        <v>Pardesi Mariam</v>
      </c>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COUNTIF(LS1B!Z5:Z31,"A~*")</f>
        <v>2</v>
      </c>
      <c r="D53" s="209" t="str">
        <f>IFERROR(__xludf.DUMMYFUNCTION("TRANSPOSE(FILTER(LS1B!B:B, LS1B!Z:Z=""A*""))"),"Chilufya Loisa Njavwa ")</f>
        <v>Chilufya Loisa Njavwa </v>
      </c>
      <c r="E53" s="209" t="str">
        <f>IFERROR(__xludf.DUMMYFUNCTION("""COMPUTED_VALUE"""),"Rakindas Rijith Hayagriv")</f>
        <v>Rakindas Rijith Hayagriv</v>
      </c>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COUNTIF(LS1B!AD5:AD31,"U")</f>
        <v>1</v>
      </c>
      <c r="D55" s="209" t="str">
        <f>IFERROR(__xludf.DUMMYFUNCTION("TRANSPOSE(FILTER(LS1B!B:B, LS1B!AD:AD=""U""))"),"Jeri Ethan Moses")</f>
        <v>Jeri Ethan Moses</v>
      </c>
      <c r="E55" s="209"/>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COUNTIF(LS1B!AD5:AD31,"G")</f>
        <v>0</v>
      </c>
      <c r="D56" s="209" t="str">
        <f>IFERROR(__xludf.DUMMYFUNCTION("TRANSPOSE(FILTER(LS1B!B:B, LS1B!AD:AD=""G""))"),"#N/A")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COUNTIF(LS1B!AD5:AD31,"F")</f>
        <v>0</v>
      </c>
      <c r="D57" s="209" t="str">
        <f>IFERROR(__xludf.DUMMYFUNCTION("TRANSPOSE(FILTER(LS1B!B:B, LS1B!AD:AD=""F""))"),"#N/A")</f>
        <v>#N/A</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COUNTIF(LS1B!AD5:AD31,"E")</f>
        <v>5</v>
      </c>
      <c r="D58" s="209" t="str">
        <f>IFERROR(__xludf.DUMMYFUNCTION("TRANSPOSE(FILTER(LS1B!B:B, LS1B!AD:AD=""E""))"),"Maponga Taonga")</f>
        <v>Maponga Taonga</v>
      </c>
      <c r="E58" s="209" t="str">
        <f>IFERROR(__xludf.DUMMYFUNCTION("""COMPUTED_VALUE"""),"Khalil Sara Ahmed Mohamed")</f>
        <v>Khalil Sara Ahmed Mohamed</v>
      </c>
      <c r="F58" s="209" t="str">
        <f>IFERROR(__xludf.DUMMYFUNCTION("""COMPUTED_VALUE"""),"Pandor Aila Ishmail")</f>
        <v>Pandor Aila Ishmail</v>
      </c>
      <c r="G58" s="209" t="str">
        <f>IFERROR(__xludf.DUMMYFUNCTION("""COMPUTED_VALUE"""),"Kyalusanza Mukwami")</f>
        <v>Kyalusanza Mukwami</v>
      </c>
      <c r="H58" s="209" t="str">
        <f>IFERROR(__xludf.DUMMYFUNCTION("""COMPUTED_VALUE"""),"Hamze Jaad")</f>
        <v>Hamze Jaad</v>
      </c>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COUNTIF(LS1B!AD5:AD31,"D")</f>
        <v>1</v>
      </c>
      <c r="D59" s="209" t="str">
        <f>IFERROR(__xludf.DUMMYFUNCTION("TRANSPOSE(FILTER(LS1B!B:B, LS1B!AD:AD=""D""))"),"Bhagchandani Maahi")</f>
        <v>Bhagchandani Maahi</v>
      </c>
      <c r="E59" s="209"/>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COUNTIF(LS1B!AD5:AD31,"C")</f>
        <v>3</v>
      </c>
      <c r="D60" s="209" t="str">
        <f>IFERROR(__xludf.DUMMYFUNCTION("TRANSPOSE(FILTER(LS1A!B:B, LS1B!AD:AD=""C""))"),"#N/A")</f>
        <v>#N/A</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COUNTIF(LS1B!AD5:AD31,"B")</f>
        <v>10</v>
      </c>
      <c r="D61" s="209" t="str">
        <f>IFERROR(__xludf.DUMMYFUNCTION("TRANSPOSE(FILTER(LS1B!B:B, LS1B!AD:AD=""B""))"),"Ncube Nkosazana")</f>
        <v>Ncube Nkosazana</v>
      </c>
      <c r="E61" s="209" t="str">
        <f>IFERROR(__xludf.DUMMYFUNCTION("""COMPUTED_VALUE"""),"Munshi Mahira")</f>
        <v>Munshi Mahira</v>
      </c>
      <c r="F61" s="209" t="str">
        <f>IFERROR(__xludf.DUMMYFUNCTION("""COMPUTED_VALUE"""),"Mavhunga Mukudzei")</f>
        <v>Mavhunga Mukudzei</v>
      </c>
      <c r="G61" s="209" t="str">
        <f>IFERROR(__xludf.DUMMYFUNCTION("""COMPUTED_VALUE"""),"Sanderse Chendi")</f>
        <v>Sanderse Chendi</v>
      </c>
      <c r="H61" s="209" t="str">
        <f>IFERROR(__xludf.DUMMYFUNCTION("""COMPUTED_VALUE"""),"Mohammed Tasneem")</f>
        <v>Mohammed Tasneem</v>
      </c>
      <c r="I61" s="209" t="str">
        <f>IFERROR(__xludf.DUMMYFUNCTION("""COMPUTED_VALUE"""),"Mwamba Mwamba")</f>
        <v>Mwamba Mwamba</v>
      </c>
      <c r="J61" s="209" t="str">
        <f>IFERROR(__xludf.DUMMYFUNCTION("""COMPUTED_VALUE"""),"Ghumra Shazneen")</f>
        <v>Ghumra Shazneen</v>
      </c>
      <c r="K61" s="209" t="str">
        <f>IFERROR(__xludf.DUMMYFUNCTION("""COMPUTED_VALUE"""),"Pathak Akshat")</f>
        <v>Pathak Akshat</v>
      </c>
      <c r="L61" s="209" t="str">
        <f>IFERROR(__xludf.DUMMYFUNCTION("""COMPUTED_VALUE"""),"Mutena Michelle")</f>
        <v>Mutena Michelle</v>
      </c>
      <c r="M61" s="209" t="str">
        <f>IFERROR(__xludf.DUMMYFUNCTION("""COMPUTED_VALUE"""),"Kalupahana Kevin")</f>
        <v>Kalupahana Kevin</v>
      </c>
      <c r="N61" s="209"/>
      <c r="O61" s="209"/>
      <c r="P61" s="209"/>
      <c r="Q61" s="209"/>
      <c r="R61" s="209"/>
      <c r="S61" s="209"/>
      <c r="T61" s="209"/>
      <c r="U61" s="209"/>
      <c r="V61" s="209"/>
      <c r="W61" s="209"/>
      <c r="X61" s="209"/>
      <c r="Y61" s="209"/>
      <c r="Z61" s="209"/>
      <c r="AA61" s="209"/>
    </row>
    <row r="62">
      <c r="A62" s="441"/>
      <c r="B62" s="440" t="s">
        <v>85</v>
      </c>
      <c r="C62" s="440">
        <f>COUNTIF(LS1B!AD5:AD31,"A")</f>
        <v>5</v>
      </c>
      <c r="D62" s="209" t="str">
        <f>IFERROR(__xludf.DUMMYFUNCTION("TRANSPOSE(FILTER(LS1B!B:B, LS1B!AD:AD=""A""))"),"Rakindas Rijith Hayagriv")</f>
        <v>Rakindas Rijith Hayagriv</v>
      </c>
      <c r="E62" s="209" t="str">
        <f>IFERROR(__xludf.DUMMYFUNCTION("""COMPUTED_VALUE"""),"Mushipe Angel Tasimbiswa")</f>
        <v>Mushipe Angel Tasimbiswa</v>
      </c>
      <c r="F62" s="209" t="str">
        <f>IFERROR(__xludf.DUMMYFUNCTION("""COMPUTED_VALUE"""),"Shimwambwa Natalie")</f>
        <v>Shimwambwa Natalie</v>
      </c>
      <c r="G62" s="209" t="str">
        <f>IFERROR(__xludf.DUMMYFUNCTION("""COMPUTED_VALUE"""),"Pardesi Mariam")</f>
        <v>Pardesi Mariam</v>
      </c>
      <c r="H62" s="209" t="str">
        <f>IFERROR(__xludf.DUMMYFUNCTION("""COMPUTED_VALUE"""),"Bredt Bupe")</f>
        <v>Bredt Bupe</v>
      </c>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COUNTIF(LS1B!AD5:AD31,"A~*")</f>
        <v>2</v>
      </c>
      <c r="D63" s="209" t="str">
        <f>IFERROR(__xludf.DUMMYFUNCTION("TRANSPOSE(FILTER(LS1B!B:B, LS1B!AD:AD=""A*""))"),"Konnur Vibha")</f>
        <v>Konnur Vibha</v>
      </c>
      <c r="E63" s="209" t="str">
        <f>IFERROR(__xludf.DUMMYFUNCTION("""COMPUTED_VALUE"""),"Mutombo Marlo Mande")</f>
        <v>Mutombo Marlo Mande</v>
      </c>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COUNTIF(LS1B!AH5:AH31,"U")</f>
        <v>0</v>
      </c>
      <c r="D65" s="209" t="str">
        <f>IFERROR(__xludf.DUMMYFUNCTION("TRANSPOSE(FILTER(LS1B!B:B, LS1B!AH:AH=""U""))"),"#N/A")</f>
        <v>#N/A</v>
      </c>
      <c r="E65" s="209"/>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COUNTIF(LS1B!AH5:AH31,"G")</f>
        <v>0</v>
      </c>
      <c r="D66" s="209" t="str">
        <f>IFERROR(__xludf.DUMMYFUNCTION("TRANSPOSE(FILTER(LS1B!B:B, LS1B!AH:AH=""G""))"),"#N/A")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COUNTIF(LS1B!AH5:AH31,"F")</f>
        <v>0</v>
      </c>
      <c r="D67" s="209" t="str">
        <f>IFERROR(__xludf.DUMMYFUNCTION("TRANSPOSE(FILTER(LS1B!B:B, LS1B!AH:AH=""F""))"),"#N/A")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COUNTIF(LS1B!AH5:AH31,"E")</f>
        <v>0</v>
      </c>
      <c r="D68" s="209" t="str">
        <f>IFERROR(__xludf.DUMMYFUNCTION("TRANSPOSE(FILTER(LS1B!B:B, LS1B!AH:AH=""E""))"),"#N/A")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COUNTIF(LS1B!AH5:AH31,"D")</f>
        <v>0</v>
      </c>
      <c r="D69" s="209" t="str">
        <f>IFERROR(__xludf.DUMMYFUNCTION("TRANSPOSE(FILTER(LS1B!B:B, LS1B!AH:AH=""D""))"),"#N/A")</f>
        <v>#N/A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COUNTIF(LS1B!AH5:AH31,"C")</f>
        <v>4</v>
      </c>
      <c r="D70" s="209" t="str">
        <f>IFERROR(__xludf.DUMMYFUNCTION("TRANSPOSE(FILTER(LS1B!B:B, LS1B!AH:AH=""C""))"),"Mushipe Angel Tasimbiswa")</f>
        <v>Mushipe Angel Tasimbiswa</v>
      </c>
      <c r="E70" s="209" t="str">
        <f>IFERROR(__xludf.DUMMYFUNCTION("""COMPUTED_VALUE"""),"Mutena Michelle")</f>
        <v>Mutena Michelle</v>
      </c>
      <c r="F70" s="209" t="str">
        <f>IFERROR(__xludf.DUMMYFUNCTION("""COMPUTED_VALUE"""),"Hamze Jaad")</f>
        <v>Hamze Jaad</v>
      </c>
      <c r="G70" s="209" t="str">
        <f>IFERROR(__xludf.DUMMYFUNCTION("""COMPUTED_VALUE"""),"Kalupahana Kevin")</f>
        <v>Kalupahana Kevin</v>
      </c>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COUNTIF(LS1B!AH5:AH31,"B")</f>
        <v>15</v>
      </c>
      <c r="D71" s="209" t="str">
        <f>IFERROR(__xludf.DUMMYFUNCTION("TRANSPOSE(FILTER(LS1B!B:B, LS1B!AH:AH=""B""))"),"Maponga Taonga")</f>
        <v>Maponga Taonga</v>
      </c>
      <c r="E71" s="209" t="str">
        <f>IFERROR(__xludf.DUMMYFUNCTION("""COMPUTED_VALUE"""),"Chilufya Loisa Njavwa ")</f>
        <v>Chilufya Loisa Njavwa </v>
      </c>
      <c r="F71" s="209" t="str">
        <f>IFERROR(__xludf.DUMMYFUNCTION("""COMPUTED_VALUE"""),"Ncube Nkosazana")</f>
        <v>Ncube Nkosazana</v>
      </c>
      <c r="G71" s="209" t="str">
        <f>IFERROR(__xludf.DUMMYFUNCTION("""COMPUTED_VALUE"""),"Munshi Mahira")</f>
        <v>Munshi Mahira</v>
      </c>
      <c r="H71" s="209" t="str">
        <f>IFERROR(__xludf.DUMMYFUNCTION("""COMPUTED_VALUE"""),"Mavhunga Mukudzei")</f>
        <v>Mavhunga Mukudzei</v>
      </c>
      <c r="I71" s="209" t="str">
        <f>IFERROR(__xludf.DUMMYFUNCTION("""COMPUTED_VALUE"""),"Mutombo Marlo Mande")</f>
        <v>Mutombo Marlo Mande</v>
      </c>
      <c r="J71" s="209" t="str">
        <f>IFERROR(__xludf.DUMMYFUNCTION("""COMPUTED_VALUE"""),"Mohammed Tasneem")</f>
        <v>Mohammed Tasneem</v>
      </c>
      <c r="K71" s="209" t="str">
        <f>IFERROR(__xludf.DUMMYFUNCTION("""COMPUTED_VALUE"""),"Pandor Aila Ishmail")</f>
        <v>Pandor Aila Ishmail</v>
      </c>
      <c r="L71" s="209" t="str">
        <f>IFERROR(__xludf.DUMMYFUNCTION("""COMPUTED_VALUE"""),"Shimwambwa Natalie")</f>
        <v>Shimwambwa Natalie</v>
      </c>
      <c r="M71" s="209" t="str">
        <f>IFERROR(__xludf.DUMMYFUNCTION("""COMPUTED_VALUE"""),"Kyalusanza Mukwami")</f>
        <v>Kyalusanza Mukwami</v>
      </c>
      <c r="N71" s="209" t="str">
        <f>IFERROR(__xludf.DUMMYFUNCTION("""COMPUTED_VALUE"""),"Mwamba Mwamba")</f>
        <v>Mwamba Mwamba</v>
      </c>
      <c r="O71" s="209" t="str">
        <f>IFERROR(__xludf.DUMMYFUNCTION("""COMPUTED_VALUE"""),"Pathak Akshat")</f>
        <v>Pathak Akshat</v>
      </c>
      <c r="P71" s="209" t="str">
        <f>IFERROR(__xludf.DUMMYFUNCTION("""COMPUTED_VALUE"""),"Pardesi Mariam")</f>
        <v>Pardesi Mariam</v>
      </c>
      <c r="Q71" s="209" t="str">
        <f>IFERROR(__xludf.DUMMYFUNCTION("""COMPUTED_VALUE"""),"Bhagchandani Maahi")</f>
        <v>Bhagchandani Maahi</v>
      </c>
      <c r="R71" s="209" t="str">
        <f>IFERROR(__xludf.DUMMYFUNCTION("""COMPUTED_VALUE"""),"Jeri Ethan Moses")</f>
        <v>Jeri Ethan Moses</v>
      </c>
      <c r="S71" s="209"/>
      <c r="T71" s="209"/>
      <c r="U71" s="209"/>
      <c r="V71" s="209"/>
      <c r="W71" s="209"/>
      <c r="X71" s="209"/>
      <c r="Y71" s="209"/>
      <c r="Z71" s="209"/>
      <c r="AA71" s="209"/>
    </row>
    <row r="72">
      <c r="A72" s="441"/>
      <c r="B72" s="440" t="s">
        <v>85</v>
      </c>
      <c r="C72" s="440">
        <f>COUNTIF(LS1B!AH5:AH31,"A")</f>
        <v>7</v>
      </c>
      <c r="D72" s="209" t="str">
        <f>IFERROR(__xludf.DUMMYFUNCTION("TRANSPOSE(FILTER(LS1B!B:B, LS1B!AH:AH=""A""))"),"Nhundu Nokutenda")</f>
        <v>Nhundu Nokutenda</v>
      </c>
      <c r="E72" s="209" t="str">
        <f>IFERROR(__xludf.DUMMYFUNCTION("""COMPUTED_VALUE"""),"Rakindas Rijith Hayagriv")</f>
        <v>Rakindas Rijith Hayagriv</v>
      </c>
      <c r="F72" s="209" t="str">
        <f>IFERROR(__xludf.DUMMYFUNCTION("""COMPUTED_VALUE"""),"Sanderse Chendi")</f>
        <v>Sanderse Chendi</v>
      </c>
      <c r="G72" s="209" t="str">
        <f>IFERROR(__xludf.DUMMYFUNCTION("""COMPUTED_VALUE"""),"Khalil Sara Ahmed Mohamed")</f>
        <v>Khalil Sara Ahmed Mohamed</v>
      </c>
      <c r="H72" s="209" t="str">
        <f>IFERROR(__xludf.DUMMYFUNCTION("""COMPUTED_VALUE"""),"Ghumra Shazneen")</f>
        <v>Ghumra Shazneen</v>
      </c>
      <c r="I72" s="209" t="str">
        <f>IFERROR(__xludf.DUMMYFUNCTION("""COMPUTED_VALUE"""),"Nacidze Raquel")</f>
        <v>Nacidze Raquel</v>
      </c>
      <c r="J72" s="209" t="str">
        <f>IFERROR(__xludf.DUMMYFUNCTION("""COMPUTED_VALUE"""),"Bredt Bupe")</f>
        <v>Bredt Bupe</v>
      </c>
      <c r="K72" s="209"/>
      <c r="L72" s="209"/>
      <c r="M72" s="209"/>
      <c r="N72" s="209"/>
      <c r="O72" s="209"/>
      <c r="P72" s="209"/>
      <c r="Q72" s="209"/>
      <c r="R72" s="209"/>
      <c r="S72" s="209"/>
      <c r="T72" s="209"/>
      <c r="U72" s="209"/>
      <c r="V72" s="209"/>
      <c r="W72" s="209"/>
      <c r="X72" s="209"/>
      <c r="Y72" s="209"/>
      <c r="Z72" s="209"/>
      <c r="AA72" s="209"/>
    </row>
    <row r="73">
      <c r="A73" s="441"/>
      <c r="B73" s="440" t="s">
        <v>152</v>
      </c>
      <c r="C73" s="440">
        <f>COUNTIF(LS1B!AH5:AH31,"A~*")</f>
        <v>1</v>
      </c>
      <c r="D73" s="209" t="str">
        <f>IFERROR(__xludf.DUMMYFUNCTION("TRANSPOSE(FILTER(LS1B!B:B, LS1B!AH:AH=""A*""))"),"Konnur Vibha")</f>
        <v>Konnur Vibha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COUNTIF(LS1B!AL5:AL31,"U")</f>
        <v>0</v>
      </c>
      <c r="D75" s="209" t="str">
        <f>IFERROR(__xludf.DUMMYFUNCTION("TRANSPOSE(FILTER(LS1B!B:B, LS1B!AL:AL=""U""))"),"#N/A")</f>
        <v>#N/A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COUNTIF(LS1B!AL5:AL31,"G")</f>
        <v>0</v>
      </c>
      <c r="D76" s="209" t="str">
        <f>IFERROR(__xludf.DUMMYFUNCTION("TRANSPOSE(FILTER(LS1B!B:B, LS1B!AL:AL=""G""))"),"#N/A")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COUNTIF(LS1B!AL5:AL31,"F")</f>
        <v>1</v>
      </c>
      <c r="D77" s="209" t="str">
        <f>IFERROR(__xludf.DUMMYFUNCTION("TRANSPOSE(FILTER(LS1B!B:B, LS1B!AL:AL=""F""))"),"Jeri Ethan Moses")</f>
        <v>Jeri Ethan Moses</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COUNTIF(LS1B!AL5:AL31,"E")</f>
        <v>2</v>
      </c>
      <c r="D78" s="209" t="str">
        <f>IFERROR(__xludf.DUMMYFUNCTION("TRANSPOSE(FILTER(LS1B!B:B, LS1B!AL:AL=""E""))"),"Pandor Aila Ishmail")</f>
        <v>Pandor Aila Ishmail</v>
      </c>
      <c r="E78" s="209" t="str">
        <f>IFERROR(__xludf.DUMMYFUNCTION("""COMPUTED_VALUE"""),"Hamze Jaad")</f>
        <v>Hamze Jaad</v>
      </c>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COUNTIF(LS1B!AL5:AL31,"D")</f>
        <v>1</v>
      </c>
      <c r="D79" s="209" t="str">
        <f>IFERROR(__xludf.DUMMYFUNCTION("TRANSPOSE(FILTER(LS1B!B:B, LS1B!AL:AL=""D""))"),"Maponga Taonga")</f>
        <v>Maponga Taonga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COUNTIF(LS1B!AL5:AL31,"C")</f>
        <v>5</v>
      </c>
      <c r="D80" s="209" t="str">
        <f>IFERROR(__xludf.DUMMYFUNCTION("TRANSPOSE(FILTER(LS1B!B:B, LS1B!AL:AL=""C""))"),"Munshi Mahira")</f>
        <v>Munshi Mahira</v>
      </c>
      <c r="E80" s="209" t="str">
        <f>IFERROR(__xludf.DUMMYFUNCTION("""COMPUTED_VALUE"""),"Mushipe Angel Tasimbiswa")</f>
        <v>Mushipe Angel Tasimbiswa</v>
      </c>
      <c r="F80" s="209" t="str">
        <f>IFERROR(__xludf.DUMMYFUNCTION("""COMPUTED_VALUE"""),"Pathak Akshat")</f>
        <v>Pathak Akshat</v>
      </c>
      <c r="G80" s="209" t="str">
        <f>IFERROR(__xludf.DUMMYFUNCTION("""COMPUTED_VALUE"""),"Bredt Bupe")</f>
        <v>Bredt Bupe</v>
      </c>
      <c r="H80" s="209" t="str">
        <f>IFERROR(__xludf.DUMMYFUNCTION("""COMPUTED_VALUE"""),"Kalupahana Kevin")</f>
        <v>Kalupahana Kevin</v>
      </c>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COUNTIF(LS1B!AL5:AL31,"B")</f>
        <v>14</v>
      </c>
      <c r="D81" s="209" t="str">
        <f>IFERROR(__xludf.DUMMYFUNCTION("TRANSPOSE(FILTER(LS1B!B:B, LS1B!AL:AL=""B""))"),"Nhundu Nokutenda")</f>
        <v>Nhundu Nokutenda</v>
      </c>
      <c r="E81" s="209" t="str">
        <f>IFERROR(__xludf.DUMMYFUNCTION("""COMPUTED_VALUE"""),"Chilufya Loisa Njavwa ")</f>
        <v>Chilufya Loisa Njavwa </v>
      </c>
      <c r="F81" s="209" t="str">
        <f>IFERROR(__xludf.DUMMYFUNCTION("""COMPUTED_VALUE"""),"Ncube Nkosazana")</f>
        <v>Ncube Nkosazana</v>
      </c>
      <c r="G81" s="209" t="str">
        <f>IFERROR(__xludf.DUMMYFUNCTION("""COMPUTED_VALUE"""),"Mavhunga Mukudzei")</f>
        <v>Mavhunga Mukudzei</v>
      </c>
      <c r="H81" s="209" t="str">
        <f>IFERROR(__xludf.DUMMYFUNCTION("""COMPUTED_VALUE"""),"Sanderse Chendi")</f>
        <v>Sanderse Chendi</v>
      </c>
      <c r="I81" s="209" t="str">
        <f>IFERROR(__xludf.DUMMYFUNCTION("""COMPUTED_VALUE"""),"Khalil Sara Ahmed Mohamed")</f>
        <v>Khalil Sara Ahmed Mohamed</v>
      </c>
      <c r="J81" s="209" t="str">
        <f>IFERROR(__xludf.DUMMYFUNCTION("""COMPUTED_VALUE"""),"Mohammed Tasneem")</f>
        <v>Mohammed Tasneem</v>
      </c>
      <c r="K81" s="209" t="str">
        <f>IFERROR(__xludf.DUMMYFUNCTION("""COMPUTED_VALUE"""),"Kyalusanza Mukwami")</f>
        <v>Kyalusanza Mukwami</v>
      </c>
      <c r="L81" s="209" t="str">
        <f>IFERROR(__xludf.DUMMYFUNCTION("""COMPUTED_VALUE"""),"Mwamba Mwamba")</f>
        <v>Mwamba Mwamba</v>
      </c>
      <c r="M81" s="209" t="str">
        <f>IFERROR(__xludf.DUMMYFUNCTION("""COMPUTED_VALUE"""),"Ghumra Shazneen")</f>
        <v>Ghumra Shazneen</v>
      </c>
      <c r="N81" s="209" t="str">
        <f>IFERROR(__xludf.DUMMYFUNCTION("""COMPUTED_VALUE"""),"Pardesi Mariam")</f>
        <v>Pardesi Mariam</v>
      </c>
      <c r="O81" s="209" t="str">
        <f>IFERROR(__xludf.DUMMYFUNCTION("""COMPUTED_VALUE"""),"Mutena Michelle")</f>
        <v>Mutena Michelle</v>
      </c>
      <c r="P81" s="209" t="str">
        <f>IFERROR(__xludf.DUMMYFUNCTION("""COMPUTED_VALUE"""),"Nacidze Raquel")</f>
        <v>Nacidze Raquel</v>
      </c>
      <c r="Q81" s="209" t="str">
        <f>IFERROR(__xludf.DUMMYFUNCTION("""COMPUTED_VALUE"""),"Bhagchandani Maahi")</f>
        <v>Bhagchandani Maahi</v>
      </c>
      <c r="R81" s="209"/>
      <c r="S81" s="209"/>
      <c r="T81" s="209"/>
      <c r="U81" s="209"/>
      <c r="V81" s="209"/>
      <c r="W81" s="209"/>
      <c r="X81" s="209"/>
      <c r="Y81" s="209"/>
      <c r="Z81" s="209"/>
      <c r="AA81" s="209"/>
    </row>
    <row r="82">
      <c r="A82" s="441"/>
      <c r="B82" s="440" t="s">
        <v>85</v>
      </c>
      <c r="C82" s="440">
        <f>COUNTIF(LS1B!AL5:AL31,"A")</f>
        <v>3</v>
      </c>
      <c r="D82" s="209" t="str">
        <f>IFERROR(__xludf.DUMMYFUNCTION("TRANSPOSE(FILTER(LS1B!B:B, LS1B!AL:AL=""A""))"),"Rakindas Rijith Hayagriv")</f>
        <v>Rakindas Rijith Hayagriv</v>
      </c>
      <c r="E82" s="209" t="str">
        <f>IFERROR(__xludf.DUMMYFUNCTION("""COMPUTED_VALUE"""),"Konnur Vibha")</f>
        <v>Konnur Vibha</v>
      </c>
      <c r="F82" s="209" t="str">
        <f>IFERROR(__xludf.DUMMYFUNCTION("""COMPUTED_VALUE"""),"Mutombo Marlo Mande")</f>
        <v>Mutombo Marlo Mande</v>
      </c>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COUNTIF(LS1B!AL5:AL31,"A~*")</f>
        <v>1</v>
      </c>
      <c r="D83" s="209" t="str">
        <f>IFERROR(__xludf.DUMMYFUNCTION("TRANSPOSE(FILTER(LS1B!B:B, LS1B!AL:AL=""A*""))"),"Shimwambwa Natalie")</f>
        <v>Shimwambwa Natalie</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COUNTIF(LS1B!AP5:AP31,"U")</f>
        <v>0</v>
      </c>
      <c r="D85" s="209" t="str">
        <f>IFERROR(__xludf.DUMMYFUNCTION("TRANSPOSE(FILTER(LS1B!B:B, LS1B!AP:AP=""U""))"),"#N/A")</f>
        <v>#N/A</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COUNTIF(LS1B!AP5:AP31,"G")</f>
        <v>0</v>
      </c>
      <c r="D86" s="209" t="str">
        <f>IFERROR(__xludf.DUMMYFUNCTION("TRANSPOSE(FILTER(LS1B!B:B, LS1B!AP:AP=""G""))"),"#N/A")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COUNTIF(LS1B!AP5:AP31,"F")</f>
        <v>0</v>
      </c>
      <c r="D87" s="209" t="str">
        <f>IFERROR(__xludf.DUMMYFUNCTION("TRANSPOSE(FILTER(LS1B!B:B, LS1B!AP:AP=""F""))"),"#N/A")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COUNTIF(LS1B!AP5:AP31,"E")</f>
        <v>0</v>
      </c>
      <c r="D88" s="209" t="str">
        <f>IFERROR(__xludf.DUMMYFUNCTION("TRANSPOSE(FILTER(LS1B!B:B, LS1B!AP:AP=""E""))"),"#N/A")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COUNTIF(LS1B!AP5:AP31,"D")</f>
        <v>5</v>
      </c>
      <c r="D89" s="209" t="str">
        <f>IFERROR(__xludf.DUMMYFUNCTION("TRANSPOSE(FILTER(LS1B!B:B, LS1B!AP:AP=""D""))"),"Munshi Mahira")</f>
        <v>Munshi Mahira</v>
      </c>
      <c r="E89" s="209" t="str">
        <f>IFERROR(__xludf.DUMMYFUNCTION("""COMPUTED_VALUE"""),"Konnur Vibha")</f>
        <v>Konnur Vibha</v>
      </c>
      <c r="F89" s="209" t="str">
        <f>IFERROR(__xludf.DUMMYFUNCTION("""COMPUTED_VALUE"""),"Sanderse Chendi")</f>
        <v>Sanderse Chendi</v>
      </c>
      <c r="G89" s="209" t="str">
        <f>IFERROR(__xludf.DUMMYFUNCTION("""COMPUTED_VALUE"""),"Khalil Sara Ahmed Mohamed")</f>
        <v>Khalil Sara Ahmed Mohamed</v>
      </c>
      <c r="H89" s="209" t="str">
        <f>IFERROR(__xludf.DUMMYFUNCTION("""COMPUTED_VALUE"""),"Pathak Akshat")</f>
        <v>Pathak Akshat</v>
      </c>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COUNTIF(LS1B!AP5:AP31,"C")</f>
        <v>14</v>
      </c>
      <c r="D90" s="209" t="str">
        <f>IFERROR(__xludf.DUMMYFUNCTION("TRANSPOSE(FILTER(LS1B!B:B, LS1B!AP:AP=""C""))"),"Nhundu Nokutenda")</f>
        <v>Nhundu Nokutenda</v>
      </c>
      <c r="E90" s="209" t="str">
        <f>IFERROR(__xludf.DUMMYFUNCTION("""COMPUTED_VALUE"""),"Maponga Taonga")</f>
        <v>Maponga Taonga</v>
      </c>
      <c r="F90" s="209" t="str">
        <f>IFERROR(__xludf.DUMMYFUNCTION("""COMPUTED_VALUE"""),"Chilufya Loisa Njavwa ")</f>
        <v>Chilufya Loisa Njavwa </v>
      </c>
      <c r="G90" s="209" t="str">
        <f>IFERROR(__xludf.DUMMYFUNCTION("""COMPUTED_VALUE"""),"Ncube Nkosazana")</f>
        <v>Ncube Nkosazana</v>
      </c>
      <c r="H90" s="209" t="str">
        <f>IFERROR(__xludf.DUMMYFUNCTION("""COMPUTED_VALUE"""),"Mavhunga Mukudzei")</f>
        <v>Mavhunga Mukudzei</v>
      </c>
      <c r="I90" s="209" t="str">
        <f>IFERROR(__xludf.DUMMYFUNCTION("""COMPUTED_VALUE"""),"Rakindas Rijith Hayagriv")</f>
        <v>Rakindas Rijith Hayagriv</v>
      </c>
      <c r="J90" s="209" t="str">
        <f>IFERROR(__xludf.DUMMYFUNCTION("""COMPUTED_VALUE"""),"Mutombo Marlo Mande")</f>
        <v>Mutombo Marlo Mande</v>
      </c>
      <c r="K90" s="209" t="str">
        <f>IFERROR(__xludf.DUMMYFUNCTION("""COMPUTED_VALUE"""),"Mohammed Tasneem")</f>
        <v>Mohammed Tasneem</v>
      </c>
      <c r="L90" s="209" t="str">
        <f>IFERROR(__xludf.DUMMYFUNCTION("""COMPUTED_VALUE"""),"Ghumra Shazneen")</f>
        <v>Ghumra Shazneen</v>
      </c>
      <c r="M90" s="209" t="str">
        <f>IFERROR(__xludf.DUMMYFUNCTION("""COMPUTED_VALUE"""),"Pardesi Mariam")</f>
        <v>Pardesi Mariam</v>
      </c>
      <c r="N90" s="209" t="str">
        <f>IFERROR(__xludf.DUMMYFUNCTION("""COMPUTED_VALUE"""),"Mutena Michelle")</f>
        <v>Mutena Michelle</v>
      </c>
      <c r="O90" s="209" t="str">
        <f>IFERROR(__xludf.DUMMYFUNCTION("""COMPUTED_VALUE"""),"Bredt Bupe")</f>
        <v>Bredt Bupe</v>
      </c>
      <c r="P90" s="209" t="str">
        <f>IFERROR(__xludf.DUMMYFUNCTION("""COMPUTED_VALUE"""),"Hamze Jaad")</f>
        <v>Hamze Jaad</v>
      </c>
      <c r="Q90" s="209" t="str">
        <f>IFERROR(__xludf.DUMMYFUNCTION("""COMPUTED_VALUE"""),"Jeri Ethan Moses")</f>
        <v>Jeri Ethan Moses</v>
      </c>
      <c r="R90" s="209"/>
      <c r="S90" s="209"/>
      <c r="T90" s="209"/>
      <c r="U90" s="209"/>
      <c r="V90" s="209"/>
      <c r="W90" s="209"/>
      <c r="X90" s="209"/>
      <c r="Y90" s="209"/>
      <c r="Z90" s="209"/>
      <c r="AA90" s="209"/>
    </row>
    <row r="91">
      <c r="A91" s="441"/>
      <c r="B91" s="440" t="s">
        <v>87</v>
      </c>
      <c r="C91" s="440">
        <f>COUNTIF(LS1B!AP5:AP31,"B")</f>
        <v>4</v>
      </c>
      <c r="D91" s="209" t="str">
        <f>IFERROR(__xludf.DUMMYFUNCTION("TRANSPOSE(FILTER(LS1B!B:B, LS1B!AP:AP=""B""))"),"Pandor Aila Ishmail")</f>
        <v>Pandor Aila Ishmail</v>
      </c>
      <c r="E91" s="209" t="str">
        <f>IFERROR(__xludf.DUMMYFUNCTION("""COMPUTED_VALUE"""),"Shimwambwa Natalie")</f>
        <v>Shimwambwa Natalie</v>
      </c>
      <c r="F91" s="209" t="str">
        <f>IFERROR(__xludf.DUMMYFUNCTION("""COMPUTED_VALUE"""),"Kyalusanza Mukwami")</f>
        <v>Kyalusanza Mukwami</v>
      </c>
      <c r="G91" s="209" t="str">
        <f>IFERROR(__xludf.DUMMYFUNCTION("""COMPUTED_VALUE"""),"Bhagchandani Maahi")</f>
        <v>Bhagchandani Maahi</v>
      </c>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COUNTIF(LS1B!AP5:AP31,"A")</f>
        <v>4</v>
      </c>
      <c r="D92" s="209" t="str">
        <f>IFERROR(__xludf.DUMMYFUNCTION("TRANSPOSE(FILTER(LS1B!B:B, LS1B!AP:AP=""A""))"),"Mushipe Angel Tasimbiswa")</f>
        <v>Mushipe Angel Tasimbiswa</v>
      </c>
      <c r="E92" s="209" t="str">
        <f>IFERROR(__xludf.DUMMYFUNCTION("""COMPUTED_VALUE"""),"Mwamba Mwamba")</f>
        <v>Mwamba Mwamba</v>
      </c>
      <c r="F92" s="209" t="str">
        <f>IFERROR(__xludf.DUMMYFUNCTION("""COMPUTED_VALUE"""),"Nacidze Raquel")</f>
        <v>Nacidze Raquel</v>
      </c>
      <c r="G92" s="209" t="str">
        <f>IFERROR(__xludf.DUMMYFUNCTION("""COMPUTED_VALUE"""),"Kalupahana Kevin")</f>
        <v>Kalupahana Kevin</v>
      </c>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COUNTIF(LS1B!AP5:AP31,"A~*")</f>
        <v>0</v>
      </c>
      <c r="D93" s="209" t="str">
        <f>IFERROR(__xludf.DUMMYFUNCTION("TRANSPOSE(FILTER(LS1B!B:B, LS1B!AP:AP=""A*""))"),"#N/A")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40</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COUNTIF(LS2B!F5:F23,"U")</f>
        <v>0</v>
      </c>
      <c r="D4" s="209" t="str">
        <f>IFERROR(__xludf.DUMMYFUNCTION("TRANSPOSE(FILTER(LS2B!B:B, LS2B!F:F=""U""))"),"#N/A")</f>
        <v>#N/A</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COUNTIF(LS2B!F5:F23,"G")</f>
        <v>0</v>
      </c>
      <c r="D5" s="209" t="str">
        <f>IFERROR(__xludf.DUMMYFUNCTION("TRANSPOSE(FILTER(LS2B!B:B, LS2B!F:F=""G""))"),"#N/A")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COUNTIF(LS2B!F5:F23,"F")</f>
        <v>1</v>
      </c>
      <c r="D6" s="209" t="str">
        <f>IFERROR(__xludf.DUMMYFUNCTION("TRANSPOSE(FILTER(LS2B!B:B, LS2B!F:F=""F""))"),"Swima Rabbi")</f>
        <v>Swima Rabbi</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COUNTIF(LS2B!F5:F23,"E")</f>
        <v>1</v>
      </c>
      <c r="D7" s="209" t="str">
        <f>IFERROR(__xludf.DUMMYFUNCTION("TRANSPOSE(FILTER(LS2B!B:B, LS2B!F:F=""E""))"),"Kandela Elisha")</f>
        <v>Kandela Elisha</v>
      </c>
      <c r="E7" s="209"/>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COUNTIF(LS2B!F5:F23,"D")</f>
        <v>9</v>
      </c>
      <c r="D8" s="209" t="str">
        <f>IFERROR(__xludf.DUMMYFUNCTION("TRANSPOSE(FILTER(LS2B!B:B, LS2B!F:F=""D""))"),"Mathur Sumay")</f>
        <v>Mathur Sumay</v>
      </c>
      <c r="E8" s="209" t="str">
        <f>IFERROR(__xludf.DUMMYFUNCTION("""COMPUTED_VALUE"""),"Young Jessica")</f>
        <v>Young Jessica</v>
      </c>
      <c r="F8" s="209" t="str">
        <f>IFERROR(__xludf.DUMMYFUNCTION("""COMPUTED_VALUE"""),"Sanoj Sephania")</f>
        <v>Sanoj Sephania</v>
      </c>
      <c r="G8" s="209" t="str">
        <f>IFERROR(__xludf.DUMMYFUNCTION("""COMPUTED_VALUE"""),"Sharma Shivik")</f>
        <v>Sharma Shivik</v>
      </c>
      <c r="H8" s="209" t="str">
        <f>IFERROR(__xludf.DUMMYFUNCTION("""COMPUTED_VALUE"""),"Sebaiindira Abdul-Ahad")</f>
        <v>Sebaiindira Abdul-Ahad</v>
      </c>
      <c r="I8" s="209" t="str">
        <f>IFERROR(__xludf.DUMMYFUNCTION("""COMPUTED_VALUE"""),"Nebhwani Jay")</f>
        <v>Nebhwani Jay</v>
      </c>
      <c r="J8" s="209" t="str">
        <f>IFERROR(__xludf.DUMMYFUNCTION("""COMPUTED_VALUE"""),"Yff Samuel")</f>
        <v>Yff Samuel</v>
      </c>
      <c r="K8" s="209" t="str">
        <f>IFERROR(__xludf.DUMMYFUNCTION("""COMPUTED_VALUE"""),"Kaonga Walusungu")</f>
        <v>Kaonga Walusungu</v>
      </c>
      <c r="L8" s="209" t="str">
        <f>IFERROR(__xludf.DUMMYFUNCTION("""COMPUTED_VALUE"""),"Sinyangwe James")</f>
        <v>Sinyangwe James</v>
      </c>
      <c r="M8" s="209"/>
      <c r="N8" s="209"/>
      <c r="O8" s="209"/>
      <c r="P8" s="209"/>
      <c r="Q8" s="209"/>
      <c r="R8" s="209"/>
      <c r="S8" s="209"/>
      <c r="T8" s="209"/>
      <c r="U8" s="209"/>
      <c r="V8" s="209"/>
      <c r="W8" s="209"/>
      <c r="X8" s="209"/>
      <c r="Y8" s="209"/>
      <c r="Z8" s="209"/>
      <c r="AA8" s="209"/>
    </row>
    <row r="9" ht="20.25" customHeight="1">
      <c r="A9" s="441"/>
      <c r="B9" s="440" t="s">
        <v>90</v>
      </c>
      <c r="C9" s="440">
        <f>COUNTIF(LS2B!F5:F23,"C")</f>
        <v>7</v>
      </c>
      <c r="D9" s="209" t="str">
        <f>IFERROR(__xludf.DUMMYFUNCTION("TRANSPOSE(FILTER(LS2B!B:B, LS2B!F:F=""C""))"),"Muhire Blair")</f>
        <v>Muhire Blair</v>
      </c>
      <c r="E9" s="209" t="str">
        <f>IFERROR(__xludf.DUMMYFUNCTION("""COMPUTED_VALUE"""),"Ncube Zanele")</f>
        <v>Ncube Zanele</v>
      </c>
      <c r="F9" s="209" t="str">
        <f>IFERROR(__xludf.DUMMYFUNCTION("""COMPUTED_VALUE"""),"Gichinga Anaya")</f>
        <v>Gichinga Anaya</v>
      </c>
      <c r="G9" s="209" t="str">
        <f>IFERROR(__xludf.DUMMYFUNCTION("""COMPUTED_VALUE"""),"Katupisha Mwambuye")</f>
        <v>Katupisha Mwambuye</v>
      </c>
      <c r="H9" s="209" t="str">
        <f>IFERROR(__xludf.DUMMYFUNCTION("""COMPUTED_VALUE"""),"Dube Ryan")</f>
        <v>Dube Ryan</v>
      </c>
      <c r="I9" s="209" t="str">
        <f>IFERROR(__xludf.DUMMYFUNCTION("""COMPUTED_VALUE"""),"Chisupa Mwila")</f>
        <v>Chisupa Mwila</v>
      </c>
      <c r="J9" s="209" t="str">
        <f>IFERROR(__xludf.DUMMYFUNCTION("""COMPUTED_VALUE"""),"Sakala Ethan")</f>
        <v>Sakala Ethan</v>
      </c>
      <c r="K9" s="209"/>
      <c r="L9" s="209"/>
      <c r="M9" s="209"/>
      <c r="N9" s="209"/>
      <c r="O9" s="209"/>
      <c r="P9" s="209"/>
      <c r="Q9" s="209"/>
      <c r="R9" s="209"/>
      <c r="S9" s="209"/>
      <c r="T9" s="209"/>
      <c r="U9" s="209"/>
      <c r="V9" s="209"/>
      <c r="W9" s="209"/>
      <c r="X9" s="209"/>
      <c r="Y9" s="209"/>
      <c r="Z9" s="209"/>
      <c r="AA9" s="209"/>
    </row>
    <row r="10" ht="24.0" customHeight="1">
      <c r="A10" s="441"/>
      <c r="B10" s="440" t="s">
        <v>87</v>
      </c>
      <c r="C10" s="440">
        <f>COUNTIF(LS2B!F5:F23,"B")</f>
        <v>0</v>
      </c>
      <c r="D10" s="209" t="str">
        <f>IFERROR(__xludf.DUMMYFUNCTION("TRANSPOSE(FILTER(LS2B!B:B, LS2B!F:F=""B""))"),"#N/A")</f>
        <v>#N/A</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COUNTIF(LS2B!F5:F23,"A")</f>
        <v>0</v>
      </c>
      <c r="D11" s="209" t="str">
        <f>IFERROR(__xludf.DUMMYFUNCTION("TRANSPOSE(FILTER(LS2B!B:B, LS2B!F:F=""A""))"),"#N/A")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COUNTIF(LS2B!F5:F23,"A~*")</f>
        <v>0</v>
      </c>
      <c r="D12" s="209" t="str">
        <f>IFERROR(__xludf.DUMMYFUNCTION("TRANSPOSE(FILTER(LS2B!B:B, LS2B!F:F=""A*""))"),"#N/A")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COUNTIF(LS2B!J5:J23,"U")</f>
        <v>0</v>
      </c>
      <c r="D15" s="209" t="str">
        <f>IFERROR(__xludf.DUMMYFUNCTION("TRANSPOSE(FILTER(LS2B!B:B, LS2B!J:J=""U""))"),"#N/A")</f>
        <v>#N/A</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COUNTIF(LS2B!J5:J23,"G")</f>
        <v>0</v>
      </c>
      <c r="D16" s="209" t="str">
        <f>IFERROR(__xludf.DUMMYFUNCTION("TRANSPOSE(FILTER(LS2B!B:B, LS2B!J:J=""G""))"),"#N/A")</f>
        <v>#N/A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COUNTIF(LS2B!J5:J23,"F")</f>
        <v>1</v>
      </c>
      <c r="D17" s="209" t="str">
        <f>IFERROR(__xludf.DUMMYFUNCTION("TRANSPOSE(FILTER(LS2B!B:B, LS2B!J:J=""F""))"),"Young Jessica")</f>
        <v>Young Jessica</v>
      </c>
      <c r="E17" s="209"/>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COUNTIF(LS2B!J5:J23,"E")</f>
        <v>1</v>
      </c>
      <c r="D18" s="209" t="str">
        <f>IFERROR(__xludf.DUMMYFUNCTION("TRANSPOSE(FILTER(LS2B!B:B, LS2B!J:J=""E""))"),"Yff Samuel")</f>
        <v>Yff Samuel</v>
      </c>
      <c r="E18" s="209"/>
      <c r="F18" s="209"/>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COUNTIF(LS2B!J5:J23,"D")</f>
        <v>5</v>
      </c>
      <c r="D19" s="209" t="str">
        <f>IFERROR(__xludf.DUMMYFUNCTION("TRANSPOSE(FILTER(LS2B!B:B, LS2B!J:J=""D""))"),"Ncube Zanele")</f>
        <v>Ncube Zanele</v>
      </c>
      <c r="E19" s="209" t="str">
        <f>IFERROR(__xludf.DUMMYFUNCTION("""COMPUTED_VALUE"""),"Kaonga Walusungu")</f>
        <v>Kaonga Walusungu</v>
      </c>
      <c r="F19" s="209" t="str">
        <f>IFERROR(__xludf.DUMMYFUNCTION("""COMPUTED_VALUE"""),"Dube Ryan")</f>
        <v>Dube Ryan</v>
      </c>
      <c r="G19" s="209" t="str">
        <f>IFERROR(__xludf.DUMMYFUNCTION("""COMPUTED_VALUE"""),"Sinyangwe James")</f>
        <v>Sinyangwe James</v>
      </c>
      <c r="H19" s="209" t="str">
        <f>IFERROR(__xludf.DUMMYFUNCTION("""COMPUTED_VALUE"""),"Swima Rabbi")</f>
        <v>Swima Rabbi</v>
      </c>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COUNTIF(LS2B!J5:J23,"C")</f>
        <v>4</v>
      </c>
      <c r="D20" s="209" t="str">
        <f>IFERROR(__xludf.DUMMYFUNCTION("TRANSPOSE(FILTER(LS2B!B:B, LS2B!J:J=""C""))"),"Mathur Sumay")</f>
        <v>Mathur Sumay</v>
      </c>
      <c r="E20" s="209" t="str">
        <f>IFERROR(__xludf.DUMMYFUNCTION("""COMPUTED_VALUE"""),"Kandela Elisha")</f>
        <v>Kandela Elisha</v>
      </c>
      <c r="F20" s="209" t="str">
        <f>IFERROR(__xludf.DUMMYFUNCTION("""COMPUTED_VALUE"""),"Nebhwani Jay")</f>
        <v>Nebhwani Jay</v>
      </c>
      <c r="G20" s="209" t="str">
        <f>IFERROR(__xludf.DUMMYFUNCTION("""COMPUTED_VALUE"""),"Katupisha Mwambuye")</f>
        <v>Katupisha Mwambuye</v>
      </c>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COUNTIF(LS2B!J5:J23,"B")</f>
        <v>2</v>
      </c>
      <c r="D21" s="209" t="str">
        <f>IFERROR(__xludf.DUMMYFUNCTION("TRANSPOSE(FILTER(LS2B!B:B, LS2B!J:J=""B""))"),"Muhire Blair")</f>
        <v>Muhire Blair</v>
      </c>
      <c r="E21" s="209" t="str">
        <f>IFERROR(__xludf.DUMMYFUNCTION("""COMPUTED_VALUE"""),"Chisupa Mwila")</f>
        <v>Chisupa Mwila</v>
      </c>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COUNTIF(LS2B!J5:J23,"A")</f>
        <v>4</v>
      </c>
      <c r="D22" s="209" t="str">
        <f>IFERROR(__xludf.DUMMYFUNCTION("TRANSPOSE(FILTER(LS2B!B:B, LS2B!J:J=""A""))"),"Gichinga Anaya")</f>
        <v>Gichinga Anaya</v>
      </c>
      <c r="E22" s="209" t="str">
        <f>IFERROR(__xludf.DUMMYFUNCTION("""COMPUTED_VALUE"""),"Sanoj Sephania")</f>
        <v>Sanoj Sephania</v>
      </c>
      <c r="F22" s="209" t="str">
        <f>IFERROR(__xludf.DUMMYFUNCTION("""COMPUTED_VALUE"""),"Sebaiindira Abdul-Ahad")</f>
        <v>Sebaiindira Abdul-Ahad</v>
      </c>
      <c r="G22" s="209" t="str">
        <f>IFERROR(__xludf.DUMMYFUNCTION("""COMPUTED_VALUE"""),"Sakala Ethan")</f>
        <v>Sakala Ethan</v>
      </c>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COUNTIF(LS2B!J5:J23,"A~*")</f>
        <v>1</v>
      </c>
      <c r="D23" s="209" t="str">
        <f>IFERROR(__xludf.DUMMYFUNCTION("TRANSPOSE(FILTER(LS2B!B:B, LS2B!J:J=""A*""))"),"Sharma Shivik")</f>
        <v>Sharma Shivik</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140</v>
      </c>
      <c r="C25" s="440">
        <f>COUNTIF(LS2B!N5:N29,"U")</f>
        <v>0</v>
      </c>
      <c r="D25" s="209" t="str">
        <f>IFERROR(__xludf.DUMMYFUNCTION("TRANSPOSE(FILTER(LS2B!B:B, LS2B!N:N=""U""))"),"#N/A")</f>
        <v>#N/A</v>
      </c>
      <c r="E25" s="209"/>
      <c r="F25" s="209"/>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COUNTIF(LS2B!N5:N29,"G")</f>
        <v>1</v>
      </c>
      <c r="D26" s="209" t="str">
        <f>IFERROR(__xludf.DUMMYFUNCTION("TRANSPOSE(FILTER(LS2B!B:B, LS2B!N:N=""G""))"),"Swima Rabbi")</f>
        <v>Swima Rabbi</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COUNTIF(LS2B!N5:N29,"F")</f>
        <v>0</v>
      </c>
      <c r="D27" s="209" t="str">
        <f>IFERROR(__xludf.DUMMYFUNCTION("TRANSPOSE(FILTER(LS2B!B:B, LS2B!N:N=""F""))"),"#N/A")</f>
        <v>#N/A</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COUNTIF(LS2B!N5:N29,"E")</f>
        <v>1</v>
      </c>
      <c r="D28" s="209" t="str">
        <f>IFERROR(__xludf.DUMMYFUNCTION("TRANSPOSE(FILTER(LS2B!B:B, LS2B!N:N=""E""))"),"Kandela Elisha")</f>
        <v>Kandela Elisha</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COUNTIF(LS2B!N5:N29,"D")</f>
        <v>1</v>
      </c>
      <c r="D29" s="209" t="str">
        <f>IFERROR(__xludf.DUMMYFUNCTION("TRANSPOSE(FILTER(LS2B!B:B, LS2B!N:N=""D""))"),"Yff Samuel")</f>
        <v>Yff Samuel</v>
      </c>
      <c r="E29" s="209"/>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COUNTIF(LS2B!N5:N29,"C")</f>
        <v>5</v>
      </c>
      <c r="D30" s="209" t="str">
        <f>IFERROR(__xludf.DUMMYFUNCTION("TRANSPOSE(FILTER(LS2B!B:B, LS2B!N:N=""C""))"),"Young Jessica")</f>
        <v>Young Jessica</v>
      </c>
      <c r="E30" s="209" t="str">
        <f>IFERROR(__xludf.DUMMYFUNCTION("""COMPUTED_VALUE"""),"Sanoj Sephania")</f>
        <v>Sanoj Sephania</v>
      </c>
      <c r="F30" s="209" t="str">
        <f>IFERROR(__xludf.DUMMYFUNCTION("""COMPUTED_VALUE"""),"Nebhwani Jay")</f>
        <v>Nebhwani Jay</v>
      </c>
      <c r="G30" s="209" t="str">
        <f>IFERROR(__xludf.DUMMYFUNCTION("""COMPUTED_VALUE"""),"Katupisha Mwambuye")</f>
        <v>Katupisha Mwambuye</v>
      </c>
      <c r="H30" s="209" t="str">
        <f>IFERROR(__xludf.DUMMYFUNCTION("""COMPUTED_VALUE"""),"Kaonga Walusungu")</f>
        <v>Kaonga Walusungu</v>
      </c>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COUNTIF(LS2B!N5:N29,"B")</f>
        <v>4</v>
      </c>
      <c r="D31" s="209" t="str">
        <f>IFERROR(__xludf.DUMMYFUNCTION("TRANSPOSE(FILTER(LS2B!B:B, LS2B!N:N=""B""))"),"Mathur Sumay")</f>
        <v>Mathur Sumay</v>
      </c>
      <c r="E31" s="209" t="str">
        <f>IFERROR(__xludf.DUMMYFUNCTION("""COMPUTED_VALUE"""),"Ncube Zanele")</f>
        <v>Ncube Zanele</v>
      </c>
      <c r="F31" s="209" t="str">
        <f>IFERROR(__xludf.DUMMYFUNCTION("""COMPUTED_VALUE"""),"Sebaiindira Abdul-Ahad")</f>
        <v>Sebaiindira Abdul-Ahad</v>
      </c>
      <c r="G31" s="209" t="str">
        <f>IFERROR(__xludf.DUMMYFUNCTION("""COMPUTED_VALUE"""),"Sinyangwe James")</f>
        <v>Sinyangwe James</v>
      </c>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COUNTIF(LS2B!N5:N29,"A")</f>
        <v>6</v>
      </c>
      <c r="D32" s="209" t="str">
        <f>IFERROR(__xludf.DUMMYFUNCTION("TRANSPOSE(FILTER(LS2B!B:B, LS2B!N:N=""A""))"),"Muhire Blair")</f>
        <v>Muhire Blair</v>
      </c>
      <c r="E32" s="209" t="str">
        <f>IFERROR(__xludf.DUMMYFUNCTION("""COMPUTED_VALUE"""),"Gichinga Anaya")</f>
        <v>Gichinga Anaya</v>
      </c>
      <c r="F32" s="209" t="str">
        <f>IFERROR(__xludf.DUMMYFUNCTION("""COMPUTED_VALUE"""),"Sharma Shivik")</f>
        <v>Sharma Shivik</v>
      </c>
      <c r="G32" s="209" t="str">
        <f>IFERROR(__xludf.DUMMYFUNCTION("""COMPUTED_VALUE"""),"Dube Ryan")</f>
        <v>Dube Ryan</v>
      </c>
      <c r="H32" s="209" t="str">
        <f>IFERROR(__xludf.DUMMYFUNCTION("""COMPUTED_VALUE"""),"Chisupa Mwila")</f>
        <v>Chisupa Mwila</v>
      </c>
      <c r="I32" s="209" t="str">
        <f>IFERROR(__xludf.DUMMYFUNCTION("""COMPUTED_VALUE"""),"Sakala Ethan")</f>
        <v>Sakala Ethan</v>
      </c>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COUNTIF(LS2B!N5:N29,"A~*")</f>
        <v>0</v>
      </c>
      <c r="D33" s="209" t="str">
        <f>IFERROR(__xludf.DUMMYFUNCTION("TRANSPOSE(FILTER(LS2B!B:B, LS2B!N:N=""A*""))"),"#N/A")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COUNTIF(LS2B!R5:R23,"U")</f>
        <v>0</v>
      </c>
      <c r="D35" s="209" t="str">
        <f>IFERROR(__xludf.DUMMYFUNCTION("TRANSPOSE(FILTER(LS2B!B:B, LS2B!R:R=""U""))"),"#N/A")</f>
        <v>#N/A</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COUNTIF(LS2B!R5:R23,"G")</f>
        <v>0</v>
      </c>
      <c r="D36" s="209" t="str">
        <f>IFERROR(__xludf.DUMMYFUNCTION("TRANSPOSE(FILTER(LS2B!B:B, LS2B!R:R=""G""))"),"#N/A")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COUNTIF(LS2B!R5:R23,"F")</f>
        <v>1</v>
      </c>
      <c r="D37" s="209" t="str">
        <f>IFERROR(__xludf.DUMMYFUNCTION("TRANSPOSE(FILTER(LS2B!B:B, LS2B!R:R=""F""))"),"Swima Rabbi")</f>
        <v>Swima Rabbi</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COUNTIF(LS2B!R5:R23,"E")</f>
        <v>0</v>
      </c>
      <c r="D38" s="209" t="str">
        <f>IFERROR(__xludf.DUMMYFUNCTION("TRANSPOSE(FILTER(LS2B!B:B, LS2B!R:R=""E""))"),"#N/A")</f>
        <v>#N/A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COUNTIF(LS2B!R5:R23,"D")</f>
        <v>1</v>
      </c>
      <c r="D39" s="209" t="str">
        <f>IFERROR(__xludf.DUMMYFUNCTION("TRANSPOSE(FILTER(LS2B!B:B, LS2B!R:R=""D""))"),"Yff Samuel")</f>
        <v>Yff Samuel</v>
      </c>
      <c r="E39" s="209"/>
      <c r="F39" s="209"/>
      <c r="G39" s="209"/>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COUNTIF(LS2B!R5:R23,"C")</f>
        <v>4</v>
      </c>
      <c r="D40" s="209" t="str">
        <f>IFERROR(__xludf.DUMMYFUNCTION("TRANSPOSE(FILTER(LS2B!B:B, LS2B!R:R=""C""))"),"Ncube Zanele")</f>
        <v>Ncube Zanele</v>
      </c>
      <c r="E40" s="209" t="str">
        <f>IFERROR(__xludf.DUMMYFUNCTION("""COMPUTED_VALUE"""),"Young Jessica")</f>
        <v>Young Jessica</v>
      </c>
      <c r="F40" s="209" t="str">
        <f>IFERROR(__xludf.DUMMYFUNCTION("""COMPUTED_VALUE"""),"Katupisha Mwambuye")</f>
        <v>Katupisha Mwambuye</v>
      </c>
      <c r="G40" s="209" t="str">
        <f>IFERROR(__xludf.DUMMYFUNCTION("""COMPUTED_VALUE"""),"Sinyangwe James")</f>
        <v>Sinyangwe James</v>
      </c>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COUNTIF(LS2B!R5:R23,"B")</f>
        <v>7</v>
      </c>
      <c r="D41" s="209" t="str">
        <f>IFERROR(__xludf.DUMMYFUNCTION("TRANSPOSE(FILTER(LS2B!B:B, LS2B!R:R=""B""))"),"Muhire Blair")</f>
        <v>Muhire Blair</v>
      </c>
      <c r="E41" s="209" t="str">
        <f>IFERROR(__xludf.DUMMYFUNCTION("""COMPUTED_VALUE"""),"Kandela Elisha")</f>
        <v>Kandela Elisha</v>
      </c>
      <c r="F41" s="209" t="str">
        <f>IFERROR(__xludf.DUMMYFUNCTION("""COMPUTED_VALUE"""),"Sanoj Sephania")</f>
        <v>Sanoj Sephania</v>
      </c>
      <c r="G41" s="209" t="str">
        <f>IFERROR(__xludf.DUMMYFUNCTION("""COMPUTED_VALUE"""),"Sebaiindira Abdul-Ahad")</f>
        <v>Sebaiindira Abdul-Ahad</v>
      </c>
      <c r="H41" s="209" t="str">
        <f>IFERROR(__xludf.DUMMYFUNCTION("""COMPUTED_VALUE"""),"Nebhwani Jay")</f>
        <v>Nebhwani Jay</v>
      </c>
      <c r="I41" s="209" t="str">
        <f>IFERROR(__xludf.DUMMYFUNCTION("""COMPUTED_VALUE"""),"Dube Ryan")</f>
        <v>Dube Ryan</v>
      </c>
      <c r="J41" s="209" t="str">
        <f>IFERROR(__xludf.DUMMYFUNCTION("""COMPUTED_VALUE"""),"Chisupa Mwila")</f>
        <v>Chisupa Mwila</v>
      </c>
      <c r="K41" s="209"/>
      <c r="L41" s="209"/>
      <c r="M41" s="209"/>
      <c r="N41" s="209"/>
      <c r="O41" s="209"/>
      <c r="P41" s="209"/>
      <c r="Q41" s="209"/>
      <c r="R41" s="209"/>
      <c r="S41" s="209"/>
      <c r="T41" s="209"/>
      <c r="U41" s="209"/>
      <c r="V41" s="209"/>
      <c r="W41" s="209"/>
      <c r="X41" s="209"/>
      <c r="Y41" s="209"/>
      <c r="Z41" s="209"/>
      <c r="AA41" s="209"/>
    </row>
    <row r="42">
      <c r="A42" s="441"/>
      <c r="B42" s="440" t="s">
        <v>85</v>
      </c>
      <c r="C42" s="440">
        <f>COUNTIF(LS2B!R5:R23,"A")</f>
        <v>5</v>
      </c>
      <c r="D42" s="209" t="str">
        <f>IFERROR(__xludf.DUMMYFUNCTION("TRANSPOSE(FILTER(LS2B!B:B, LS2B!R:R=""A""))"),"Mathur Sumay")</f>
        <v>Mathur Sumay</v>
      </c>
      <c r="E42" s="209" t="str">
        <f>IFERROR(__xludf.DUMMYFUNCTION("""COMPUTED_VALUE"""),"Gichinga Anaya")</f>
        <v>Gichinga Anaya</v>
      </c>
      <c r="F42" s="209" t="str">
        <f>IFERROR(__xludf.DUMMYFUNCTION("""COMPUTED_VALUE"""),"Sharma Shivik")</f>
        <v>Sharma Shivik</v>
      </c>
      <c r="G42" s="209" t="str">
        <f>IFERROR(__xludf.DUMMYFUNCTION("""COMPUTED_VALUE"""),"Kaonga Walusungu")</f>
        <v>Kaonga Walusungu</v>
      </c>
      <c r="H42" s="209" t="str">
        <f>IFERROR(__xludf.DUMMYFUNCTION("""COMPUTED_VALUE"""),"Sakala Ethan")</f>
        <v>Sakala Ethan</v>
      </c>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COUNTIF(LS2B!R5:R23,"A~*")</f>
        <v>0</v>
      </c>
      <c r="D43" s="209" t="str">
        <f>IFERROR(__xludf.DUMMYFUNCTION("TRANSPOSE(FILTER(LS2B!B:B, LS2B!R:R=""A*""))"),"#N/A")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COUNTIF(LS2B!Z5:Z23,"U")</f>
        <v>0</v>
      </c>
      <c r="D45" s="209" t="str">
        <f>IFERROR(__xludf.DUMMYFUNCTION("TRANSPOSE(FILTER(LS2B!B:B, LS2B!Z:Z=""U""))"),"#N/A")</f>
        <v>#N/A</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COUNTIF(LS2B!Z5:Z23,"G")</f>
        <v>0</v>
      </c>
      <c r="D46" s="209" t="str">
        <f>IFERROR(__xludf.DUMMYFUNCTION("TRANSPOSE(FILTER(LS2B!B:B, LS2B!Z:Z=""G""))"),"#N/A")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COUNTIF(LS2B!Z5:Z23,"F")</f>
        <v>1</v>
      </c>
      <c r="D47" s="209" t="str">
        <f>IFERROR(__xludf.DUMMYFUNCTION("TRANSPOSE(FILTER(LS2B!B:B, LS2B!Z:Z=""F""))"),"Swima Rabbi")</f>
        <v>Swima Rabbi</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COUNTIF(LS2B!Z5:Z23,"E")</f>
        <v>0</v>
      </c>
      <c r="D48" s="209" t="str">
        <f>IFERROR(__xludf.DUMMYFUNCTION("TRANSPOSE(FILTER(LS2B!B:B, LS2B!Z:Z=""E""))"),"#N/A")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COUNTIF(LS2B!Z5:Z23,"D")</f>
        <v>0</v>
      </c>
      <c r="D49" s="209" t="str">
        <f>IFERROR(__xludf.DUMMYFUNCTION("TRANSPOSE(FILTER(LS2B!B:B, LS2B!Z:Z=""D""))"),"#N/A")</f>
        <v>#N/A</v>
      </c>
      <c r="E49" s="209"/>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COUNTIF(LS2B!Z5:Z23,"C")</f>
        <v>2</v>
      </c>
      <c r="D50" s="209" t="str">
        <f>IFERROR(__xludf.DUMMYFUNCTION("TRANSPOSE(FILTER(LS2B!B:B, LS2B!Z:Z=""C""))"),"Sebaiindira Abdul-Ahad")</f>
        <v>Sebaiindira Abdul-Ahad</v>
      </c>
      <c r="E50" s="209" t="str">
        <f>IFERROR(__xludf.DUMMYFUNCTION("""COMPUTED_VALUE"""),"Yff Samuel")</f>
        <v>Yff Samuel</v>
      </c>
      <c r="F50" s="209"/>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COUNTIF(LS2B!Z5:Z23,"B")</f>
        <v>4</v>
      </c>
      <c r="D51" s="209" t="str">
        <f>IFERROR(__xludf.DUMMYFUNCTION("TRANSPOSE(FILTER(LS2B!B:B, LS2B!Z:Z=""B""))"),"Muhire Blair")</f>
        <v>Muhire Blair</v>
      </c>
      <c r="E51" s="209" t="str">
        <f>IFERROR(__xludf.DUMMYFUNCTION("""COMPUTED_VALUE"""),"Ncube Zanele")</f>
        <v>Ncube Zanele</v>
      </c>
      <c r="F51" s="209" t="str">
        <f>IFERROR(__xludf.DUMMYFUNCTION("""COMPUTED_VALUE"""),"Kaonga Walusungu")</f>
        <v>Kaonga Walusungu</v>
      </c>
      <c r="G51" s="209" t="str">
        <f>IFERROR(__xludf.DUMMYFUNCTION("""COMPUTED_VALUE"""),"Sinyangwe James")</f>
        <v>Sinyangwe James</v>
      </c>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COUNTIF(LS2B!Z5:Z23,"A")</f>
        <v>9</v>
      </c>
      <c r="D52" s="209" t="str">
        <f>IFERROR(__xludf.DUMMYFUNCTION("TRANSPOSE(FILTER(LS2B!B:B, LS2B!Z:Z=""A""))"),"Mathur Sumay")</f>
        <v>Mathur Sumay</v>
      </c>
      <c r="E52" s="209" t="str">
        <f>IFERROR(__xludf.DUMMYFUNCTION("""COMPUTED_VALUE"""),"Kandela Elisha")</f>
        <v>Kandela Elisha</v>
      </c>
      <c r="F52" s="209" t="str">
        <f>IFERROR(__xludf.DUMMYFUNCTION("""COMPUTED_VALUE"""),"Young Jessica")</f>
        <v>Young Jessica</v>
      </c>
      <c r="G52" s="209" t="str">
        <f>IFERROR(__xludf.DUMMYFUNCTION("""COMPUTED_VALUE"""),"Sanoj Sephania")</f>
        <v>Sanoj Sephania</v>
      </c>
      <c r="H52" s="209" t="str">
        <f>IFERROR(__xludf.DUMMYFUNCTION("""COMPUTED_VALUE"""),"Sharma Shivik")</f>
        <v>Sharma Shivik</v>
      </c>
      <c r="I52" s="209" t="str">
        <f>IFERROR(__xludf.DUMMYFUNCTION("""COMPUTED_VALUE"""),"Nebhwani Jay")</f>
        <v>Nebhwani Jay</v>
      </c>
      <c r="J52" s="209" t="str">
        <f>IFERROR(__xludf.DUMMYFUNCTION("""COMPUTED_VALUE"""),"Katupisha Mwambuye")</f>
        <v>Katupisha Mwambuye</v>
      </c>
      <c r="K52" s="209" t="str">
        <f>IFERROR(__xludf.DUMMYFUNCTION("""COMPUTED_VALUE"""),"Chisupa Mwila")</f>
        <v>Chisupa Mwila</v>
      </c>
      <c r="L52" s="209" t="str">
        <f>IFERROR(__xludf.DUMMYFUNCTION("""COMPUTED_VALUE"""),"Sakala Ethan")</f>
        <v>Sakala Ethan</v>
      </c>
      <c r="M52" s="209"/>
      <c r="N52" s="209"/>
      <c r="O52" s="209"/>
      <c r="P52" s="209"/>
      <c r="Q52" s="209"/>
      <c r="R52" s="209"/>
      <c r="S52" s="209"/>
      <c r="T52" s="209"/>
      <c r="U52" s="209"/>
      <c r="V52" s="209"/>
      <c r="W52" s="209"/>
      <c r="X52" s="209"/>
      <c r="Y52" s="209"/>
      <c r="Z52" s="209"/>
      <c r="AA52" s="209"/>
    </row>
    <row r="53">
      <c r="A53" s="441"/>
      <c r="B53" s="440" t="s">
        <v>152</v>
      </c>
      <c r="C53" s="440">
        <f>COUNTIF(LS2B!Z5:Z23,"A~*")</f>
        <v>2</v>
      </c>
      <c r="D53" s="209" t="str">
        <f>IFERROR(__xludf.DUMMYFUNCTION("TRANSPOSE(FILTER(LS2B!B:B, LS2B!Z:Z=""A*""))"),"Gichinga Anaya")</f>
        <v>Gichinga Anaya</v>
      </c>
      <c r="E53" s="209" t="str">
        <f>IFERROR(__xludf.DUMMYFUNCTION("""COMPUTED_VALUE"""),"Dube Ryan")</f>
        <v>Dube Ryan</v>
      </c>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COUNTIF(LS2B!AD5:AD23,"U")</f>
        <v>0</v>
      </c>
      <c r="D55" s="209" t="str">
        <f>IFERROR(__xludf.DUMMYFUNCTION("TRANSPOSE(FILTER(LS2B!B:B, LS2B!AD:AD=""U""))"),"#N/A")</f>
        <v>#N/A</v>
      </c>
      <c r="E55" s="209"/>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COUNTIF(LS2B!AD5:AD23,"G")</f>
        <v>0</v>
      </c>
      <c r="D56" s="209" t="str">
        <f>IFERROR(__xludf.DUMMYFUNCTION("TRANSPOSE(FILTER(LS2B!B:B, LS2B!AD:AD=""G""))"),"#N/A")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COUNTIF(LS2B!AD5:AD23,"F")</f>
        <v>0</v>
      </c>
      <c r="D57" s="209" t="str">
        <f>IFERROR(__xludf.DUMMYFUNCTION("TRANSPOSE(FILTER(LS2B!B:B, LS2B!AD:AD=""F""))"),"#N/A")</f>
        <v>#N/A</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COUNTIF(LS2B!AD5:AD23,"E")</f>
        <v>1</v>
      </c>
      <c r="D58" s="209" t="str">
        <f>IFERROR(__xludf.DUMMYFUNCTION("TRANSPOSE(FILTER(LS2B!B:B, LS2B!AD:AD=""E""))"),"Yff Samuel")</f>
        <v>Yff Samuel</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COUNTIF(LS2B!AD5:AD23,"D")</f>
        <v>2</v>
      </c>
      <c r="D59" s="209" t="str">
        <f>IFERROR(__xludf.DUMMYFUNCTION("TRANSPOSE(FILTER(LS2B!B:B, LS2B!AD:AD=""D""))"),"Sebaiindira Abdul-Ahad")</f>
        <v>Sebaiindira Abdul-Ahad</v>
      </c>
      <c r="E59" s="209" t="str">
        <f>IFERROR(__xludf.DUMMYFUNCTION("""COMPUTED_VALUE"""),"Kaonga Walusungu")</f>
        <v>Kaonga Walusungu</v>
      </c>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COUNTIF(LS2B!AD5:AD23,"C")</f>
        <v>7</v>
      </c>
      <c r="D60" s="209" t="str">
        <f>IFERROR(__xludf.DUMMYFUNCTION("TRANSPOSE(FILTER(LS2B!B:B, LS2B!AD:AD=""C""))"),"Mathur Sumay")</f>
        <v>Mathur Sumay</v>
      </c>
      <c r="E60" s="209" t="str">
        <f>IFERROR(__xludf.DUMMYFUNCTION("""COMPUTED_VALUE"""),"Young Jessica")</f>
        <v>Young Jessica</v>
      </c>
      <c r="F60" s="209" t="str">
        <f>IFERROR(__xludf.DUMMYFUNCTION("""COMPUTED_VALUE"""),"Sanoj Sephania")</f>
        <v>Sanoj Sephania</v>
      </c>
      <c r="G60" s="209" t="str">
        <f>IFERROR(__xludf.DUMMYFUNCTION("""COMPUTED_VALUE"""),"Nebhwani Jay")</f>
        <v>Nebhwani Jay</v>
      </c>
      <c r="H60" s="209" t="str">
        <f>IFERROR(__xludf.DUMMYFUNCTION("""COMPUTED_VALUE"""),"Katupisha Mwambuye")</f>
        <v>Katupisha Mwambuye</v>
      </c>
      <c r="I60" s="209" t="str">
        <f>IFERROR(__xludf.DUMMYFUNCTION("""COMPUTED_VALUE"""),"Sinyangwe James")</f>
        <v>Sinyangwe James</v>
      </c>
      <c r="J60" s="209" t="str">
        <f>IFERROR(__xludf.DUMMYFUNCTION("""COMPUTED_VALUE"""),"Swima Rabbi")</f>
        <v>Swima Rabbi</v>
      </c>
      <c r="K60" s="209"/>
      <c r="L60" s="209"/>
      <c r="M60" s="209"/>
      <c r="N60" s="209"/>
      <c r="O60" s="209"/>
      <c r="P60" s="209"/>
      <c r="Q60" s="209"/>
      <c r="R60" s="209"/>
      <c r="S60" s="209"/>
      <c r="T60" s="209"/>
      <c r="U60" s="209"/>
      <c r="V60" s="209"/>
      <c r="W60" s="209"/>
      <c r="X60" s="209"/>
      <c r="Y60" s="209"/>
      <c r="Z60" s="209"/>
      <c r="AA60" s="209"/>
    </row>
    <row r="61">
      <c r="A61" s="441"/>
      <c r="B61" s="440" t="s">
        <v>87</v>
      </c>
      <c r="C61" s="440">
        <f>COUNTIF(LS2B!AD5:AD23,"B")</f>
        <v>1</v>
      </c>
      <c r="D61" s="209" t="str">
        <f>IFERROR(__xludf.DUMMYFUNCTION("TRANSPOSE(FILTER(LS2B!B:B, LS2B!AD:AD=""B""))"),"Ncube Zanele")</f>
        <v>Ncube Zanele</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COUNTIF(LS2B!AD5:AD23,"A")</f>
        <v>2</v>
      </c>
      <c r="D62" s="209" t="str">
        <f>IFERROR(__xludf.DUMMYFUNCTION("TRANSPOSE(FILTER(LS2B!B:B, LS2B!AD:AD=""A""))"),"Muhire Blair")</f>
        <v>Muhire Blair</v>
      </c>
      <c r="E62" s="209" t="str">
        <f>IFERROR(__xludf.DUMMYFUNCTION("""COMPUTED_VALUE"""),"Kandela Elisha")</f>
        <v>Kandela Elisha</v>
      </c>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COUNTIF(LS2B!AD5:AD23,"A~*")</f>
        <v>5</v>
      </c>
      <c r="D63" s="209" t="str">
        <f>IFERROR(__xludf.DUMMYFUNCTION("TRANSPOSE(FILTER(LS2B!B:B, LS2B!AD:AD=""A*""))"),"Gichinga Anaya")</f>
        <v>Gichinga Anaya</v>
      </c>
      <c r="E63" s="209" t="str">
        <f>IFERROR(__xludf.DUMMYFUNCTION("""COMPUTED_VALUE"""),"Sharma Shivik")</f>
        <v>Sharma Shivik</v>
      </c>
      <c r="F63" s="209" t="str">
        <f>IFERROR(__xludf.DUMMYFUNCTION("""COMPUTED_VALUE"""),"Dube Ryan")</f>
        <v>Dube Ryan</v>
      </c>
      <c r="G63" s="209" t="str">
        <f>IFERROR(__xludf.DUMMYFUNCTION("""COMPUTED_VALUE"""),"Chisupa Mwila")</f>
        <v>Chisupa Mwila</v>
      </c>
      <c r="H63" s="209" t="str">
        <f>IFERROR(__xludf.DUMMYFUNCTION("""COMPUTED_VALUE"""),"Sakala Ethan")</f>
        <v>Sakala Ethan</v>
      </c>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COUNTIF(LS2B!AH5:AH23,"U")</f>
        <v>0</v>
      </c>
      <c r="D65" s="209" t="str">
        <f>IFERROR(__xludf.DUMMYFUNCTION("TRANSPOSE(FILTER(LS2B!B:B, LS2B!AH:AH=""U""))"),"#N/A")</f>
        <v>#N/A</v>
      </c>
      <c r="E65" s="209"/>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COUNTIF(LS2B!AH5:AH23,"G")</f>
        <v>0</v>
      </c>
      <c r="D66" s="209" t="str">
        <f>IFERROR(__xludf.DUMMYFUNCTION("TRANSPOSE(FILTER(LS2B!B:B, LS2B!AH:AH=""G""))"),"#N/A")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COUNTIF(LS2B!AH5:AH23,"F")</f>
        <v>0</v>
      </c>
      <c r="D67" s="209" t="str">
        <f>IFERROR(__xludf.DUMMYFUNCTION("TRANSPOSE(FILTER(LS2B!B:B, LS2B!AH:AH=""F""))"),"#N/A")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COUNTIF(LS2B!AH5:AH23,"E")</f>
        <v>0</v>
      </c>
      <c r="D68" s="209" t="str">
        <f>IFERROR(__xludf.DUMMYFUNCTION("TRANSPOSE(FILTER(LS2B!B:B, LS2B!AH:AH=""E""))"),"#N/A")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COUNTIF(LS2B!AH5:AH23,"D")</f>
        <v>0</v>
      </c>
      <c r="D69" s="209" t="str">
        <f>IFERROR(__xludf.DUMMYFUNCTION("TRANSPOSE(FILTER(LS2B!B:B, LS2B!AH:AH=""D""))"),"#N/A")</f>
        <v>#N/A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COUNTIF(LS2B!AH5:AH23,"C")</f>
        <v>4</v>
      </c>
      <c r="D70" s="209" t="str">
        <f>IFERROR(__xludf.DUMMYFUNCTION("TRANSPOSE(FILTER(LS2B!B:B, LS2B!AH:AH=""C""))"),"Yff Samuel")</f>
        <v>Yff Samuel</v>
      </c>
      <c r="E70" s="209" t="str">
        <f>IFERROR(__xludf.DUMMYFUNCTION("""COMPUTED_VALUE"""),"Katupisha Mwambuye")</f>
        <v>Katupisha Mwambuye</v>
      </c>
      <c r="F70" s="209" t="str">
        <f>IFERROR(__xludf.DUMMYFUNCTION("""COMPUTED_VALUE"""),"Sinyangwe James")</f>
        <v>Sinyangwe James</v>
      </c>
      <c r="G70" s="209" t="str">
        <f>IFERROR(__xludf.DUMMYFUNCTION("""COMPUTED_VALUE"""),"Swima Rabbi")</f>
        <v>Swima Rabbi</v>
      </c>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COUNTIF(LS2B!AH5:AH23,"B")</f>
        <v>9</v>
      </c>
      <c r="D71" s="209" t="str">
        <f>IFERROR(__xludf.DUMMYFUNCTION("TRANSPOSE(FILTER(LS2B!B:B, LS2B!AH:AH=""B""))"),"Mathur Sumay")</f>
        <v>Mathur Sumay</v>
      </c>
      <c r="E71" s="209" t="str">
        <f>IFERROR(__xludf.DUMMYFUNCTION("""COMPUTED_VALUE"""),"Young Jessica")</f>
        <v>Young Jessica</v>
      </c>
      <c r="F71" s="209" t="str">
        <f>IFERROR(__xludf.DUMMYFUNCTION("""COMPUTED_VALUE"""),"Sanoj Sephania")</f>
        <v>Sanoj Sephania</v>
      </c>
      <c r="G71" s="209" t="str">
        <f>IFERROR(__xludf.DUMMYFUNCTION("""COMPUTED_VALUE"""),"Sharma Shivik")</f>
        <v>Sharma Shivik</v>
      </c>
      <c r="H71" s="209" t="str">
        <f>IFERROR(__xludf.DUMMYFUNCTION("""COMPUTED_VALUE"""),"Nebhwani Jay")</f>
        <v>Nebhwani Jay</v>
      </c>
      <c r="I71" s="209" t="str">
        <f>IFERROR(__xludf.DUMMYFUNCTION("""COMPUTED_VALUE"""),"Kaonga Walusungu")</f>
        <v>Kaonga Walusungu</v>
      </c>
      <c r="J71" s="209" t="str">
        <f>IFERROR(__xludf.DUMMYFUNCTION("""COMPUTED_VALUE"""),"Dube Ryan")</f>
        <v>Dube Ryan</v>
      </c>
      <c r="K71" s="209" t="str">
        <f>IFERROR(__xludf.DUMMYFUNCTION("""COMPUTED_VALUE"""),"Chisupa Mwila")</f>
        <v>Chisupa Mwila</v>
      </c>
      <c r="L71" s="209" t="str">
        <f>IFERROR(__xludf.DUMMYFUNCTION("""COMPUTED_VALUE"""),"Sakala Ethan")</f>
        <v>Sakala Ethan</v>
      </c>
      <c r="M71" s="209"/>
      <c r="N71" s="209"/>
      <c r="O71" s="209"/>
      <c r="P71" s="209"/>
      <c r="Q71" s="209"/>
      <c r="R71" s="209"/>
      <c r="S71" s="209"/>
      <c r="T71" s="209"/>
      <c r="U71" s="209"/>
      <c r="V71" s="209"/>
      <c r="W71" s="209"/>
      <c r="X71" s="209"/>
      <c r="Y71" s="209"/>
      <c r="Z71" s="209"/>
      <c r="AA71" s="209"/>
    </row>
    <row r="72">
      <c r="A72" s="441"/>
      <c r="B72" s="440" t="s">
        <v>85</v>
      </c>
      <c r="C72" s="440">
        <f>COUNTIF(LS2B!AH5:AH23,"A")</f>
        <v>5</v>
      </c>
      <c r="D72" s="209" t="str">
        <f>IFERROR(__xludf.DUMMYFUNCTION("TRANSPOSE(FILTER(LS2B!B:B, LS2B!AH:AH=""A""))"),"Muhire Blair")</f>
        <v>Muhire Blair</v>
      </c>
      <c r="E72" s="209" t="str">
        <f>IFERROR(__xludf.DUMMYFUNCTION("""COMPUTED_VALUE"""),"Ncube Zanele")</f>
        <v>Ncube Zanele</v>
      </c>
      <c r="F72" s="209" t="str">
        <f>IFERROR(__xludf.DUMMYFUNCTION("""COMPUTED_VALUE"""),"Kandela Elisha")</f>
        <v>Kandela Elisha</v>
      </c>
      <c r="G72" s="209" t="str">
        <f>IFERROR(__xludf.DUMMYFUNCTION("""COMPUTED_VALUE"""),"Gichinga Anaya")</f>
        <v>Gichinga Anaya</v>
      </c>
      <c r="H72" s="209" t="str">
        <f>IFERROR(__xludf.DUMMYFUNCTION("""COMPUTED_VALUE"""),"Sebaiindira Abdul-Ahad")</f>
        <v>Sebaiindira Abdul-Ahad</v>
      </c>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COUNTIF(LS2B!AH5:AH23,"A~*")</f>
        <v>0</v>
      </c>
      <c r="D73" s="209" t="str">
        <f>IFERROR(__xludf.DUMMYFUNCTION("TRANSPOSE(FILTER(LS2B!B:B, LS2B!AH:AH=""A*""))"),"#N/A")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COUNTIF(LS2B!AL5:AL23,"U")</f>
        <v>0</v>
      </c>
      <c r="D75" s="209" t="str">
        <f>IFERROR(__xludf.DUMMYFUNCTION("TRANSPOSE(FILTER(LS2B!B:B, LS2B!AL:AL=""U""))"),"#N/A")</f>
        <v>#N/A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COUNTIF(LS2B!AL5:AL23,"G")</f>
        <v>0</v>
      </c>
      <c r="D76" s="209" t="str">
        <f>IFERROR(__xludf.DUMMYFUNCTION("TRANSPOSE(FILTER(LS2B!B:B, LS2B!AL:AL=""G""))"),"#N/A")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COUNTIF(LS2B!AL5:AL23,"F")</f>
        <v>0</v>
      </c>
      <c r="D77" s="209" t="str">
        <f>IFERROR(__xludf.DUMMYFUNCTION("TRANSPOSE(FILTER(LS2B!B:B, LS2B!AL:AL=""F""))"),"#N/A")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COUNTIF(LS2B!AL5:AL23,"E")</f>
        <v>0</v>
      </c>
      <c r="D78" s="209" t="str">
        <f>IFERROR(__xludf.DUMMYFUNCTION("TRANSPOSE(FILTER(LS2B!B:B, LS2B!AL:AL=""E""))"),"#N/A")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COUNTIF(LS2B!AL5:AL23,"D")</f>
        <v>3</v>
      </c>
      <c r="D79" s="209" t="str">
        <f>IFERROR(__xludf.DUMMYFUNCTION("TRANSPOSE(FILTER(LS2B!B:B, LS2B!AL:AL=""D""))"),"Sebaiindira Abdul-Ahad")</f>
        <v>Sebaiindira Abdul-Ahad</v>
      </c>
      <c r="E79" s="209" t="str">
        <f>IFERROR(__xludf.DUMMYFUNCTION("""COMPUTED_VALUE"""),"Yff Samuel")</f>
        <v>Yff Samuel</v>
      </c>
      <c r="F79" s="209" t="str">
        <f>IFERROR(__xludf.DUMMYFUNCTION("""COMPUTED_VALUE"""),"Swima Rabbi")</f>
        <v>Swima Rabbi</v>
      </c>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COUNTIF(LS2B!AL5:AL23,"C")</f>
        <v>4</v>
      </c>
      <c r="D80" s="209" t="str">
        <f>IFERROR(__xludf.DUMMYFUNCTION("TRANSPOSE(FILTER(LS2B!B:B, LS2B!AL:AL=""C""))"),"Sanoj Sephania")</f>
        <v>Sanoj Sephania</v>
      </c>
      <c r="E80" s="209" t="str">
        <f>IFERROR(__xludf.DUMMYFUNCTION("""COMPUTED_VALUE"""),"Sharma Shivik")</f>
        <v>Sharma Shivik</v>
      </c>
      <c r="F80" s="209" t="str">
        <f>IFERROR(__xludf.DUMMYFUNCTION("""COMPUTED_VALUE"""),"Nebhwani Jay")</f>
        <v>Nebhwani Jay</v>
      </c>
      <c r="G80" s="209" t="str">
        <f>IFERROR(__xludf.DUMMYFUNCTION("""COMPUTED_VALUE"""),"Katupisha Mwambuye")</f>
        <v>Katupisha Mwambuye</v>
      </c>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COUNTIF(LS2B!AL5:AL23,"B")</f>
        <v>7</v>
      </c>
      <c r="D81" s="209" t="str">
        <f>IFERROR(__xludf.DUMMYFUNCTION("TRANSPOSE(FILTER(LS2B!B:B, LS2B!AL:AL=""B""))"),"Muhire Blair")</f>
        <v>Muhire Blair</v>
      </c>
      <c r="E81" s="209" t="str">
        <f>IFERROR(__xludf.DUMMYFUNCTION("""COMPUTED_VALUE"""),"Ncube Zanele")</f>
        <v>Ncube Zanele</v>
      </c>
      <c r="F81" s="209" t="str">
        <f>IFERROR(__xludf.DUMMYFUNCTION("""COMPUTED_VALUE"""),"Young Jessica")</f>
        <v>Young Jessica</v>
      </c>
      <c r="G81" s="209" t="str">
        <f>IFERROR(__xludf.DUMMYFUNCTION("""COMPUTED_VALUE"""),"Kaonga Walusungu")</f>
        <v>Kaonga Walusungu</v>
      </c>
      <c r="H81" s="209" t="str">
        <f>IFERROR(__xludf.DUMMYFUNCTION("""COMPUTED_VALUE"""),"Dube Ryan")</f>
        <v>Dube Ryan</v>
      </c>
      <c r="I81" s="209" t="str">
        <f>IFERROR(__xludf.DUMMYFUNCTION("""COMPUTED_VALUE"""),"Sinyangwe James")</f>
        <v>Sinyangwe James</v>
      </c>
      <c r="J81" s="209" t="str">
        <f>IFERROR(__xludf.DUMMYFUNCTION("""COMPUTED_VALUE"""),"Chisupa Mwila")</f>
        <v>Chisupa Mwila</v>
      </c>
      <c r="K81" s="209"/>
      <c r="L81" s="209"/>
      <c r="M81" s="209"/>
      <c r="N81" s="209"/>
      <c r="O81" s="209"/>
      <c r="P81" s="209"/>
      <c r="Q81" s="209"/>
      <c r="R81" s="209"/>
      <c r="S81" s="209"/>
      <c r="T81" s="209"/>
      <c r="U81" s="209"/>
      <c r="V81" s="209"/>
      <c r="W81" s="209"/>
      <c r="X81" s="209"/>
      <c r="Y81" s="209"/>
      <c r="Z81" s="209"/>
      <c r="AA81" s="209"/>
    </row>
    <row r="82">
      <c r="A82" s="441"/>
      <c r="B82" s="440" t="s">
        <v>85</v>
      </c>
      <c r="C82" s="440">
        <f>COUNTIF(LS2B!AL5:AL23,"A")</f>
        <v>3</v>
      </c>
      <c r="D82" s="209" t="str">
        <f>IFERROR(__xludf.DUMMYFUNCTION("TRANSPOSE(FILTER(LS2B!B:B, LS2B!AL:AL=""A""))"),"Mathur Sumay")</f>
        <v>Mathur Sumay</v>
      </c>
      <c r="E82" s="209" t="str">
        <f>IFERROR(__xludf.DUMMYFUNCTION("""COMPUTED_VALUE"""),"Kandela Elisha")</f>
        <v>Kandela Elisha</v>
      </c>
      <c r="F82" s="209" t="str">
        <f>IFERROR(__xludf.DUMMYFUNCTION("""COMPUTED_VALUE"""),"Gichinga Anaya")</f>
        <v>Gichinga Anaya</v>
      </c>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COUNTIF(LS2B!AL5:AL23,"A~*")</f>
        <v>1</v>
      </c>
      <c r="D83" s="209" t="str">
        <f>IFERROR(__xludf.DUMMYFUNCTION("TRANSPOSE(FILTER(LS2B!B:B, LS2B!AL:AL=""A*""))"),"Sakala Ethan")</f>
        <v>Sakala Ethan</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COUNTIF(LS2B!AP5:AP23,"U")</f>
        <v>0</v>
      </c>
      <c r="D85" s="209" t="str">
        <f>IFERROR(__xludf.DUMMYFUNCTION("TRANSPOSE(FILTER(LS2B!B:B, LS2B!AP:AP=""U""))"),"#N/A")</f>
        <v>#N/A</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COUNTIF(LS2B!AP5:AP23,"G")</f>
        <v>0</v>
      </c>
      <c r="D86" s="209" t="str">
        <f>IFERROR(__xludf.DUMMYFUNCTION("TRANSPOSE(FILTER(LS2B!B:B, LS2B!AP:AP=""G""))"),"#N/A")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COUNTIF(LS2B!AP5:AP23,"F")</f>
        <v>0</v>
      </c>
      <c r="D87" s="209" t="str">
        <f>IFERROR(__xludf.DUMMYFUNCTION("TRANSPOSE(FILTER(LS2B!B:B, LS2B!AP:AP=""F""))"),"#N/A")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COUNTIF(LS2B!AP5:AP23,"E")</f>
        <v>0</v>
      </c>
      <c r="D88" s="209" t="str">
        <f>IFERROR(__xludf.DUMMYFUNCTION("TRANSPOSE(FILTER(LS2B!B:B, LS2B!AP:AP=""E""))"),"#N/A")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COUNTIF(LS2B!AP5:AP23,"D")</f>
        <v>1</v>
      </c>
      <c r="D89" s="209" t="str">
        <f>IFERROR(__xludf.DUMMYFUNCTION("TRANSPOSE(FILTER(LS2B!B:B, LS2B!AP:AP=""D""))"),"Sebaiindira Abdul-Ahad")</f>
        <v>Sebaiindira Abdul-Ahad</v>
      </c>
      <c r="E89" s="209"/>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COUNTIF(LS2B!AP5:AP23,"C")</f>
        <v>6</v>
      </c>
      <c r="D90" s="209" t="str">
        <f>IFERROR(__xludf.DUMMYFUNCTION("TRANSPOSE(FILTER(LS2B!B:B, LS2B!AP:AP=""C""))"),"Kandela Elisha")</f>
        <v>Kandela Elisha</v>
      </c>
      <c r="E90" s="209" t="str">
        <f>IFERROR(__xludf.DUMMYFUNCTION("""COMPUTED_VALUE"""),"Sharma Shivik")</f>
        <v>Sharma Shivik</v>
      </c>
      <c r="F90" s="209" t="str">
        <f>IFERROR(__xludf.DUMMYFUNCTION("""COMPUTED_VALUE"""),"Nebhwani Jay")</f>
        <v>Nebhwani Jay</v>
      </c>
      <c r="G90" s="209" t="str">
        <f>IFERROR(__xludf.DUMMYFUNCTION("""COMPUTED_VALUE"""),"Dube Ryan")</f>
        <v>Dube Ryan</v>
      </c>
      <c r="H90" s="209" t="str">
        <f>IFERROR(__xludf.DUMMYFUNCTION("""COMPUTED_VALUE"""),"Sinyangwe James")</f>
        <v>Sinyangwe James</v>
      </c>
      <c r="I90" s="209" t="str">
        <f>IFERROR(__xludf.DUMMYFUNCTION("""COMPUTED_VALUE"""),"Chisupa Mwila")</f>
        <v>Chisupa Mwila</v>
      </c>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COUNTIF(LS2B!AP5:AP23,"B")</f>
        <v>8</v>
      </c>
      <c r="D91" s="209" t="str">
        <f>IFERROR(__xludf.DUMMYFUNCTION("TRANSPOSE(FILTER(LS2B!B:B, LS2B!AP:AP=""B""))"),"Mathur Sumay")</f>
        <v>Mathur Sumay</v>
      </c>
      <c r="E91" s="209" t="str">
        <f>IFERROR(__xludf.DUMMYFUNCTION("""COMPUTED_VALUE"""),"Muhire Blair")</f>
        <v>Muhire Blair</v>
      </c>
      <c r="F91" s="209" t="str">
        <f>IFERROR(__xludf.DUMMYFUNCTION("""COMPUTED_VALUE"""),"Gichinga Anaya")</f>
        <v>Gichinga Anaya</v>
      </c>
      <c r="G91" s="209" t="str">
        <f>IFERROR(__xludf.DUMMYFUNCTION("""COMPUTED_VALUE"""),"Young Jessica")</f>
        <v>Young Jessica</v>
      </c>
      <c r="H91" s="209" t="str">
        <f>IFERROR(__xludf.DUMMYFUNCTION("""COMPUTED_VALUE"""),"Sanoj Sephania")</f>
        <v>Sanoj Sephania</v>
      </c>
      <c r="I91" s="209" t="str">
        <f>IFERROR(__xludf.DUMMYFUNCTION("""COMPUTED_VALUE"""),"Yff Samuel")</f>
        <v>Yff Samuel</v>
      </c>
      <c r="J91" s="209" t="str">
        <f>IFERROR(__xludf.DUMMYFUNCTION("""COMPUTED_VALUE"""),"Kaonga Walusungu")</f>
        <v>Kaonga Walusungu</v>
      </c>
      <c r="K91" s="209" t="str">
        <f>IFERROR(__xludf.DUMMYFUNCTION("""COMPUTED_VALUE"""),"Sakala Ethan")</f>
        <v>Sakala Ethan</v>
      </c>
      <c r="L91" s="209"/>
      <c r="M91" s="209"/>
      <c r="N91" s="209"/>
      <c r="O91" s="209"/>
      <c r="P91" s="209"/>
      <c r="Q91" s="209"/>
      <c r="R91" s="209"/>
      <c r="S91" s="209"/>
      <c r="T91" s="209"/>
      <c r="U91" s="209"/>
      <c r="V91" s="209"/>
      <c r="W91" s="209"/>
      <c r="X91" s="209"/>
      <c r="Y91" s="209"/>
      <c r="Z91" s="209"/>
      <c r="AA91" s="209"/>
    </row>
    <row r="92">
      <c r="A92" s="441"/>
      <c r="B92" s="440" t="s">
        <v>85</v>
      </c>
      <c r="C92" s="440">
        <f>COUNTIF(LS2B!AP5:AP23,"A")</f>
        <v>3</v>
      </c>
      <c r="D92" s="209" t="str">
        <f>IFERROR(__xludf.DUMMYFUNCTION("TRANSPOSE(FILTER(LS2B!B:B, LS2B!AP:AP=""A""))"),"Ncube Zanele")</f>
        <v>Ncube Zanele</v>
      </c>
      <c r="E92" s="209" t="str">
        <f>IFERROR(__xludf.DUMMYFUNCTION("""COMPUTED_VALUE"""),"Katupisha Mwambuye")</f>
        <v>Katupisha Mwambuye</v>
      </c>
      <c r="F92" s="209" t="str">
        <f>IFERROR(__xludf.DUMMYFUNCTION("""COMPUTED_VALUE"""),"Swima Rabbi")</f>
        <v>Swima Rabbi</v>
      </c>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COUNTIF(LS2B!AP5:AP23,"A~*")</f>
        <v>0</v>
      </c>
      <c r="D93" s="209" t="str">
        <f>IFERROR(__xludf.DUMMYFUNCTION("TRANSPOSE(FILTER(LS2B!B:B, LS2B!AP:AP=""A*""))"),"#N/A")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7</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COUNTIF(LS2A!F5:F29,"U")</f>
        <v>4</v>
      </c>
      <c r="D4" s="209" t="str">
        <f>IFERROR(__xludf.DUMMYFUNCTION("TRANSPOSE(FILTER(LS2A!B:B, LS2A!F:F=""U""))"),"Dakwa Isia Yanis")</f>
        <v>Dakwa Isia Yanis</v>
      </c>
      <c r="E4" s="209" t="str">
        <f>IFERROR(__xludf.DUMMYFUNCTION("""COMPUTED_VALUE"""),"Vlasonjic Andrej")</f>
        <v>Vlasonjic Andrej</v>
      </c>
      <c r="F4" s="209" t="str">
        <f>IFERROR(__xludf.DUMMYFUNCTION("""COMPUTED_VALUE"""),"Sialwindi Maria")</f>
        <v>Sialwindi Maria</v>
      </c>
      <c r="G4" s="209" t="str">
        <f>IFERROR(__xludf.DUMMYFUNCTION("""COMPUTED_VALUE"""),"Sikasula Gladys")</f>
        <v>Sikasula Gladys</v>
      </c>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COUNTIF(LS2A!F5:F29,"G")</f>
        <v>0</v>
      </c>
      <c r="D5" s="209" t="str">
        <f>IFERROR(__xludf.DUMMYFUNCTION("TRANSPOSE(FILTER(LS2A!B:B, LS2A!F:F=""G""))"),"#N/A")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COUNTIF(LS2A!F5:F29,"F")</f>
        <v>0</v>
      </c>
      <c r="D6" s="209" t="str">
        <f>IFERROR(__xludf.DUMMYFUNCTION("TRANSPOSE(FILTER(LS2A!B:B, LS2A!F:F=""F""))"),"#N/A")</f>
        <v>#N/A</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COUNTIF(LS2A!F5:F29,"E")</f>
        <v>4</v>
      </c>
      <c r="D7" s="209" t="str">
        <f>IFERROR(__xludf.DUMMYFUNCTION("TRANSPOSE(FILTER(LS2A!B:B, LS2A!F:F=""E""))"),"Temba Nicholas")</f>
        <v>Temba Nicholas</v>
      </c>
      <c r="E7" s="209" t="str">
        <f>IFERROR(__xludf.DUMMYFUNCTION("""COMPUTED_VALUE"""),"Mavhunga Mufaro")</f>
        <v>Mavhunga Mufaro</v>
      </c>
      <c r="F7" s="209" t="str">
        <f>IFERROR(__xludf.DUMMYFUNCTION("""COMPUTED_VALUE"""),"Mustafa Amina")</f>
        <v>Mustafa Amina</v>
      </c>
      <c r="G7" s="209" t="str">
        <f>IFERROR(__xludf.DUMMYFUNCTION("""COMPUTED_VALUE"""),"Khalifeh Julia")</f>
        <v>Khalifeh Julia</v>
      </c>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COUNTIF(LS2A!F5:F29,"D")</f>
        <v>6</v>
      </c>
      <c r="D8" s="209" t="str">
        <f>IFERROR(__xludf.DUMMYFUNCTION("TRANSPOSE(FILTER(LS2A!B:B, LS2A!F:F=""D""))"),"Kalala Enoch")</f>
        <v>Kalala Enoch</v>
      </c>
      <c r="E8" s="209" t="str">
        <f>IFERROR(__xludf.DUMMYFUNCTION("""COMPUTED_VALUE"""),"Aori Ryan")</f>
        <v>Aori Ryan</v>
      </c>
      <c r="F8" s="209" t="str">
        <f>IFERROR(__xludf.DUMMYFUNCTION("""COMPUTED_VALUE"""),"Ngoshi Jayden")</f>
        <v>Ngoshi Jayden</v>
      </c>
      <c r="G8" s="209" t="str">
        <f>IFERROR(__xludf.DUMMYFUNCTION("""COMPUTED_VALUE"""),"Dubey Navya")</f>
        <v>Dubey Navya</v>
      </c>
      <c r="H8" s="209" t="str">
        <f>IFERROR(__xludf.DUMMYFUNCTION("""COMPUTED_VALUE"""),"Chileshe Chebo")</f>
        <v>Chileshe Chebo</v>
      </c>
      <c r="I8" s="209" t="str">
        <f>IFERROR(__xludf.DUMMYFUNCTION("""COMPUTED_VALUE"""),"Ahmed Hussein Ali")</f>
        <v>Ahmed Hussein Ali</v>
      </c>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COUNTIF(LS2A!F5:F29,"C")</f>
        <v>10</v>
      </c>
      <c r="D9" s="209" t="str">
        <f>IFERROR(__xludf.DUMMYFUNCTION("TRANSPOSE(FILTER(LS2A!B:B, LS2A!F:F=""C""))"),"Heald Z'bella")</f>
        <v>Heald Z'bella</v>
      </c>
      <c r="E9" s="209" t="str">
        <f>IFERROR(__xludf.DUMMYFUNCTION("""COMPUTED_VALUE"""),"De-miranda Stella")</f>
        <v>De-miranda Stella</v>
      </c>
      <c r="F9" s="209" t="str">
        <f>IFERROR(__xludf.DUMMYFUNCTION("""COMPUTED_VALUE"""),"Rovira Phiri Lucas")</f>
        <v>Rovira Phiri Lucas</v>
      </c>
      <c r="G9" s="209" t="str">
        <f>IFERROR(__xludf.DUMMYFUNCTION("""COMPUTED_VALUE"""),"Chulu Chaulela")</f>
        <v>Chulu Chaulela</v>
      </c>
      <c r="H9" s="209" t="str">
        <f>IFERROR(__xludf.DUMMYFUNCTION("""COMPUTED_VALUE"""),"Khanve Lakshya")</f>
        <v>Khanve Lakshya</v>
      </c>
      <c r="I9" s="209" t="str">
        <f>IFERROR(__xludf.DUMMYFUNCTION("""COMPUTED_VALUE"""),"Shalak Walid")</f>
        <v>Shalak Walid</v>
      </c>
      <c r="J9" s="209" t="str">
        <f>IFERROR(__xludf.DUMMYFUNCTION("""COMPUTED_VALUE"""),"Siame Kayla")</f>
        <v>Siame Kayla</v>
      </c>
      <c r="K9" s="209" t="str">
        <f>IFERROR(__xludf.DUMMYFUNCTION("""COMPUTED_VALUE"""),"Chiwoni Isabella")</f>
        <v>Chiwoni Isabella</v>
      </c>
      <c r="L9" s="209" t="str">
        <f>IFERROR(__xludf.DUMMYFUNCTION("""COMPUTED_VALUE"""),"Vergeer Aiden")</f>
        <v>Vergeer Aiden</v>
      </c>
      <c r="M9" s="209" t="str">
        <f>IFERROR(__xludf.DUMMYFUNCTION("""COMPUTED_VALUE"""),"Chinyemba Asia Adele")</f>
        <v>Chinyemba Asia Adele</v>
      </c>
      <c r="N9" s="209"/>
      <c r="O9" s="209"/>
      <c r="P9" s="209"/>
      <c r="Q9" s="209"/>
      <c r="R9" s="209"/>
      <c r="S9" s="209"/>
      <c r="T9" s="209"/>
      <c r="U9" s="209"/>
      <c r="V9" s="209"/>
      <c r="W9" s="209"/>
      <c r="X9" s="209"/>
      <c r="Y9" s="209"/>
      <c r="Z9" s="209"/>
      <c r="AA9" s="209"/>
    </row>
    <row r="10" ht="24.0" customHeight="1">
      <c r="A10" s="441"/>
      <c r="B10" s="440" t="s">
        <v>87</v>
      </c>
      <c r="C10" s="440">
        <f>COUNTIF(LS2A!F5:F29,"B")</f>
        <v>1</v>
      </c>
      <c r="D10" s="209" t="str">
        <f>IFERROR(__xludf.DUMMYFUNCTION("TRANSPOSE(FILTER(LS2A!B:B, LS2A!F:F=""B""))"),"Jane Shane")</f>
        <v>Jane Shane</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COUNTIF(LS2A!F5:F29,"A")</f>
        <v>0</v>
      </c>
      <c r="D11" s="209" t="str">
        <f>IFERROR(__xludf.DUMMYFUNCTION("TRANSPOSE(FILTER(LS2A!B:B, LS2A!F:F=""A""))"),"#N/A")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COUNTIF(LS2A!F5:F29,"A~*")</f>
        <v>0</v>
      </c>
      <c r="D12" s="209" t="str">
        <f>IFERROR(__xludf.DUMMYFUNCTION("TRANSPOSE(FILTER(LS2A!B:B, LS2A!F:F=""A*""))"),"#N/A")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COUNTIF(LS2A!J5:J29,"U")</f>
        <v>3</v>
      </c>
      <c r="D15" s="209" t="str">
        <f>IFERROR(__xludf.DUMMYFUNCTION("TRANSPOSE(FILTER(LS2A!B:B, LS2A!J:J=""U""))"),"Vlasonjic Andrej")</f>
        <v>Vlasonjic Andrej</v>
      </c>
      <c r="E15" s="209" t="str">
        <f>IFERROR(__xludf.DUMMYFUNCTION("""COMPUTED_VALUE"""),"Sialwindi Maria")</f>
        <v>Sialwindi Maria</v>
      </c>
      <c r="F15" s="209" t="str">
        <f>IFERROR(__xludf.DUMMYFUNCTION("""COMPUTED_VALUE"""),"Sikasula Gladys")</f>
        <v>Sikasula Gladys</v>
      </c>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COUNTIF(LS2A!J5:J29,"G")</f>
        <v>0</v>
      </c>
      <c r="D16" s="209" t="str">
        <f>IFERROR(__xludf.DUMMYFUNCTION("TRANSPOSE(FILTER(LS2A!B:B, LS2A!J:J=""G""))"),"#N/A")</f>
        <v>#N/A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COUNTIF(LS2A!J5:J29,"F")</f>
        <v>2</v>
      </c>
      <c r="D17" s="209" t="str">
        <f>IFERROR(__xludf.DUMMYFUNCTION("TRANSPOSE(FILTER(LS2A!B:B, LS2A!J:J=""F""))"),"De-miranda Stella")</f>
        <v>De-miranda Stella</v>
      </c>
      <c r="E17" s="209" t="str">
        <f>IFERROR(__xludf.DUMMYFUNCTION("""COMPUTED_VALUE"""),"Rovira Phiri Lucas")</f>
        <v>Rovira Phiri Lucas</v>
      </c>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COUNTIF(LS2A!J5:J29,"E")</f>
        <v>5</v>
      </c>
      <c r="D18" s="209" t="str">
        <f>IFERROR(__xludf.DUMMYFUNCTION("TRANSPOSE(FILTER(LS2A!B:B, LS2A!J:J=""E""))"),"Dakwa Isia Yanis")</f>
        <v>Dakwa Isia Yanis</v>
      </c>
      <c r="E18" s="209" t="str">
        <f>IFERROR(__xludf.DUMMYFUNCTION("""COMPUTED_VALUE"""),"Temba Nicholas")</f>
        <v>Temba Nicholas</v>
      </c>
      <c r="F18" s="209" t="str">
        <f>IFERROR(__xludf.DUMMYFUNCTION("""COMPUTED_VALUE"""),"Chiwoni Isabella")</f>
        <v>Chiwoni Isabella</v>
      </c>
      <c r="G18" s="209" t="str">
        <f>IFERROR(__xludf.DUMMYFUNCTION("""COMPUTED_VALUE"""),"Mustafa Amina")</f>
        <v>Mustafa Amina</v>
      </c>
      <c r="H18" s="209" t="str">
        <f>IFERROR(__xludf.DUMMYFUNCTION("""COMPUTED_VALUE"""),"Chinyemba Asia Adele")</f>
        <v>Chinyemba Asia Adele</v>
      </c>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COUNTIF(LS2A!J5:J29,"D")</f>
        <v>2</v>
      </c>
      <c r="D19" s="209" t="str">
        <f>IFERROR(__xludf.DUMMYFUNCTION("TRANSPOSE(FILTER(LS2A!B:B, LS2A!J:J=""D""))"),"Khalifeh Julia")</f>
        <v>Khalifeh Julia</v>
      </c>
      <c r="E19" s="209" t="str">
        <f>IFERROR(__xludf.DUMMYFUNCTION("""COMPUTED_VALUE"""),"Ahmed Hussein Ali")</f>
        <v>Ahmed Hussein Ali</v>
      </c>
      <c r="F19" s="209"/>
      <c r="G19" s="209"/>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COUNTIF(LS2A!J5:J29,"C")</f>
        <v>8</v>
      </c>
      <c r="D20" s="209" t="str">
        <f>IFERROR(__xludf.DUMMYFUNCTION("TRANSPOSE(FILTER(LS2A!B:B, LS2A!J:J=""C""))"),"Kalala Enoch")</f>
        <v>Kalala Enoch</v>
      </c>
      <c r="E20" s="209" t="str">
        <f>IFERROR(__xludf.DUMMYFUNCTION("""COMPUTED_VALUE"""),"Aori Ryan")</f>
        <v>Aori Ryan</v>
      </c>
      <c r="F20" s="209" t="str">
        <f>IFERROR(__xludf.DUMMYFUNCTION("""COMPUTED_VALUE"""),"Chulu Chaulela")</f>
        <v>Chulu Chaulela</v>
      </c>
      <c r="G20" s="209" t="str">
        <f>IFERROR(__xludf.DUMMYFUNCTION("""COMPUTED_VALUE"""),"Ngoshi Jayden")</f>
        <v>Ngoshi Jayden</v>
      </c>
      <c r="H20" s="209" t="str">
        <f>IFERROR(__xludf.DUMMYFUNCTION("""COMPUTED_VALUE"""),"Vergeer Aiden")</f>
        <v>Vergeer Aiden</v>
      </c>
      <c r="I20" s="209" t="str">
        <f>IFERROR(__xludf.DUMMYFUNCTION("""COMPUTED_VALUE"""),"Dubey Navya")</f>
        <v>Dubey Navya</v>
      </c>
      <c r="J20" s="209" t="str">
        <f>IFERROR(__xludf.DUMMYFUNCTION("""COMPUTED_VALUE"""),"Jane Shane")</f>
        <v>Jane Shane</v>
      </c>
      <c r="K20" s="209" t="str">
        <f>IFERROR(__xludf.DUMMYFUNCTION("""COMPUTED_VALUE"""),"Chileshe Chebo")</f>
        <v>Chileshe Chebo</v>
      </c>
      <c r="L20" s="209"/>
      <c r="M20" s="209"/>
      <c r="N20" s="209"/>
      <c r="O20" s="209"/>
      <c r="P20" s="209"/>
      <c r="Q20" s="209"/>
      <c r="R20" s="209"/>
      <c r="S20" s="209"/>
      <c r="T20" s="209"/>
      <c r="U20" s="209"/>
      <c r="V20" s="209"/>
      <c r="W20" s="209"/>
      <c r="X20" s="209"/>
      <c r="Y20" s="209"/>
      <c r="Z20" s="209"/>
      <c r="AA20" s="209"/>
    </row>
    <row r="21">
      <c r="A21" s="441"/>
      <c r="B21" s="440" t="s">
        <v>87</v>
      </c>
      <c r="C21" s="440">
        <f>COUNTIF(LS2A!J5:J29,"B")</f>
        <v>3</v>
      </c>
      <c r="D21" s="209" t="str">
        <f>IFERROR(__xludf.DUMMYFUNCTION("TRANSPOSE(FILTER(LS2A!B:B, LS2A!J:J=""B""))"),"Heald Z'bella")</f>
        <v>Heald Z'bella</v>
      </c>
      <c r="E21" s="209" t="str">
        <f>IFERROR(__xludf.DUMMYFUNCTION("""COMPUTED_VALUE"""),"Khanve Lakshya")</f>
        <v>Khanve Lakshya</v>
      </c>
      <c r="F21" s="209" t="str">
        <f>IFERROR(__xludf.DUMMYFUNCTION("""COMPUTED_VALUE"""),"Shalak Walid")</f>
        <v>Shalak Walid</v>
      </c>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COUNTIF(LS2A!J5:J29,"A")</f>
        <v>2</v>
      </c>
      <c r="D22" s="209" t="str">
        <f>IFERROR(__xludf.DUMMYFUNCTION("TRANSPOSE(FILTER(LS2A!B:B, LS2A!J:J=""A""))"),"Mavhunga Mufaro")</f>
        <v>Mavhunga Mufaro</v>
      </c>
      <c r="E22" s="209" t="str">
        <f>IFERROR(__xludf.DUMMYFUNCTION("""COMPUTED_VALUE"""),"Siame Kayla")</f>
        <v>Siame Kayla</v>
      </c>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COUNTIF(LS2A!J5:J29,"A~*")</f>
        <v>0</v>
      </c>
      <c r="D23" s="209" t="str">
        <f>IFERROR(__xludf.DUMMYFUNCTION("TRANSPOSE(FILTER(LS2A!B:B, LS2A!J:J=""A*""))"),"#N/A")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140</v>
      </c>
      <c r="C25" s="440">
        <f>COUNTIF(LS2A!N5:N29,"U")</f>
        <v>3</v>
      </c>
      <c r="D25" s="209" t="str">
        <f>IFERROR(__xludf.DUMMYFUNCTION("TRANSPOSE(FILTER(LS2A!B:B, LS2A!N:N=""U""))"),"Vlasonjic Andrej")</f>
        <v>Vlasonjic Andrej</v>
      </c>
      <c r="E25" s="209" t="str">
        <f>IFERROR(__xludf.DUMMYFUNCTION("""COMPUTED_VALUE"""),"Sialwindi Maria")</f>
        <v>Sialwindi Maria</v>
      </c>
      <c r="F25" s="209" t="str">
        <f>IFERROR(__xludf.DUMMYFUNCTION("""COMPUTED_VALUE"""),"Sikasula Gladys")</f>
        <v>Sikasula Gladys</v>
      </c>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COUNTIF(LS2A!N5:N29,"G")</f>
        <v>0</v>
      </c>
      <c r="D26" s="209" t="str">
        <f>IFERROR(__xludf.DUMMYFUNCTION("TRANSPOSE(FILTER(LS2A!B:B, LS2A!N:N=""G""))"),"#N/A")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COUNTIF(LS2A!N5:N29,"F")</f>
        <v>0</v>
      </c>
      <c r="D27" s="209" t="str">
        <f>IFERROR(__xludf.DUMMYFUNCTION("TRANSPOSE(FILTER(LS2A!B:B, LS2A!N:N=""F""))"),"#N/A")</f>
        <v>#N/A</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COUNTIF(LS2A!N5:N29,"E")</f>
        <v>1</v>
      </c>
      <c r="D28" s="209" t="str">
        <f>IFERROR(__xludf.DUMMYFUNCTION("TRANSPOSE(FILTER(LS2A!B:B, LS2A!N:N=""E""))"),"Dakwa Isia Yanis")</f>
        <v>Dakwa Isia Yanis</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COUNTIF(LS2A!N5:N29,"D")</f>
        <v>3</v>
      </c>
      <c r="D29" s="209" t="str">
        <f>IFERROR(__xludf.DUMMYFUNCTION("TRANSPOSE(FILTER(LS2A!B:B, LS2A!N:N=""D""))"),"Mustafa Amina")</f>
        <v>Mustafa Amina</v>
      </c>
      <c r="E29" s="209" t="str">
        <f>IFERROR(__xludf.DUMMYFUNCTION("""COMPUTED_VALUE"""),"Khalifeh Julia")</f>
        <v>Khalifeh Julia</v>
      </c>
      <c r="F29" s="209" t="str">
        <f>IFERROR(__xludf.DUMMYFUNCTION("""COMPUTED_VALUE"""),"Chileshe Chebo")</f>
        <v>Chileshe Chebo</v>
      </c>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COUNTIF(LS2A!N5:N29,"C")</f>
        <v>8</v>
      </c>
      <c r="D30" s="209" t="str">
        <f>IFERROR(__xludf.DUMMYFUNCTION("TRANSPOSE(FILTER(LS2A!B:B, LS2A!N:N=""C""))"),"De-miranda Stella")</f>
        <v>De-miranda Stella</v>
      </c>
      <c r="E30" s="209" t="str">
        <f>IFERROR(__xludf.DUMMYFUNCTION("""COMPUTED_VALUE"""),"Temba Nicholas")</f>
        <v>Temba Nicholas</v>
      </c>
      <c r="F30" s="209" t="str">
        <f>IFERROR(__xludf.DUMMYFUNCTION("""COMPUTED_VALUE"""),"Mavhunga Mufaro")</f>
        <v>Mavhunga Mufaro</v>
      </c>
      <c r="G30" s="209" t="str">
        <f>IFERROR(__xludf.DUMMYFUNCTION("""COMPUTED_VALUE"""),"Chulu Chaulela")</f>
        <v>Chulu Chaulela</v>
      </c>
      <c r="H30" s="209" t="str">
        <f>IFERROR(__xludf.DUMMYFUNCTION("""COMPUTED_VALUE"""),"Khanve Lakshya")</f>
        <v>Khanve Lakshya</v>
      </c>
      <c r="I30" s="209" t="str">
        <f>IFERROR(__xludf.DUMMYFUNCTION("""COMPUTED_VALUE"""),"Vergeer Aiden")</f>
        <v>Vergeer Aiden</v>
      </c>
      <c r="J30" s="209" t="str">
        <f>IFERROR(__xludf.DUMMYFUNCTION("""COMPUTED_VALUE"""),"Chinyemba Asia Adele")</f>
        <v>Chinyemba Asia Adele</v>
      </c>
      <c r="K30" s="209" t="str">
        <f>IFERROR(__xludf.DUMMYFUNCTION("""COMPUTED_VALUE"""),"Ahmed Hussein Ali")</f>
        <v>Ahmed Hussein Ali</v>
      </c>
      <c r="L30" s="209"/>
      <c r="M30" s="209"/>
      <c r="N30" s="209"/>
      <c r="O30" s="209"/>
      <c r="P30" s="209"/>
      <c r="Q30" s="209"/>
      <c r="R30" s="209"/>
      <c r="S30" s="209"/>
      <c r="T30" s="209"/>
      <c r="U30" s="209"/>
      <c r="V30" s="209"/>
      <c r="W30" s="209"/>
      <c r="X30" s="209"/>
      <c r="Y30" s="209"/>
      <c r="Z30" s="209"/>
      <c r="AA30" s="209"/>
    </row>
    <row r="31">
      <c r="A31" s="441"/>
      <c r="B31" s="440" t="s">
        <v>87</v>
      </c>
      <c r="C31" s="440">
        <f>COUNTIF(LS2A!N5:N29,"B")</f>
        <v>5</v>
      </c>
      <c r="D31" s="209" t="str">
        <f>IFERROR(__xludf.DUMMYFUNCTION("TRANSPOSE(FILTER(LS2A!B:B, LS2A!N:N=""B""))"),"Rovira Phiri Lucas")</f>
        <v>Rovira Phiri Lucas</v>
      </c>
      <c r="E31" s="209" t="str">
        <f>IFERROR(__xludf.DUMMYFUNCTION("""COMPUTED_VALUE"""),"Aori Ryan")</f>
        <v>Aori Ryan</v>
      </c>
      <c r="F31" s="209" t="str">
        <f>IFERROR(__xludf.DUMMYFUNCTION("""COMPUTED_VALUE"""),"Chiwoni Isabella")</f>
        <v>Chiwoni Isabella</v>
      </c>
      <c r="G31" s="209" t="str">
        <f>IFERROR(__xludf.DUMMYFUNCTION("""COMPUTED_VALUE"""),"Dubey Navya")</f>
        <v>Dubey Navya</v>
      </c>
      <c r="H31" s="209" t="str">
        <f>IFERROR(__xludf.DUMMYFUNCTION("""COMPUTED_VALUE"""),"Jane Shane")</f>
        <v>Jane Shane</v>
      </c>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COUNTIF(LS2A!N5:N29,"A")</f>
        <v>5</v>
      </c>
      <c r="D32" s="209" t="str">
        <f>IFERROR(__xludf.DUMMYFUNCTION("TRANSPOSE(FILTER(LS2A!B:B, LS2A!N:N=""A""))"),"Heald Z'bella")</f>
        <v>Heald Z'bella</v>
      </c>
      <c r="E32" s="209" t="str">
        <f>IFERROR(__xludf.DUMMYFUNCTION("""COMPUTED_VALUE"""),"Kalala Enoch")</f>
        <v>Kalala Enoch</v>
      </c>
      <c r="F32" s="209" t="str">
        <f>IFERROR(__xludf.DUMMYFUNCTION("""COMPUTED_VALUE"""),"Shalak Walid")</f>
        <v>Shalak Walid</v>
      </c>
      <c r="G32" s="209" t="str">
        <f>IFERROR(__xludf.DUMMYFUNCTION("""COMPUTED_VALUE"""),"Siame Kayla")</f>
        <v>Siame Kayla</v>
      </c>
      <c r="H32" s="209" t="str">
        <f>IFERROR(__xludf.DUMMYFUNCTION("""COMPUTED_VALUE"""),"Ngoshi Jayden")</f>
        <v>Ngoshi Jayden</v>
      </c>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COUNTIF(LS2A!N5:N29,"A~*")</f>
        <v>0</v>
      </c>
      <c r="D33" s="209" t="str">
        <f>IFERROR(__xludf.DUMMYFUNCTION("TRANSPOSE(FILTER(LS2A!B:B, LS2A!N:N=""A*""))"),"#N/A")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COUNTIF(LS2A!R5:R29,"U")</f>
        <v>3</v>
      </c>
      <c r="D35" s="209" t="str">
        <f>IFERROR(__xludf.DUMMYFUNCTION("TRANSPOSE(FILTER(LS2A!B:B, LS2A!R:R=""U""))"),"Vlasonjic Andrej")</f>
        <v>Vlasonjic Andrej</v>
      </c>
      <c r="E35" s="209" t="str">
        <f>IFERROR(__xludf.DUMMYFUNCTION("""COMPUTED_VALUE"""),"Sialwindi Maria")</f>
        <v>Sialwindi Maria</v>
      </c>
      <c r="F35" s="209" t="str">
        <f>IFERROR(__xludf.DUMMYFUNCTION("""COMPUTED_VALUE"""),"Sikasula Gladys")</f>
        <v>Sikasula Gladys</v>
      </c>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COUNTIF(LS2A!R5:R29,"G")</f>
        <v>0</v>
      </c>
      <c r="D36" s="209" t="str">
        <f>IFERROR(__xludf.DUMMYFUNCTION("TRANSPOSE(FILTER(LS2A!B:B, LS2A!R:R=""G""))"),"#N/A")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COUNTIF(LS2A!R5:R29,"F")</f>
        <v>0</v>
      </c>
      <c r="D37" s="209" t="str">
        <f>IFERROR(__xludf.DUMMYFUNCTION("TRANSPOSE(FILTER(LS2A!B:B, LS2A!R:R=""F""))"),"#N/A")</f>
        <v>#N/A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COUNTIF(LS2A!R5:R29,"E")</f>
        <v>1</v>
      </c>
      <c r="D38" s="209" t="str">
        <f>IFERROR(__xludf.DUMMYFUNCTION("TRANSPOSE(FILTER(LS2A!B:B, LS2A!R:R=""E""))"),"Dakwa Isia Yanis")</f>
        <v>Dakwa Isia Yanis</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COUNTIF(LS2A!R5:R29,"D")</f>
        <v>2</v>
      </c>
      <c r="D39" s="209" t="str">
        <f>IFERROR(__xludf.DUMMYFUNCTION("TRANSPOSE(FILTER(LS2A!B:B, LS2A!R:R=""D""))"),"Kalala Enoch")</f>
        <v>Kalala Enoch</v>
      </c>
      <c r="E39" s="209" t="str">
        <f>IFERROR(__xludf.DUMMYFUNCTION("""COMPUTED_VALUE"""),"Temba Nicholas")</f>
        <v>Temba Nicholas</v>
      </c>
      <c r="F39" s="209"/>
      <c r="G39" s="209"/>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COUNTIF(LS2A!R5:R29,"C")</f>
        <v>6</v>
      </c>
      <c r="D40" s="209" t="str">
        <f>IFERROR(__xludf.DUMMYFUNCTION("TRANSPOSE(FILTER(LS2A!B:B, LS2A!R:R=""C""))"),"Rovira Phiri Lucas")</f>
        <v>Rovira Phiri Lucas</v>
      </c>
      <c r="E40" s="209" t="str">
        <f>IFERROR(__xludf.DUMMYFUNCTION("""COMPUTED_VALUE"""),"Mavhunga Mufaro")</f>
        <v>Mavhunga Mufaro</v>
      </c>
      <c r="F40" s="209" t="str">
        <f>IFERROR(__xludf.DUMMYFUNCTION("""COMPUTED_VALUE"""),"Chulu Chaulela")</f>
        <v>Chulu Chaulela</v>
      </c>
      <c r="G40" s="209" t="str">
        <f>IFERROR(__xludf.DUMMYFUNCTION("""COMPUTED_VALUE"""),"Ngoshi Jayden")</f>
        <v>Ngoshi Jayden</v>
      </c>
      <c r="H40" s="209" t="str">
        <f>IFERROR(__xludf.DUMMYFUNCTION("""COMPUTED_VALUE"""),"Chileshe Chebo")</f>
        <v>Chileshe Chebo</v>
      </c>
      <c r="I40" s="209" t="str">
        <f>IFERROR(__xludf.DUMMYFUNCTION("""COMPUTED_VALUE"""),"Ahmed Hussein Ali")</f>
        <v>Ahmed Hussein Ali</v>
      </c>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COUNTIF(LS2A!R5:R29,"B")</f>
        <v>7</v>
      </c>
      <c r="D41" s="209" t="str">
        <f>IFERROR(__xludf.DUMMYFUNCTION("TRANSPOSE(FILTER(LS2A!B:B, LS2A!R:R=""B""))"),"Aori Ryan")</f>
        <v>Aori Ryan</v>
      </c>
      <c r="E41" s="209" t="str">
        <f>IFERROR(__xludf.DUMMYFUNCTION("""COMPUTED_VALUE"""),"Shalak Walid")</f>
        <v>Shalak Walid</v>
      </c>
      <c r="F41" s="209" t="str">
        <f>IFERROR(__xludf.DUMMYFUNCTION("""COMPUTED_VALUE"""),"Chiwoni Isabella")</f>
        <v>Chiwoni Isabella</v>
      </c>
      <c r="G41" s="209" t="str">
        <f>IFERROR(__xludf.DUMMYFUNCTION("""COMPUTED_VALUE"""),"Mustafa Amina")</f>
        <v>Mustafa Amina</v>
      </c>
      <c r="H41" s="209" t="str">
        <f>IFERROR(__xludf.DUMMYFUNCTION("""COMPUTED_VALUE"""),"Chinyemba Asia Adele")</f>
        <v>Chinyemba Asia Adele</v>
      </c>
      <c r="I41" s="209" t="str">
        <f>IFERROR(__xludf.DUMMYFUNCTION("""COMPUTED_VALUE"""),"Khalifeh Julia")</f>
        <v>Khalifeh Julia</v>
      </c>
      <c r="J41" s="209" t="str">
        <f>IFERROR(__xludf.DUMMYFUNCTION("""COMPUTED_VALUE"""),"Dubey Navya")</f>
        <v>Dubey Navya</v>
      </c>
      <c r="K41" s="209"/>
      <c r="L41" s="209"/>
      <c r="M41" s="209"/>
      <c r="N41" s="209"/>
      <c r="O41" s="209"/>
      <c r="P41" s="209"/>
      <c r="Q41" s="209"/>
      <c r="R41" s="209"/>
      <c r="S41" s="209"/>
      <c r="T41" s="209"/>
      <c r="U41" s="209"/>
      <c r="V41" s="209"/>
      <c r="W41" s="209"/>
      <c r="X41" s="209"/>
      <c r="Y41" s="209"/>
      <c r="Z41" s="209"/>
      <c r="AA41" s="209"/>
    </row>
    <row r="42">
      <c r="A42" s="441"/>
      <c r="B42" s="440" t="s">
        <v>85</v>
      </c>
      <c r="C42" s="440">
        <f>COUNTIF(LS2A!R5:R29,"A")</f>
        <v>6</v>
      </c>
      <c r="D42" s="209" t="str">
        <f>IFERROR(__xludf.DUMMYFUNCTION("TRANSPOSE(FILTER(LS2A!B:B, LS2A!R:R=""A""))"),"Heald Z'bella")</f>
        <v>Heald Z'bella</v>
      </c>
      <c r="E42" s="209" t="str">
        <f>IFERROR(__xludf.DUMMYFUNCTION("""COMPUTED_VALUE"""),"De-miranda Stella")</f>
        <v>De-miranda Stella</v>
      </c>
      <c r="F42" s="209" t="str">
        <f>IFERROR(__xludf.DUMMYFUNCTION("""COMPUTED_VALUE"""),"Khanve Lakshya")</f>
        <v>Khanve Lakshya</v>
      </c>
      <c r="G42" s="209" t="str">
        <f>IFERROR(__xludf.DUMMYFUNCTION("""COMPUTED_VALUE"""),"Siame Kayla")</f>
        <v>Siame Kayla</v>
      </c>
      <c r="H42" s="209" t="str">
        <f>IFERROR(__xludf.DUMMYFUNCTION("""COMPUTED_VALUE"""),"Vergeer Aiden")</f>
        <v>Vergeer Aiden</v>
      </c>
      <c r="I42" s="209" t="str">
        <f>IFERROR(__xludf.DUMMYFUNCTION("""COMPUTED_VALUE"""),"Jane Shane")</f>
        <v>Jane Shane</v>
      </c>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COUNTIF(LS2A!R5:R29,"A~*")</f>
        <v>0</v>
      </c>
      <c r="D43" s="209" t="str">
        <f>IFERROR(__xludf.DUMMYFUNCTION("TRANSPOSE(FILTER(LS2A!B:B, LS2A!R:R=""A*""))"),"#N/A")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COUNTIF(LS2A!Z5:Z29,"U")</f>
        <v>2</v>
      </c>
      <c r="D45" s="209" t="str">
        <f>IFERROR(__xludf.DUMMYFUNCTION("TRANSPOSE(FILTER(LS2A!B:B, LS2A!Z:Z=""U""))"),"Vlasonjic Andrej")</f>
        <v>Vlasonjic Andrej</v>
      </c>
      <c r="E45" s="209" t="str">
        <f>IFERROR(__xludf.DUMMYFUNCTION("""COMPUTED_VALUE"""),"Sikasula Gladys")</f>
        <v>Sikasula Gladys</v>
      </c>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COUNTIF(LS2A!Z5:Z29,"G")</f>
        <v>0</v>
      </c>
      <c r="D46" s="209" t="str">
        <f>IFERROR(__xludf.DUMMYFUNCTION("TRANSPOSE(FILTER(LS2A!B:B, LS2A!Z:Z=""G""))"),"#N/A")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COUNTIF(LS2A!Z5:Z29,"F")</f>
        <v>1</v>
      </c>
      <c r="D47" s="209" t="str">
        <f>IFERROR(__xludf.DUMMYFUNCTION("TRANSPOSE(FILTER(LS2A!B:B, LS2A!Z:Z=""F""))"),"Sialwindi Maria")</f>
        <v>Sialwindi Maria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COUNTIF(LS2A!Z5:Z29,"E")</f>
        <v>0</v>
      </c>
      <c r="D48" s="209" t="str">
        <f>IFERROR(__xludf.DUMMYFUNCTION("TRANSPOSE(FILTER(LS2A!B:B, LS2A!Z:Z=""E""))"),"#N/A")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COUNTIF(LS2A!Z5:Z29,"D")</f>
        <v>3</v>
      </c>
      <c r="D49" s="209" t="str">
        <f>IFERROR(__xludf.DUMMYFUNCTION("TRANSPOSE(FILTER(LS2A!B:B, LS2A!Z:Z=""D""))"),"Dakwa Isia Yanis")</f>
        <v>Dakwa Isia Yanis</v>
      </c>
      <c r="E49" s="209" t="str">
        <f>IFERROR(__xludf.DUMMYFUNCTION("""COMPUTED_VALUE"""),"Kalala Enoch")</f>
        <v>Kalala Enoch</v>
      </c>
      <c r="F49" s="209" t="str">
        <f>IFERROR(__xludf.DUMMYFUNCTION("""COMPUTED_VALUE"""),"Chulu Chaulela")</f>
        <v>Chulu Chaulela</v>
      </c>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COUNTIF(LS2A!Z5:Z29,"C")</f>
        <v>2</v>
      </c>
      <c r="D50" s="209" t="str">
        <f>IFERROR(__xludf.DUMMYFUNCTION("TRANSPOSE(FILTER(LS2A!B:B, LS2A!Z:Z=""C""))"),"De-miranda Stella")</f>
        <v>De-miranda Stella</v>
      </c>
      <c r="E50" s="209" t="str">
        <f>IFERROR(__xludf.DUMMYFUNCTION("""COMPUTED_VALUE"""),"Temba Nicholas")</f>
        <v>Temba Nicholas</v>
      </c>
      <c r="F50" s="209"/>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COUNTIF(LS2A!Z5:Z29,"B")</f>
        <v>5</v>
      </c>
      <c r="D51" s="209" t="str">
        <f>IFERROR(__xludf.DUMMYFUNCTION("TRANSPOSE(FILTER(LS2A!B:B, LS2A!Z:Z=""B""))"),"Mavhunga Mufaro")</f>
        <v>Mavhunga Mufaro</v>
      </c>
      <c r="E51" s="209" t="str">
        <f>IFERROR(__xludf.DUMMYFUNCTION("""COMPUTED_VALUE"""),"Vergeer Aiden")</f>
        <v>Vergeer Aiden</v>
      </c>
      <c r="F51" s="209" t="str">
        <f>IFERROR(__xludf.DUMMYFUNCTION("""COMPUTED_VALUE"""),"Chinyemba Asia Adele")</f>
        <v>Chinyemba Asia Adele</v>
      </c>
      <c r="G51" s="209" t="str">
        <f>IFERROR(__xludf.DUMMYFUNCTION("""COMPUTED_VALUE"""),"Khalifeh Julia")</f>
        <v>Khalifeh Julia</v>
      </c>
      <c r="H51" s="209" t="str">
        <f>IFERROR(__xludf.DUMMYFUNCTION("""COMPUTED_VALUE"""),"Dubey Navya")</f>
        <v>Dubey Navya</v>
      </c>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COUNTIF(LS2A!Z5:Z29,"A")</f>
        <v>8</v>
      </c>
      <c r="D52" s="209" t="str">
        <f>IFERROR(__xludf.DUMMYFUNCTION("TRANSPOSE(FILTER(LS2A!B:B, LS2A!Z:Z=""A""))"),"Heald Z'bella")</f>
        <v>Heald Z'bella</v>
      </c>
      <c r="E52" s="209" t="str">
        <f>IFERROR(__xludf.DUMMYFUNCTION("""COMPUTED_VALUE"""),"Rovira Phiri Lucas")</f>
        <v>Rovira Phiri Lucas</v>
      </c>
      <c r="F52" s="209" t="str">
        <f>IFERROR(__xludf.DUMMYFUNCTION("""COMPUTED_VALUE"""),"Siame Kayla")</f>
        <v>Siame Kayla</v>
      </c>
      <c r="G52" s="209" t="str">
        <f>IFERROR(__xludf.DUMMYFUNCTION("""COMPUTED_VALUE"""),"Chiwoni Isabella")</f>
        <v>Chiwoni Isabella</v>
      </c>
      <c r="H52" s="209" t="str">
        <f>IFERROR(__xludf.DUMMYFUNCTION("""COMPUTED_VALUE"""),"Mustafa Amina")</f>
        <v>Mustafa Amina</v>
      </c>
      <c r="I52" s="209" t="str">
        <f>IFERROR(__xludf.DUMMYFUNCTION("""COMPUTED_VALUE"""),"Jane Shane")</f>
        <v>Jane Shane</v>
      </c>
      <c r="J52" s="209" t="str">
        <f>IFERROR(__xludf.DUMMYFUNCTION("""COMPUTED_VALUE"""),"Chileshe Chebo")</f>
        <v>Chileshe Chebo</v>
      </c>
      <c r="K52" s="209" t="str">
        <f>IFERROR(__xludf.DUMMYFUNCTION("""COMPUTED_VALUE"""),"Ahmed Hussein Ali")</f>
        <v>Ahmed Hussein Ali</v>
      </c>
      <c r="L52" s="209"/>
      <c r="M52" s="209"/>
      <c r="N52" s="209"/>
      <c r="O52" s="209"/>
      <c r="P52" s="209"/>
      <c r="Q52" s="209"/>
      <c r="R52" s="209"/>
      <c r="S52" s="209"/>
      <c r="T52" s="209"/>
      <c r="U52" s="209"/>
      <c r="V52" s="209"/>
      <c r="W52" s="209"/>
      <c r="X52" s="209"/>
      <c r="Y52" s="209"/>
      <c r="Z52" s="209"/>
      <c r="AA52" s="209"/>
    </row>
    <row r="53">
      <c r="A53" s="441"/>
      <c r="B53" s="440" t="s">
        <v>152</v>
      </c>
      <c r="C53" s="440">
        <f>COUNTIF(LS2A!Z5:Z29,"A~*")</f>
        <v>4</v>
      </c>
      <c r="D53" s="209" t="str">
        <f>IFERROR(__xludf.DUMMYFUNCTION("TRANSPOSE(FILTER(LS2A!B:B, LS2A!Z:Z=""A*""))"),"Aori Ryan")</f>
        <v>Aori Ryan</v>
      </c>
      <c r="E53" s="209" t="str">
        <f>IFERROR(__xludf.DUMMYFUNCTION("""COMPUTED_VALUE"""),"Khanve Lakshya")</f>
        <v>Khanve Lakshya</v>
      </c>
      <c r="F53" s="209" t="str">
        <f>IFERROR(__xludf.DUMMYFUNCTION("""COMPUTED_VALUE"""),"Shalak Walid")</f>
        <v>Shalak Walid</v>
      </c>
      <c r="G53" s="209" t="str">
        <f>IFERROR(__xludf.DUMMYFUNCTION("""COMPUTED_VALUE"""),"Ngoshi Jayden")</f>
        <v>Ngoshi Jayden</v>
      </c>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COUNTIF(LS2A!AD5:AD29,"U")</f>
        <v>2</v>
      </c>
      <c r="D55" s="209" t="str">
        <f>IFERROR(__xludf.DUMMYFUNCTION("TRANSPOSE(FILTER(LS2A!B:B, LS2A!AD:AD=""U""))"),"Vlasonjic Andrej")</f>
        <v>Vlasonjic Andrej</v>
      </c>
      <c r="E55" s="209" t="str">
        <f>IFERROR(__xludf.DUMMYFUNCTION("""COMPUTED_VALUE"""),"Sikasula Gladys")</f>
        <v>Sikasula Gladys</v>
      </c>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COUNTIF(LS2A!AD5:AD29,"G")</f>
        <v>1</v>
      </c>
      <c r="D56" s="209" t="str">
        <f>IFERROR(__xludf.DUMMYFUNCTION("TRANSPOSE(FILTER(LS2A!B:B, LS2A!AD:AD=""G""))"),"Sialwindi Maria")</f>
        <v>Sialwindi Maria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COUNTIF(LS2A!AD5:AD29,"F")</f>
        <v>0</v>
      </c>
      <c r="D57" s="209" t="str">
        <f>IFERROR(__xludf.DUMMYFUNCTION("TRANSPOSE(FILTER(LS2A!B:B, LS2A!AD:AD=""F""))"),"#N/A")</f>
        <v>#N/A</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COUNTIF(LS2A!AD5:AD29,"E")</f>
        <v>1</v>
      </c>
      <c r="D58" s="209" t="str">
        <f>IFERROR(__xludf.DUMMYFUNCTION("TRANSPOSE(FILTER(LS2A!B:B, LS2A!AD:AD=""E""))"),"Temba Nicholas")</f>
        <v>Temba Nicholas</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COUNTIF(LS2A!AD5:AD29,"D")</f>
        <v>5</v>
      </c>
      <c r="D59" s="209" t="str">
        <f>IFERROR(__xludf.DUMMYFUNCTION("TRANSPOSE(FILTER(LS2A!B:B, LS2A!AD:AD=""D""))"),"Rovira Phiri Lucas")</f>
        <v>Rovira Phiri Lucas</v>
      </c>
      <c r="E59" s="209" t="str">
        <f>IFERROR(__xludf.DUMMYFUNCTION("""COMPUTED_VALUE"""),"Chulu Chaulela")</f>
        <v>Chulu Chaulela</v>
      </c>
      <c r="F59" s="209" t="str">
        <f>IFERROR(__xludf.DUMMYFUNCTION("""COMPUTED_VALUE"""),"Vergeer Aiden")</f>
        <v>Vergeer Aiden</v>
      </c>
      <c r="G59" s="209" t="str">
        <f>IFERROR(__xludf.DUMMYFUNCTION("""COMPUTED_VALUE"""),"Chinyemba Asia Adele")</f>
        <v>Chinyemba Asia Adele</v>
      </c>
      <c r="H59" s="209" t="str">
        <f>IFERROR(__xludf.DUMMYFUNCTION("""COMPUTED_VALUE"""),"Ahmed Hussein Ali")</f>
        <v>Ahmed Hussein Ali</v>
      </c>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COUNTIF(LS2A!AD5:AD29,"C")</f>
        <v>7</v>
      </c>
      <c r="D60" s="209" t="str">
        <f>IFERROR(__xludf.DUMMYFUNCTION("TRANSPOSE(FILTER(LS2A!B:B, LS2A!AD:AD=""C""))"),"De-miranda Stella")</f>
        <v>De-miranda Stella</v>
      </c>
      <c r="E60" s="209" t="str">
        <f>IFERROR(__xludf.DUMMYFUNCTION("""COMPUTED_VALUE"""),"Mavhunga Mufaro")</f>
        <v>Mavhunga Mufaro</v>
      </c>
      <c r="F60" s="209" t="str">
        <f>IFERROR(__xludf.DUMMYFUNCTION("""COMPUTED_VALUE"""),"Aori Ryan")</f>
        <v>Aori Ryan</v>
      </c>
      <c r="G60" s="209" t="str">
        <f>IFERROR(__xludf.DUMMYFUNCTION("""COMPUTED_VALUE"""),"Mustafa Amina")</f>
        <v>Mustafa Amina</v>
      </c>
      <c r="H60" s="209" t="str">
        <f>IFERROR(__xludf.DUMMYFUNCTION("""COMPUTED_VALUE"""),"Khalifeh Julia")</f>
        <v>Khalifeh Julia</v>
      </c>
      <c r="I60" s="209" t="str">
        <f>IFERROR(__xludf.DUMMYFUNCTION("""COMPUTED_VALUE"""),"Dubey Navya")</f>
        <v>Dubey Navya</v>
      </c>
      <c r="J60" s="209" t="str">
        <f>IFERROR(__xludf.DUMMYFUNCTION("""COMPUTED_VALUE"""),"Jane Shane")</f>
        <v>Jane Shane</v>
      </c>
      <c r="K60" s="209"/>
      <c r="L60" s="209"/>
      <c r="M60" s="209"/>
      <c r="N60" s="209"/>
      <c r="O60" s="209"/>
      <c r="P60" s="209"/>
      <c r="Q60" s="209"/>
      <c r="R60" s="209"/>
      <c r="S60" s="209"/>
      <c r="T60" s="209"/>
      <c r="U60" s="209"/>
      <c r="V60" s="209"/>
      <c r="W60" s="209"/>
      <c r="X60" s="209"/>
      <c r="Y60" s="209"/>
      <c r="Z60" s="209"/>
      <c r="AA60" s="209"/>
    </row>
    <row r="61">
      <c r="A61" s="441"/>
      <c r="B61" s="440" t="s">
        <v>87</v>
      </c>
      <c r="C61" s="440">
        <f>COUNTIF(LS2A!AD5:AD29,"B")</f>
        <v>4</v>
      </c>
      <c r="D61" s="209" t="str">
        <f>IFERROR(__xludf.DUMMYFUNCTION("TRANSPOSE(FILTER(LS2A!B:B, LS2A!AD:AD=""B""))"),"Kalala Enoch")</f>
        <v>Kalala Enoch</v>
      </c>
      <c r="E61" s="209" t="str">
        <f>IFERROR(__xludf.DUMMYFUNCTION("""COMPUTED_VALUE"""),"Khanve Lakshya")</f>
        <v>Khanve Lakshya</v>
      </c>
      <c r="F61" s="209" t="str">
        <f>IFERROR(__xludf.DUMMYFUNCTION("""COMPUTED_VALUE"""),"Chiwoni Isabella")</f>
        <v>Chiwoni Isabella</v>
      </c>
      <c r="G61" s="209" t="str">
        <f>IFERROR(__xludf.DUMMYFUNCTION("""COMPUTED_VALUE"""),"Chileshe Chebo")</f>
        <v>Chileshe Chebo</v>
      </c>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COUNTIF(LS2A!AD5:AD29,"A")</f>
        <v>3</v>
      </c>
      <c r="D62" s="209" t="str">
        <f>IFERROR(__xludf.DUMMYFUNCTION("TRANSPOSE(FILTER(LS2A!B:B, LS2A!AD:AD=""A""))"),"Dakwa Isia Yanis")</f>
        <v>Dakwa Isia Yanis</v>
      </c>
      <c r="E62" s="209" t="str">
        <f>IFERROR(__xludf.DUMMYFUNCTION("""COMPUTED_VALUE"""),"Siame Kayla")</f>
        <v>Siame Kayla</v>
      </c>
      <c r="F62" s="209" t="str">
        <f>IFERROR(__xludf.DUMMYFUNCTION("""COMPUTED_VALUE"""),"Ngoshi Jayden")</f>
        <v>Ngoshi Jayden</v>
      </c>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COUNTIF(LS2A!AD5:AD29,"A~*")</f>
        <v>2</v>
      </c>
      <c r="D63" s="209" t="str">
        <f>IFERROR(__xludf.DUMMYFUNCTION("TRANSPOSE(FILTER(LS2A!B:B, LS2A!AD:AD=""A*""))"),"Heald Z'bella")</f>
        <v>Heald Z'bella</v>
      </c>
      <c r="E63" s="209" t="str">
        <f>IFERROR(__xludf.DUMMYFUNCTION("""COMPUTED_VALUE"""),"Shalak Walid")</f>
        <v>Shalak Walid</v>
      </c>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COUNTIF(LS2A!AH5:AH29,"U")</f>
        <v>2</v>
      </c>
      <c r="D65" s="209" t="str">
        <f>IFERROR(__xludf.DUMMYFUNCTION("TRANSPOSE(FILTER(LS2A!B:B, LS2A!AH:AH=""U""))"),"Vlasonjic Andrej")</f>
        <v>Vlasonjic Andrej</v>
      </c>
      <c r="E65" s="209" t="str">
        <f>IFERROR(__xludf.DUMMYFUNCTION("""COMPUTED_VALUE"""),"Sikasula Gladys")</f>
        <v>Sikasula Gladys</v>
      </c>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COUNTIF(LS2A!AH5:AH29,"G")</f>
        <v>0</v>
      </c>
      <c r="D66" s="209" t="str">
        <f>IFERROR(__xludf.DUMMYFUNCTION("TRANSPOSE(FILTER(LS2A!B:B, LS2A!AH:AH=""G""))"),"#N/A")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COUNTIF(LS2A!AH5:AH29,"F")</f>
        <v>0</v>
      </c>
      <c r="D67" s="209" t="str">
        <f>IFERROR(__xludf.DUMMYFUNCTION("TRANSPOSE(FILTER(LS2A!B:B, LS2A!AH:AH=""F""))"),"#N/A")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COUNTIF(LS2A!AH5:AH29,"E")</f>
        <v>0</v>
      </c>
      <c r="D68" s="209" t="str">
        <f>IFERROR(__xludf.DUMMYFUNCTION("TRANSPOSE(FILTER(LS2A!B:B, LS2A!AH:AH=""E""))"),"#N/A")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COUNTIF(LS2A!AH5:AH29,"D")</f>
        <v>0</v>
      </c>
      <c r="D69" s="209" t="str">
        <f>IFERROR(__xludf.DUMMYFUNCTION("TRANSPOSE(FILTER(LS2A!B:B, LS2A!AH:AH=""D""))"),"#N/A")</f>
        <v>#N/A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COUNTIF(LS2A!AH5:AH29,"C")</f>
        <v>7</v>
      </c>
      <c r="D70" s="209" t="str">
        <f>IFERROR(__xludf.DUMMYFUNCTION("TRANSPOSE(FILTER(LS2A!B:B, LS2A!AH:AH=""C""))"),"Sialwindi Maria")</f>
        <v>Sialwindi Maria</v>
      </c>
      <c r="E70" s="209" t="str">
        <f>IFERROR(__xludf.DUMMYFUNCTION("""COMPUTED_VALUE"""),"Temba Nicholas")</f>
        <v>Temba Nicholas</v>
      </c>
      <c r="F70" s="209" t="str">
        <f>IFERROR(__xludf.DUMMYFUNCTION("""COMPUTED_VALUE"""),"Chulu Chaulela")</f>
        <v>Chulu Chaulela</v>
      </c>
      <c r="G70" s="209" t="str">
        <f>IFERROR(__xludf.DUMMYFUNCTION("""COMPUTED_VALUE"""),"Siame Kayla")</f>
        <v>Siame Kayla</v>
      </c>
      <c r="H70" s="209" t="str">
        <f>IFERROR(__xludf.DUMMYFUNCTION("""COMPUTED_VALUE"""),"Ngoshi Jayden")</f>
        <v>Ngoshi Jayden</v>
      </c>
      <c r="I70" s="209" t="str">
        <f>IFERROR(__xludf.DUMMYFUNCTION("""COMPUTED_VALUE"""),"Vergeer Aiden")</f>
        <v>Vergeer Aiden</v>
      </c>
      <c r="J70" s="209" t="str">
        <f>IFERROR(__xludf.DUMMYFUNCTION("""COMPUTED_VALUE"""),"Ahmed Hussein Ali")</f>
        <v>Ahmed Hussein Ali</v>
      </c>
      <c r="K70" s="209"/>
      <c r="L70" s="209"/>
      <c r="M70" s="209"/>
      <c r="N70" s="209"/>
      <c r="O70" s="209"/>
      <c r="P70" s="209"/>
      <c r="Q70" s="209"/>
      <c r="R70" s="209"/>
      <c r="S70" s="209"/>
      <c r="T70" s="209"/>
      <c r="U70" s="209"/>
      <c r="V70" s="209"/>
      <c r="W70" s="209"/>
      <c r="X70" s="209"/>
      <c r="Y70" s="209"/>
      <c r="Z70" s="209"/>
      <c r="AA70" s="209"/>
    </row>
    <row r="71">
      <c r="A71" s="441"/>
      <c r="B71" s="440" t="s">
        <v>87</v>
      </c>
      <c r="C71" s="440">
        <f>COUNTIF(LS2A!AH5:AH29,"B")</f>
        <v>13</v>
      </c>
      <c r="D71" s="209" t="str">
        <f>IFERROR(__xludf.DUMMYFUNCTION("TRANSPOSE(FILTER(LS2A!B:B, LS2A!AH:AH=""B""))"),"Dakwa Isia Yanis")</f>
        <v>Dakwa Isia Yanis</v>
      </c>
      <c r="E71" s="209" t="str">
        <f>IFERROR(__xludf.DUMMYFUNCTION("""COMPUTED_VALUE"""),"De-miranda Stella")</f>
        <v>De-miranda Stella</v>
      </c>
      <c r="F71" s="209" t="str">
        <f>IFERROR(__xludf.DUMMYFUNCTION("""COMPUTED_VALUE"""),"Kalala Enoch")</f>
        <v>Kalala Enoch</v>
      </c>
      <c r="G71" s="209" t="str">
        <f>IFERROR(__xludf.DUMMYFUNCTION("""COMPUTED_VALUE"""),"Rovira Phiri Lucas")</f>
        <v>Rovira Phiri Lucas</v>
      </c>
      <c r="H71" s="209" t="str">
        <f>IFERROR(__xludf.DUMMYFUNCTION("""COMPUTED_VALUE"""),"Mavhunga Mufaro")</f>
        <v>Mavhunga Mufaro</v>
      </c>
      <c r="I71" s="209" t="str">
        <f>IFERROR(__xludf.DUMMYFUNCTION("""COMPUTED_VALUE"""),"Aori Ryan")</f>
        <v>Aori Ryan</v>
      </c>
      <c r="J71" s="209" t="str">
        <f>IFERROR(__xludf.DUMMYFUNCTION("""COMPUTED_VALUE"""),"Khanve Lakshya")</f>
        <v>Khanve Lakshya</v>
      </c>
      <c r="K71" s="209" t="str">
        <f>IFERROR(__xludf.DUMMYFUNCTION("""COMPUTED_VALUE"""),"Shalak Walid")</f>
        <v>Shalak Walid</v>
      </c>
      <c r="L71" s="209" t="str">
        <f>IFERROR(__xludf.DUMMYFUNCTION("""COMPUTED_VALUE"""),"Chiwoni Isabella")</f>
        <v>Chiwoni Isabella</v>
      </c>
      <c r="M71" s="209" t="str">
        <f>IFERROR(__xludf.DUMMYFUNCTION("""COMPUTED_VALUE"""),"Mustafa Amina")</f>
        <v>Mustafa Amina</v>
      </c>
      <c r="N71" s="209" t="str">
        <f>IFERROR(__xludf.DUMMYFUNCTION("""COMPUTED_VALUE"""),"Chinyemba Asia Adele")</f>
        <v>Chinyemba Asia Adele</v>
      </c>
      <c r="O71" s="209" t="str">
        <f>IFERROR(__xludf.DUMMYFUNCTION("""COMPUTED_VALUE"""),"Jane Shane")</f>
        <v>Jane Shane</v>
      </c>
      <c r="P71" s="209" t="str">
        <f>IFERROR(__xludf.DUMMYFUNCTION("""COMPUTED_VALUE"""),"Chileshe Chebo")</f>
        <v>Chileshe Chebo</v>
      </c>
      <c r="Q71" s="209"/>
      <c r="R71" s="209"/>
      <c r="S71" s="209"/>
      <c r="T71" s="209"/>
      <c r="U71" s="209"/>
      <c r="V71" s="209"/>
      <c r="W71" s="209"/>
      <c r="X71" s="209"/>
      <c r="Y71" s="209"/>
      <c r="Z71" s="209"/>
      <c r="AA71" s="209"/>
    </row>
    <row r="72">
      <c r="A72" s="441"/>
      <c r="B72" s="440" t="s">
        <v>85</v>
      </c>
      <c r="C72" s="440">
        <f>COUNTIF(LS2A!AH5:AH29,"A")</f>
        <v>3</v>
      </c>
      <c r="D72" s="209" t="str">
        <f>IFERROR(__xludf.DUMMYFUNCTION("TRANSPOSE(FILTER(LS2A!B:B, LS2A!AH:AH=""A""))"),"Heald Z'bella")</f>
        <v>Heald Z'bella</v>
      </c>
      <c r="E72" s="209" t="str">
        <f>IFERROR(__xludf.DUMMYFUNCTION("""COMPUTED_VALUE"""),"Khalifeh Julia")</f>
        <v>Khalifeh Julia</v>
      </c>
      <c r="F72" s="209" t="str">
        <f>IFERROR(__xludf.DUMMYFUNCTION("""COMPUTED_VALUE"""),"Dubey Navya")</f>
        <v>Dubey Navya</v>
      </c>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COUNTIF(LS2A!AH5:AH29,"A~*")</f>
        <v>0</v>
      </c>
      <c r="D73" s="209" t="str">
        <f>IFERROR(__xludf.DUMMYFUNCTION("TRANSPOSE(FILTER(LS2A!B:B, LS2A!AH:AH=""A*""))"),"#N/A")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COUNTIF(LS2A!AL5:AL29,"U")</f>
        <v>2</v>
      </c>
      <c r="D75" s="209" t="str">
        <f>IFERROR(__xludf.DUMMYFUNCTION("TRANSPOSE(FILTER(LS2A!B:B, LS2A!AL:AL=""U""))"),"Vlasonjic Andrej")</f>
        <v>Vlasonjic Andrej</v>
      </c>
      <c r="E75" s="209" t="str">
        <f>IFERROR(__xludf.DUMMYFUNCTION("""COMPUTED_VALUE"""),"Sikasula Gladys")</f>
        <v>Sikasula Gladys</v>
      </c>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COUNTIF(LS2A!AL5:AL29,"G")</f>
        <v>0</v>
      </c>
      <c r="D76" s="209" t="str">
        <f>IFERROR(__xludf.DUMMYFUNCTION("TRANSPOSE(FILTER(LS2A!B:B, LS2A!AL:AL=""G""))"),"#N/A")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COUNTIF(LS2A!AL5:AL29,"F")</f>
        <v>0</v>
      </c>
      <c r="D77" s="209" t="str">
        <f>IFERROR(__xludf.DUMMYFUNCTION("TRANSPOSE(FILTER(LS2A!B:B, LS2A!AL:AL=""F""))"),"#N/A")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COUNTIF(LS2A!AL5:AL29,"E")</f>
        <v>0</v>
      </c>
      <c r="D78" s="209" t="str">
        <f>IFERROR(__xludf.DUMMYFUNCTION("TRANSPOSE(FILTER(LS2A!B:B, LS2A!AL:AL=""E""))"),"#N/A")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COUNTIF(LS2A!AL5:AL29,"D")</f>
        <v>0</v>
      </c>
      <c r="D79" s="209" t="str">
        <f>IFERROR(__xludf.DUMMYFUNCTION("TRANSPOSE(FILTER(LS2A!B:B, LS2A!AL:AL=""D""))"),"#N/A")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COUNTIF(LS2A!AL5:AL29,"C")</f>
        <v>5</v>
      </c>
      <c r="D80" s="209" t="str">
        <f>IFERROR(__xludf.DUMMYFUNCTION("TRANSPOSE(FILTER(LS2A!B:B, LS2A!AL:AL=""C""))"),"Dakwa Isia Yanis")</f>
        <v>Dakwa Isia Yanis</v>
      </c>
      <c r="E80" s="209" t="str">
        <f>IFERROR(__xludf.DUMMYFUNCTION("""COMPUTED_VALUE"""),"Kalala Enoch")</f>
        <v>Kalala Enoch</v>
      </c>
      <c r="F80" s="209" t="str">
        <f>IFERROR(__xludf.DUMMYFUNCTION("""COMPUTED_VALUE"""),"Sialwindi Maria")</f>
        <v>Sialwindi Maria</v>
      </c>
      <c r="G80" s="209" t="str">
        <f>IFERROR(__xludf.DUMMYFUNCTION("""COMPUTED_VALUE"""),"Temba Nicholas")</f>
        <v>Temba Nicholas</v>
      </c>
      <c r="H80" s="209" t="str">
        <f>IFERROR(__xludf.DUMMYFUNCTION("""COMPUTED_VALUE"""),"Khalifeh Julia")</f>
        <v>Khalifeh Julia</v>
      </c>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COUNTIF(LS2A!AL5:AL29,"B")</f>
        <v>9</v>
      </c>
      <c r="D81" s="209" t="str">
        <f>IFERROR(__xludf.DUMMYFUNCTION("TRANSPOSE(FILTER(LS2A!B:B, LS2A!AL:AL=""B""))"),"De-miranda Stella")</f>
        <v>De-miranda Stella</v>
      </c>
      <c r="E81" s="209" t="str">
        <f>IFERROR(__xludf.DUMMYFUNCTION("""COMPUTED_VALUE"""),"Rovira Phiri Lucas")</f>
        <v>Rovira Phiri Lucas</v>
      </c>
      <c r="F81" s="209" t="str">
        <f>IFERROR(__xludf.DUMMYFUNCTION("""COMPUTED_VALUE"""),"Chulu Chaulela")</f>
        <v>Chulu Chaulela</v>
      </c>
      <c r="G81" s="209" t="str">
        <f>IFERROR(__xludf.DUMMYFUNCTION("""COMPUTED_VALUE"""),"Khanve Lakshya")</f>
        <v>Khanve Lakshya</v>
      </c>
      <c r="H81" s="209" t="str">
        <f>IFERROR(__xludf.DUMMYFUNCTION("""COMPUTED_VALUE"""),"Ngoshi Jayden")</f>
        <v>Ngoshi Jayden</v>
      </c>
      <c r="I81" s="209" t="str">
        <f>IFERROR(__xludf.DUMMYFUNCTION("""COMPUTED_VALUE"""),"Chiwoni Isabella")</f>
        <v>Chiwoni Isabella</v>
      </c>
      <c r="J81" s="209" t="str">
        <f>IFERROR(__xludf.DUMMYFUNCTION("""COMPUTED_VALUE"""),"Mustafa Amina")</f>
        <v>Mustafa Amina</v>
      </c>
      <c r="K81" s="209" t="str">
        <f>IFERROR(__xludf.DUMMYFUNCTION("""COMPUTED_VALUE"""),"Dubey Navya")</f>
        <v>Dubey Navya</v>
      </c>
      <c r="L81" s="209" t="str">
        <f>IFERROR(__xludf.DUMMYFUNCTION("""COMPUTED_VALUE"""),"Chileshe Chebo")</f>
        <v>Chileshe Chebo</v>
      </c>
      <c r="M81" s="209"/>
      <c r="N81" s="209"/>
      <c r="O81" s="209"/>
      <c r="P81" s="209"/>
      <c r="Q81" s="209"/>
      <c r="R81" s="209"/>
      <c r="S81" s="209"/>
      <c r="T81" s="209"/>
      <c r="U81" s="209"/>
      <c r="V81" s="209"/>
      <c r="W81" s="209"/>
      <c r="X81" s="209"/>
      <c r="Y81" s="209"/>
      <c r="Z81" s="209"/>
      <c r="AA81" s="209"/>
    </row>
    <row r="82">
      <c r="A82" s="441"/>
      <c r="B82" s="440" t="s">
        <v>85</v>
      </c>
      <c r="C82" s="440">
        <f>COUNTIF(LS2A!AL5:AL29,"A")</f>
        <v>8</v>
      </c>
      <c r="D82" s="209" t="str">
        <f>IFERROR(__xludf.DUMMYFUNCTION("TRANSPOSE(FILTER(LS2A!B:B, LS2A!AL:AL=""A""))"),"Mavhunga Mufaro")</f>
        <v>Mavhunga Mufaro</v>
      </c>
      <c r="E82" s="209" t="str">
        <f>IFERROR(__xludf.DUMMYFUNCTION("""COMPUTED_VALUE"""),"Aori Ryan")</f>
        <v>Aori Ryan</v>
      </c>
      <c r="F82" s="209" t="str">
        <f>IFERROR(__xludf.DUMMYFUNCTION("""COMPUTED_VALUE"""),"Shalak Walid")</f>
        <v>Shalak Walid</v>
      </c>
      <c r="G82" s="209" t="str">
        <f>IFERROR(__xludf.DUMMYFUNCTION("""COMPUTED_VALUE"""),"Siame Kayla")</f>
        <v>Siame Kayla</v>
      </c>
      <c r="H82" s="209" t="str">
        <f>IFERROR(__xludf.DUMMYFUNCTION("""COMPUTED_VALUE"""),"Vergeer Aiden")</f>
        <v>Vergeer Aiden</v>
      </c>
      <c r="I82" s="209" t="str">
        <f>IFERROR(__xludf.DUMMYFUNCTION("""COMPUTED_VALUE"""),"Chinyemba Asia Adele")</f>
        <v>Chinyemba Asia Adele</v>
      </c>
      <c r="J82" s="209" t="str">
        <f>IFERROR(__xludf.DUMMYFUNCTION("""COMPUTED_VALUE"""),"Jane Shane")</f>
        <v>Jane Shane</v>
      </c>
      <c r="K82" s="209" t="str">
        <f>IFERROR(__xludf.DUMMYFUNCTION("""COMPUTED_VALUE"""),"Ahmed Hussein Ali")</f>
        <v>Ahmed Hussein Ali</v>
      </c>
      <c r="L82" s="209"/>
      <c r="M82" s="209"/>
      <c r="N82" s="209"/>
      <c r="O82" s="209"/>
      <c r="P82" s="209"/>
      <c r="Q82" s="209"/>
      <c r="R82" s="209"/>
      <c r="S82" s="209"/>
      <c r="T82" s="209"/>
      <c r="U82" s="209"/>
      <c r="V82" s="209"/>
      <c r="W82" s="209"/>
      <c r="X82" s="209"/>
      <c r="Y82" s="209"/>
      <c r="Z82" s="209"/>
      <c r="AA82" s="209"/>
    </row>
    <row r="83">
      <c r="A83" s="441"/>
      <c r="B83" s="440" t="s">
        <v>152</v>
      </c>
      <c r="C83" s="440">
        <f>COUNTIF(LS2A!AL5:AL29,"A~*")</f>
        <v>1</v>
      </c>
      <c r="D83" s="209" t="str">
        <f>IFERROR(__xludf.DUMMYFUNCTION("TRANSPOSE(FILTER(LS2A!B:B, LS2A!AL:AL=""A*""))"),"Heald Z'bella")</f>
        <v>Heald Z'bella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COUNTIF(LS2A!AP5:AP29,"U")</f>
        <v>1</v>
      </c>
      <c r="D85" s="209" t="str">
        <f>IFERROR(__xludf.DUMMYFUNCTION("TRANSPOSE(FILTER(LS2A!B:B, LS2A!AP:AP=""U""))"),"Sikasula Gladys")</f>
        <v>Sikasula Gladys</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COUNTIF(LS2A!AP5:AP29,"G")</f>
        <v>0</v>
      </c>
      <c r="D86" s="209" t="str">
        <f>IFERROR(__xludf.DUMMYFUNCTION("TRANSPOSE(FILTER(LS2A!B:B, LS2A!AP:AP=""G""))"),"#N/A")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COUNTIF(LS2A!AP5:AP29,"F")</f>
        <v>0</v>
      </c>
      <c r="D87" s="209" t="str">
        <f>IFERROR(__xludf.DUMMYFUNCTION("TRANSPOSE(FILTER(LS2A!B:B, LS2A!AP:AP=""F""))"),"#N/A")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COUNTIF(LS2A!AP5:AP29,"E")</f>
        <v>0</v>
      </c>
      <c r="D88" s="209" t="str">
        <f>IFERROR(__xludf.DUMMYFUNCTION("TRANSPOSE(FILTER(LS2A!B:B, LS2A!AP:AP=""E""))"),"#N/A")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COUNTIF(LS2A!AP5:AP29,"D")</f>
        <v>1</v>
      </c>
      <c r="D89" s="209" t="str">
        <f>IFERROR(__xludf.DUMMYFUNCTION("TRANSPOSE(FILTER(LS2A!B:B, LS2A!AP:AP=""D""))"),"De-miranda Stella")</f>
        <v>De-miranda Stella</v>
      </c>
      <c r="E89" s="209"/>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COUNTIF(LS2A!AP5:AP29,"C")</f>
        <v>10</v>
      </c>
      <c r="D90" s="209" t="str">
        <f>IFERROR(__xludf.DUMMYFUNCTION("TRANSPOSE(FILTER(LS2A!B:B, LS2A!AP:AP=""C""))"),"Heald Z'bella")</f>
        <v>Heald Z'bella</v>
      </c>
      <c r="E90" s="209" t="str">
        <f>IFERROR(__xludf.DUMMYFUNCTION("""COMPUTED_VALUE"""),"Vlasonjic Andrej")</f>
        <v>Vlasonjic Andrej</v>
      </c>
      <c r="F90" s="209" t="str">
        <f>IFERROR(__xludf.DUMMYFUNCTION("""COMPUTED_VALUE"""),"Sialwindi Maria")</f>
        <v>Sialwindi Maria</v>
      </c>
      <c r="G90" s="209" t="str">
        <f>IFERROR(__xludf.DUMMYFUNCTION("""COMPUTED_VALUE"""),"Temba Nicholas")</f>
        <v>Temba Nicholas</v>
      </c>
      <c r="H90" s="209" t="str">
        <f>IFERROR(__xludf.DUMMYFUNCTION("""COMPUTED_VALUE"""),"Aori Ryan")</f>
        <v>Aori Ryan</v>
      </c>
      <c r="I90" s="209" t="str">
        <f>IFERROR(__xludf.DUMMYFUNCTION("""COMPUTED_VALUE"""),"Ngoshi Jayden")</f>
        <v>Ngoshi Jayden</v>
      </c>
      <c r="J90" s="209" t="str">
        <f>IFERROR(__xludf.DUMMYFUNCTION("""COMPUTED_VALUE"""),"Vergeer Aiden")</f>
        <v>Vergeer Aiden</v>
      </c>
      <c r="K90" s="209" t="str">
        <f>IFERROR(__xludf.DUMMYFUNCTION("""COMPUTED_VALUE"""),"Khalifeh Julia")</f>
        <v>Khalifeh Julia</v>
      </c>
      <c r="L90" s="209" t="str">
        <f>IFERROR(__xludf.DUMMYFUNCTION("""COMPUTED_VALUE"""),"Jane Shane")</f>
        <v>Jane Shane</v>
      </c>
      <c r="M90" s="209" t="str">
        <f>IFERROR(__xludf.DUMMYFUNCTION("""COMPUTED_VALUE"""),"Chileshe Chebo")</f>
        <v>Chileshe Chebo</v>
      </c>
      <c r="N90" s="209"/>
      <c r="O90" s="209"/>
      <c r="P90" s="209"/>
      <c r="Q90" s="209"/>
      <c r="R90" s="209"/>
      <c r="S90" s="209"/>
      <c r="T90" s="209"/>
      <c r="U90" s="209"/>
      <c r="V90" s="209"/>
      <c r="W90" s="209"/>
      <c r="X90" s="209"/>
      <c r="Y90" s="209"/>
      <c r="Z90" s="209"/>
      <c r="AA90" s="209"/>
    </row>
    <row r="91">
      <c r="A91" s="441"/>
      <c r="B91" s="440" t="s">
        <v>87</v>
      </c>
      <c r="C91" s="440">
        <f>COUNTIF(LS2A!AP5:AP29,"B")</f>
        <v>12</v>
      </c>
      <c r="D91" s="209" t="str">
        <f>IFERROR(__xludf.DUMMYFUNCTION("TRANSPOSE(FILTER(LS2A!B:B, LS2A!AP:AP=""B""))"),"Dakwa Isia Yanis")</f>
        <v>Dakwa Isia Yanis</v>
      </c>
      <c r="E91" s="209" t="str">
        <f>IFERROR(__xludf.DUMMYFUNCTION("""COMPUTED_VALUE"""),"Kalala Enoch")</f>
        <v>Kalala Enoch</v>
      </c>
      <c r="F91" s="209" t="str">
        <f>IFERROR(__xludf.DUMMYFUNCTION("""COMPUTED_VALUE"""),"Rovira Phiri Lucas")</f>
        <v>Rovira Phiri Lucas</v>
      </c>
      <c r="G91" s="209" t="str">
        <f>IFERROR(__xludf.DUMMYFUNCTION("""COMPUTED_VALUE"""),"Mavhunga Mufaro")</f>
        <v>Mavhunga Mufaro</v>
      </c>
      <c r="H91" s="209" t="str">
        <f>IFERROR(__xludf.DUMMYFUNCTION("""COMPUTED_VALUE"""),"Chulu Chaulela")</f>
        <v>Chulu Chaulela</v>
      </c>
      <c r="I91" s="209" t="str">
        <f>IFERROR(__xludf.DUMMYFUNCTION("""COMPUTED_VALUE"""),"Khanve Lakshya")</f>
        <v>Khanve Lakshya</v>
      </c>
      <c r="J91" s="209" t="str">
        <f>IFERROR(__xludf.DUMMYFUNCTION("""COMPUTED_VALUE"""),"Shalak Walid")</f>
        <v>Shalak Walid</v>
      </c>
      <c r="K91" s="209" t="str">
        <f>IFERROR(__xludf.DUMMYFUNCTION("""COMPUTED_VALUE"""),"Siame Kayla")</f>
        <v>Siame Kayla</v>
      </c>
      <c r="L91" s="209" t="str">
        <f>IFERROR(__xludf.DUMMYFUNCTION("""COMPUTED_VALUE"""),"Chiwoni Isabella")</f>
        <v>Chiwoni Isabella</v>
      </c>
      <c r="M91" s="209" t="str">
        <f>IFERROR(__xludf.DUMMYFUNCTION("""COMPUTED_VALUE"""),"Mustafa Amina")</f>
        <v>Mustafa Amina</v>
      </c>
      <c r="N91" s="209" t="str">
        <f>IFERROR(__xludf.DUMMYFUNCTION("""COMPUTED_VALUE"""),"Chinyemba Asia Adele")</f>
        <v>Chinyemba Asia Adele</v>
      </c>
      <c r="O91" s="209" t="str">
        <f>IFERROR(__xludf.DUMMYFUNCTION("""COMPUTED_VALUE"""),"Ahmed Hussein Ali")</f>
        <v>Ahmed Hussein Ali</v>
      </c>
      <c r="P91" s="209"/>
      <c r="Q91" s="209"/>
      <c r="R91" s="209"/>
      <c r="S91" s="209"/>
      <c r="T91" s="209"/>
      <c r="U91" s="209"/>
      <c r="V91" s="209"/>
      <c r="W91" s="209"/>
      <c r="X91" s="209"/>
      <c r="Y91" s="209"/>
      <c r="Z91" s="209"/>
      <c r="AA91" s="209"/>
    </row>
    <row r="92">
      <c r="A92" s="441"/>
      <c r="B92" s="440" t="s">
        <v>85</v>
      </c>
      <c r="C92" s="440">
        <f>COUNTIF(LS2A!AP5:AP29,"A")</f>
        <v>1</v>
      </c>
      <c r="D92" s="209" t="str">
        <f>IFERROR(__xludf.DUMMYFUNCTION("TRANSPOSE(FILTER(LS2A!B:B, LS2A!AP:AP=""A""))"),"Dubey Navya")</f>
        <v>Dubey Navya</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COUNTIF(LS2A!AP5:AP29,"A~*")</f>
        <v>0</v>
      </c>
      <c r="D93" s="209" t="str">
        <f>IFERROR(__xludf.DUMMYFUNCTION("TRANSPOSE(FILTER(LS2A!B:B, LS2A!AP:AP=""A*""))"),"#N/A")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fitToHeight="0" cellComments="atEnd" orientation="landscape" pageOrder="overThenDown"/>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COUNTIF(LS3A!F5:F27,"U")</f>
        <v>0</v>
      </c>
      <c r="D4" s="209" t="str">
        <f>IFERROR(__xludf.DUMMYFUNCTION("TRANSPOSE(FILTER(LS3A!B:B, LS3A!F:F=""U""))"),"#N/A")</f>
        <v>#N/A</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COUNTIF(LS3A!F5:F27,"G")</f>
        <v>0</v>
      </c>
      <c r="D5" s="209" t="str">
        <f>IFERROR(__xludf.DUMMYFUNCTION("TRANSPOSE(FILTER(LS3A!B:B, LS3A!F:F=""G""))"),"#N/A")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COUNTIF(LS3A!F5:F27,"F")</f>
        <v>1</v>
      </c>
      <c r="D6" s="209" t="str">
        <f>IFERROR(__xludf.DUMMYFUNCTION("TRANSPOSE(FILTER(LS3A!B:B, LS3A!F:F=""F""))"),"Mhlanga Thandulenge")</f>
        <v>Mhlanga Thandulenge</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COUNTIF(LS3A!F5:F27,"E")</f>
        <v>5</v>
      </c>
      <c r="D7" s="209" t="str">
        <f>IFERROR(__xludf.DUMMYFUNCTION("TRANSPOSE(FILTER(LS3A!B:B, LS3A!F:F=""E""))"),"Lemba Yahya")</f>
        <v>Lemba Yahya</v>
      </c>
      <c r="E7" s="209" t="str">
        <f>IFERROR(__xludf.DUMMYFUNCTION("""COMPUTED_VALUE"""),"Milestead Tiago")</f>
        <v>Milestead Tiago</v>
      </c>
      <c r="F7" s="209" t="str">
        <f>IFERROR(__xludf.DUMMYFUNCTION("""COMPUTED_VALUE"""),"Rezk Macarius")</f>
        <v>Rezk Macarius</v>
      </c>
      <c r="G7" s="209" t="str">
        <f>IFERROR(__xludf.DUMMYFUNCTION("""COMPUTED_VALUE"""),"Niu Yitong")</f>
        <v>Niu Yitong</v>
      </c>
      <c r="H7" s="209" t="str">
        <f>IFERROR(__xludf.DUMMYFUNCTION("""COMPUTED_VALUE"""),"Saadi Zahraa")</f>
        <v>Saadi Zahraa</v>
      </c>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COUNTIF(LS3A!F5:F27,"D")</f>
        <v>10</v>
      </c>
      <c r="D8" s="209" t="str">
        <f>IFERROR(__xludf.DUMMYFUNCTION("TRANSPOSE(FILTER(LS3A!B:B, LS3A!F:F=""D""))"),"Kashoka Susanna")</f>
        <v>Kashoka Susanna</v>
      </c>
      <c r="E8" s="209" t="str">
        <f>IFERROR(__xludf.DUMMYFUNCTION("""COMPUTED_VALUE"""),"Nsenje Joanna")</f>
        <v>Nsenje Joanna</v>
      </c>
      <c r="F8" s="209" t="str">
        <f>IFERROR(__xludf.DUMMYFUNCTION("""COMPUTED_VALUE"""),"Dejohn Lucas")</f>
        <v>Dejohn Lucas</v>
      </c>
      <c r="G8" s="209" t="str">
        <f>IFERROR(__xludf.DUMMYFUNCTION("""COMPUTED_VALUE"""),"Simango Natasha")</f>
        <v>Simango Natasha</v>
      </c>
      <c r="H8" s="209" t="str">
        <f>IFERROR(__xludf.DUMMYFUNCTION("""COMPUTED_VALUE"""),"Malan Chellah")</f>
        <v>Malan Chellah</v>
      </c>
      <c r="I8" s="209" t="str">
        <f>IFERROR(__xludf.DUMMYFUNCTION("""COMPUTED_VALUE"""),"Woods Caiden")</f>
        <v>Woods Caiden</v>
      </c>
      <c r="J8" s="209" t="str">
        <f>IFERROR(__xludf.DUMMYFUNCTION("""COMPUTED_VALUE"""),"Simutende Themba")</f>
        <v>Simutende Themba</v>
      </c>
      <c r="K8" s="209" t="str">
        <f>IFERROR(__xludf.DUMMYFUNCTION("""COMPUTED_VALUE"""),"Sakala Mumbilwe")</f>
        <v>Sakala Mumbilwe</v>
      </c>
      <c r="L8" s="209" t="str">
        <f>IFERROR(__xludf.DUMMYFUNCTION("""COMPUTED_VALUE"""),"Abdulle Abdiasis")</f>
        <v>Abdulle Abdiasis</v>
      </c>
      <c r="M8" s="209" t="str">
        <f>IFERROR(__xludf.DUMMYFUNCTION("""COMPUTED_VALUE"""),"Mulenga Katlego")</f>
        <v>Mulenga Katlego</v>
      </c>
      <c r="N8" s="209"/>
      <c r="O8" s="209"/>
      <c r="P8" s="209"/>
      <c r="Q8" s="209"/>
      <c r="R8" s="209"/>
      <c r="S8" s="209"/>
      <c r="T8" s="209"/>
      <c r="U8" s="209"/>
      <c r="V8" s="209"/>
      <c r="W8" s="209"/>
      <c r="X8" s="209"/>
      <c r="Y8" s="209"/>
      <c r="Z8" s="209"/>
      <c r="AA8" s="209"/>
    </row>
    <row r="9" ht="20.25" customHeight="1">
      <c r="A9" s="441"/>
      <c r="B9" s="440" t="s">
        <v>90</v>
      </c>
      <c r="C9" s="440">
        <f>COUNTIF(LS3A!F5:F27,"C")</f>
        <v>5</v>
      </c>
      <c r="D9" s="209" t="str">
        <f>IFERROR(__xludf.DUMMYFUNCTION("TRANSPOSE(FILTER(LS3A!B:B, LS3A!F:F=""C""))"),"Yadav Pallavi")</f>
        <v>Yadav Pallavi</v>
      </c>
      <c r="E9" s="209" t="str">
        <f>IFERROR(__xludf.DUMMYFUNCTION("""COMPUTED_VALUE"""),"Naniso Dannelle Dauramanzi ")</f>
        <v>Naniso Dannelle Dauramanzi </v>
      </c>
      <c r="F9" s="209" t="str">
        <f>IFERROR(__xludf.DUMMYFUNCTION("""COMPUTED_VALUE"""),"Bath Iman")</f>
        <v>Bath Iman</v>
      </c>
      <c r="G9" s="209" t="str">
        <f>IFERROR(__xludf.DUMMYFUNCTION("""COMPUTED_VALUE"""),"Chunga Nomasizwe")</f>
        <v>Chunga Nomasizwe</v>
      </c>
      <c r="H9" s="209" t="str">
        <f>IFERROR(__xludf.DUMMYFUNCTION("""COMPUTED_VALUE"""),"Sampa Asher")</f>
        <v>Sampa Asher</v>
      </c>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COUNTIF(LS3A!F5:F27,"B")</f>
        <v>1</v>
      </c>
      <c r="D10" s="209" t="str">
        <f>IFERROR(__xludf.DUMMYFUNCTION("TRANSPOSE(FILTER(LS3A!B:B, LS3A!F:F=""B""))"),"Nair Aadhya")</f>
        <v>Nair Aadhya</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COUNTIF(LS3A!F5:F27,"A")</f>
        <v>1</v>
      </c>
      <c r="D11" s="209" t="str">
        <f>IFERROR(__xludf.DUMMYFUNCTION("TRANSPOSE(FILTER(LS3A!B:B, LS3A!F:F=""A""))"),"Chowdhary Trishna")</f>
        <v>Chowdhary Trishna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COUNTIF(LS3A!F5:F27,"A~*")</f>
        <v>0</v>
      </c>
      <c r="D12" s="209" t="str">
        <f>IFERROR(__xludf.DUMMYFUNCTION("TRANSPOSE(FILTER(LS3A!B:B, LS3A!F:F=""A*""))"),"#N/A")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COUNTIF(LS3A!J5:J27,"U")</f>
        <v>0</v>
      </c>
      <c r="D15" s="209" t="str">
        <f>IFERROR(__xludf.DUMMYFUNCTION("TRANSPOSE(FILTER(LS3A!B:B, LS3A!J:J=""U""))"),"#N/A")</f>
        <v>#N/A</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COUNTIF(LS3A!J5:J27,"G")</f>
        <v>0</v>
      </c>
      <c r="D16" s="209" t="str">
        <f>IFERROR(__xludf.DUMMYFUNCTION("TRANSPOSE(FILTER(LS3A!B:B, LS3A!J:J=""G""))"),"#N/A")</f>
        <v>#N/A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COUNTIF(LS3A!J5:J27,"F")</f>
        <v>4</v>
      </c>
      <c r="D17" s="209" t="str">
        <f>IFERROR(__xludf.DUMMYFUNCTION("TRANSPOSE(FILTER(LS3A!B:B, LS3A!J:J=""F""))"),"Nsenje Joanna")</f>
        <v>Nsenje Joanna</v>
      </c>
      <c r="E17" s="209" t="str">
        <f>IFERROR(__xludf.DUMMYFUNCTION("""COMPUTED_VALUE"""),"Simango Natasha")</f>
        <v>Simango Natasha</v>
      </c>
      <c r="F17" s="209" t="str">
        <f>IFERROR(__xludf.DUMMYFUNCTION("""COMPUTED_VALUE"""),"Mhlanga Thandulenge")</f>
        <v>Mhlanga Thandulenge</v>
      </c>
      <c r="G17" s="209" t="str">
        <f>IFERROR(__xludf.DUMMYFUNCTION("""COMPUTED_VALUE"""),"Chunga Nomasizwe")</f>
        <v>Chunga Nomasizwe</v>
      </c>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COUNTIF(LS3A!J5:J27,"E")</f>
        <v>4</v>
      </c>
      <c r="D18" s="209" t="str">
        <f>IFERROR(__xludf.DUMMYFUNCTION("TRANSPOSE(FILTER(LS3A!B:B, LS3A!J:J=""E""))"),"Milestead Tiago")</f>
        <v>Milestead Tiago</v>
      </c>
      <c r="E18" s="209" t="str">
        <f>IFERROR(__xludf.DUMMYFUNCTION("""COMPUTED_VALUE"""),"Naniso Dannelle Dauramanzi ")</f>
        <v>Naniso Dannelle Dauramanzi </v>
      </c>
      <c r="F18" s="209" t="str">
        <f>IFERROR(__xludf.DUMMYFUNCTION("""COMPUTED_VALUE"""),"Bath Iman")</f>
        <v>Bath Iman</v>
      </c>
      <c r="G18" s="209" t="str">
        <f>IFERROR(__xludf.DUMMYFUNCTION("""COMPUTED_VALUE"""),"Mulenga Katlego")</f>
        <v>Mulenga Katlego</v>
      </c>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COUNTIF(LS3A!J5:J27,"D")</f>
        <v>8</v>
      </c>
      <c r="D19" s="209" t="str">
        <f>IFERROR(__xludf.DUMMYFUNCTION("TRANSPOSE(FILTER(LS3A!B:B, LS3A!J:J=""D""))"),"Lemba Yahya")</f>
        <v>Lemba Yahya</v>
      </c>
      <c r="E19" s="209" t="str">
        <f>IFERROR(__xludf.DUMMYFUNCTION("""COMPUTED_VALUE"""),"Rezk Macarius")</f>
        <v>Rezk Macarius</v>
      </c>
      <c r="F19" s="209" t="str">
        <f>IFERROR(__xludf.DUMMYFUNCTION("""COMPUTED_VALUE"""),"Kashoka Susanna")</f>
        <v>Kashoka Susanna</v>
      </c>
      <c r="G19" s="209" t="str">
        <f>IFERROR(__xludf.DUMMYFUNCTION("""COMPUTED_VALUE"""),"Dejohn Lucas")</f>
        <v>Dejohn Lucas</v>
      </c>
      <c r="H19" s="209" t="str">
        <f>IFERROR(__xludf.DUMMYFUNCTION("""COMPUTED_VALUE"""),"Malan Chellah")</f>
        <v>Malan Chellah</v>
      </c>
      <c r="I19" s="209" t="str">
        <f>IFERROR(__xludf.DUMMYFUNCTION("""COMPUTED_VALUE"""),"Simutende Themba")</f>
        <v>Simutende Themba</v>
      </c>
      <c r="J19" s="209" t="str">
        <f>IFERROR(__xludf.DUMMYFUNCTION("""COMPUTED_VALUE"""),"Sakala Mumbilwe")</f>
        <v>Sakala Mumbilwe</v>
      </c>
      <c r="K19" s="209" t="str">
        <f>IFERROR(__xludf.DUMMYFUNCTION("""COMPUTED_VALUE"""),"Saadi Zahraa")</f>
        <v>Saadi Zahraa</v>
      </c>
      <c r="L19" s="209"/>
      <c r="M19" s="209"/>
      <c r="N19" s="209"/>
      <c r="O19" s="209"/>
      <c r="P19" s="209"/>
      <c r="Q19" s="209"/>
      <c r="R19" s="209"/>
      <c r="S19" s="209"/>
      <c r="T19" s="209"/>
      <c r="U19" s="209"/>
      <c r="V19" s="209"/>
      <c r="W19" s="209"/>
      <c r="X19" s="209"/>
      <c r="Y19" s="209"/>
      <c r="Z19" s="209"/>
      <c r="AA19" s="209"/>
    </row>
    <row r="20">
      <c r="A20" s="441"/>
      <c r="B20" s="440" t="s">
        <v>90</v>
      </c>
      <c r="C20" s="440">
        <f>COUNTIF(LS3A!J5:J27,"C")</f>
        <v>4</v>
      </c>
      <c r="D20" s="209" t="str">
        <f>IFERROR(__xludf.DUMMYFUNCTION("TRANSPOSE(FILTER(LS3A!B:B, LS3A!J:J=""C""))"),"Chowdhary Trishna")</f>
        <v>Chowdhary Trishna</v>
      </c>
      <c r="E20" s="209" t="str">
        <f>IFERROR(__xludf.DUMMYFUNCTION("""COMPUTED_VALUE"""),"Woods Caiden")</f>
        <v>Woods Caiden</v>
      </c>
      <c r="F20" s="209" t="str">
        <f>IFERROR(__xludf.DUMMYFUNCTION("""COMPUTED_VALUE"""),"Abdulle Abdiasis")</f>
        <v>Abdulle Abdiasis</v>
      </c>
      <c r="G20" s="209" t="str">
        <f>IFERROR(__xludf.DUMMYFUNCTION("""COMPUTED_VALUE"""),"Sampa Asher")</f>
        <v>Sampa Asher</v>
      </c>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COUNTIF(LS3A!J5:J27,"B")</f>
        <v>2</v>
      </c>
      <c r="D21" s="209" t="str">
        <f>IFERROR(__xludf.DUMMYFUNCTION("TRANSPOSE(FILTER(LS3A!B:B, LS3A!J:J=""B""))"),"Yadav Pallavi")</f>
        <v>Yadav Pallavi</v>
      </c>
      <c r="E21" s="209" t="str">
        <f>IFERROR(__xludf.DUMMYFUNCTION("""COMPUTED_VALUE"""),"Nair Aadhya")</f>
        <v>Nair Aadhya</v>
      </c>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COUNTIF(LS3A!J5:J27,"A")</f>
        <v>0</v>
      </c>
      <c r="D22" s="209" t="str">
        <f>IFERROR(__xludf.DUMMYFUNCTION("TRANSPOSE(FILTER(LS3A!B:B, LS3A!J:J=""A""))"),"#N/A")</f>
        <v>#N/A</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COUNTIF(LS3A!J5:J27,"A~*")</f>
        <v>1</v>
      </c>
      <c r="D23" s="209" t="str">
        <f>IFERROR(__xludf.DUMMYFUNCTION("TRANSPOSE(FILTER(LS3A!B:B, LS3A!J:J=""A*""))"),"Niu Yitong")</f>
        <v>Niu Yitong</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64</v>
      </c>
      <c r="C25" s="440" t="s">
        <v>64</v>
      </c>
      <c r="D25" s="440" t="s">
        <v>64</v>
      </c>
      <c r="E25" s="440" t="s">
        <v>64</v>
      </c>
      <c r="F25" s="440" t="s">
        <v>64</v>
      </c>
      <c r="G25" s="440" t="s">
        <v>64</v>
      </c>
      <c r="H25" s="440" t="s">
        <v>64</v>
      </c>
      <c r="I25" s="440" t="s">
        <v>64</v>
      </c>
      <c r="J25" s="440" t="s">
        <v>64</v>
      </c>
      <c r="K25" s="209"/>
      <c r="L25" s="209"/>
      <c r="M25" s="209"/>
      <c r="N25" s="209"/>
      <c r="O25" s="209"/>
      <c r="P25" s="209"/>
      <c r="Q25" s="209"/>
      <c r="R25" s="209"/>
      <c r="S25" s="209"/>
      <c r="T25" s="209"/>
      <c r="U25" s="209"/>
      <c r="V25" s="209"/>
      <c r="W25" s="209"/>
      <c r="X25" s="209"/>
      <c r="Y25" s="209"/>
      <c r="Z25" s="209"/>
      <c r="AA25" s="209"/>
    </row>
    <row r="26">
      <c r="A26" s="441"/>
      <c r="B26" s="440" t="s">
        <v>142</v>
      </c>
      <c r="C26" s="440">
        <f>COUNTIF(LS3A!N5:N27,"G")</f>
        <v>0</v>
      </c>
      <c r="D26" s="209" t="str">
        <f>IFERROR(__xludf.DUMMYFUNCTION("TRANSPOSE(FILTER(LS3A!B:B, LS3A!N:N=""G""))"),"#N/A")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146</v>
      </c>
      <c r="C27" s="440">
        <f>COUNTIF(LS3A!N5:N27,"E")</f>
        <v>3</v>
      </c>
      <c r="D27" s="209" t="str">
        <f>IFERROR(__xludf.DUMMYFUNCTION("TRANSPOSE(FILTER(LS3A!B:B, LS3A!N:N=""E""))"),"Nsenje Joanna")</f>
        <v>Nsenje Joanna</v>
      </c>
      <c r="E27" s="209" t="str">
        <f>IFERROR(__xludf.DUMMYFUNCTION("""COMPUTED_VALUE"""),"Simutende Themba")</f>
        <v>Simutende Themba</v>
      </c>
      <c r="F27" s="209" t="str">
        <f>IFERROR(__xludf.DUMMYFUNCTION("""COMPUTED_VALUE"""),"Bath Iman")</f>
        <v>Bath Iman</v>
      </c>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144</v>
      </c>
      <c r="C28" s="440">
        <f>COUNTIF(LS3A!N5:N27,"F")</f>
        <v>2</v>
      </c>
      <c r="D28" s="209" t="str">
        <f>IFERROR(__xludf.DUMMYFUNCTION("TRANSPOSE(FILTER(LS3A!B:B, LS3A!N:N=""F""))"),"Niu Yitong")</f>
        <v>Niu Yitong</v>
      </c>
      <c r="E28" s="209" t="str">
        <f>IFERROR(__xludf.DUMMYFUNCTION("""COMPUTED_VALUE"""),"Chunga Nomasizwe")</f>
        <v>Chunga Nomasizwe</v>
      </c>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COUNTIF(LS3A!N5:N27,"D")</f>
        <v>6</v>
      </c>
      <c r="D29" s="209" t="str">
        <f>IFERROR(__xludf.DUMMYFUNCTION("TRANSPOSE(FILTER(LS3A!B:B, LS3A!N:N=""D""))"),"Milestead Tiago")</f>
        <v>Milestead Tiago</v>
      </c>
      <c r="E29" s="209" t="str">
        <f>IFERROR(__xludf.DUMMYFUNCTION("""COMPUTED_VALUE"""),"Dejohn Lucas")</f>
        <v>Dejohn Lucas</v>
      </c>
      <c r="F29" s="209" t="str">
        <f>IFERROR(__xludf.DUMMYFUNCTION("""COMPUTED_VALUE"""),"Simango Natasha")</f>
        <v>Simango Natasha</v>
      </c>
      <c r="G29" s="209" t="str">
        <f>IFERROR(__xludf.DUMMYFUNCTION("""COMPUTED_VALUE"""),"Malan Chellah")</f>
        <v>Malan Chellah</v>
      </c>
      <c r="H29" s="209" t="str">
        <f>IFERROR(__xludf.DUMMYFUNCTION("""COMPUTED_VALUE"""),"Sakala Mumbilwe")</f>
        <v>Sakala Mumbilwe</v>
      </c>
      <c r="I29" s="209" t="str">
        <f>IFERROR(__xludf.DUMMYFUNCTION("""COMPUTED_VALUE"""),"Saadi Zahraa")</f>
        <v>Saadi Zahraa</v>
      </c>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COUNTIF(LS3A!N5:N27,"C")</f>
        <v>7</v>
      </c>
      <c r="D30" s="209" t="str">
        <f>IFERROR(__xludf.DUMMYFUNCTION("TRANSPOSE(FILTER(LS3A!B:B, LS3A!N:N=""C""))"),"Lemba Yahya")</f>
        <v>Lemba Yahya</v>
      </c>
      <c r="E30" s="209" t="str">
        <f>IFERROR(__xludf.DUMMYFUNCTION("""COMPUTED_VALUE"""),"Rezk Macarius")</f>
        <v>Rezk Macarius</v>
      </c>
      <c r="F30" s="209" t="str">
        <f>IFERROR(__xludf.DUMMYFUNCTION("""COMPUTED_VALUE"""),"Kashoka Susanna")</f>
        <v>Kashoka Susanna</v>
      </c>
      <c r="G30" s="209" t="str">
        <f>IFERROR(__xludf.DUMMYFUNCTION("""COMPUTED_VALUE"""),"Nair Aadhya")</f>
        <v>Nair Aadhya</v>
      </c>
      <c r="H30" s="209" t="str">
        <f>IFERROR(__xludf.DUMMYFUNCTION("""COMPUTED_VALUE"""),"Naniso Dannelle Dauramanzi ")</f>
        <v>Naniso Dannelle Dauramanzi </v>
      </c>
      <c r="I30" s="209" t="str">
        <f>IFERROR(__xludf.DUMMYFUNCTION("""COMPUTED_VALUE"""),"Chowdhary Trishna")</f>
        <v>Chowdhary Trishna</v>
      </c>
      <c r="J30" s="209" t="str">
        <f>IFERROR(__xludf.DUMMYFUNCTION("""COMPUTED_VALUE"""),"Woods Caiden")</f>
        <v>Woods Caiden</v>
      </c>
      <c r="K30" s="209"/>
      <c r="L30" s="209"/>
      <c r="M30" s="209"/>
      <c r="N30" s="209"/>
      <c r="O30" s="209"/>
      <c r="P30" s="209"/>
      <c r="Q30" s="209"/>
      <c r="R30" s="209"/>
      <c r="S30" s="209"/>
      <c r="T30" s="209"/>
      <c r="U30" s="209"/>
      <c r="V30" s="209"/>
      <c r="W30" s="209"/>
      <c r="X30" s="209"/>
      <c r="Y30" s="209"/>
      <c r="Z30" s="209"/>
      <c r="AA30" s="209"/>
    </row>
    <row r="31">
      <c r="A31" s="441"/>
      <c r="B31" s="440" t="s">
        <v>87</v>
      </c>
      <c r="C31" s="440">
        <f>COUNTIF(LS3A!N5:N27,"B")</f>
        <v>4</v>
      </c>
      <c r="D31" s="209" t="str">
        <f>IFERROR(__xludf.DUMMYFUNCTION("TRANSPOSE(FILTER(LS3A!B:B, LS3A!N:N=""B""))"),"Yadav Pallavi")</f>
        <v>Yadav Pallavi</v>
      </c>
      <c r="E31" s="209" t="str">
        <f>IFERROR(__xludf.DUMMYFUNCTION("""COMPUTED_VALUE"""),"Abdulle Abdiasis")</f>
        <v>Abdulle Abdiasis</v>
      </c>
      <c r="F31" s="209" t="str">
        <f>IFERROR(__xludf.DUMMYFUNCTION("""COMPUTED_VALUE"""),"Mulenga Katlego")</f>
        <v>Mulenga Katlego</v>
      </c>
      <c r="G31" s="209" t="str">
        <f>IFERROR(__xludf.DUMMYFUNCTION("""COMPUTED_VALUE"""),"Sampa Asher")</f>
        <v>Sampa Asher</v>
      </c>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COUNTIF(LS3A!N5:N27,"A")</f>
        <v>0</v>
      </c>
      <c r="D32" s="209" t="str">
        <f>IFERROR(__xludf.DUMMYFUNCTION("TRANSPOSE(FILTER(LS3A!B:B, LS3A!N:N=""A""))"),"#N/A")</f>
        <v>#N/A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COUNTIF(LS3A!N5:N27,"A~*")</f>
        <v>0</v>
      </c>
      <c r="D33" s="209" t="str">
        <f>IFERROR(__xludf.DUMMYFUNCTION("TRANSPOSE(FILTER(LS3A!B:B, LS3A!N:N=""A*""))"),"#N/A")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COUNTIF(LS3A!R5:R27,"U")</f>
        <v>1</v>
      </c>
      <c r="D35" s="209" t="str">
        <f>IFERROR(__xludf.DUMMYFUNCTION("TRANSPOSE(FILTER(LS3A!B:B, LS3A!R:R=""U""))"),"Mhlanga Thandulenge")</f>
        <v>Mhlanga Thandulenge</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COUNTIF(LS3A!R5:R27,"G")</f>
        <v>0</v>
      </c>
      <c r="D36" s="209" t="str">
        <f>IFERROR(__xludf.DUMMYFUNCTION("TRANSPOSE(FILTER(LS3A!B:B, LS3A!R:R=""G""))"),"#N/A")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COUNTIF(LS3A!R5:R27,"F")</f>
        <v>1</v>
      </c>
      <c r="D37" s="209" t="str">
        <f>IFERROR(__xludf.DUMMYFUNCTION("TRANSPOSE(FILTER(LS3A!B:B, LS3A!R:R=""F""))"),"Milestead Tiago")</f>
        <v>Milestead Tiago</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COUNTIF(LS3A!R5:R27,"E")</f>
        <v>1</v>
      </c>
      <c r="D38" s="209" t="str">
        <f>IFERROR(__xludf.DUMMYFUNCTION("TRANSPOSE(FILTER(LS3A!B:B, LS3A!R:R=""E""))"),"Saadi Zahraa")</f>
        <v>Saadi Zahraa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COUNTIF(LS3A!R5:R27,"D")</f>
        <v>6</v>
      </c>
      <c r="D39" s="209" t="str">
        <f>IFERROR(__xludf.DUMMYFUNCTION("TRANSPOSE(FILTER(LS3A!B:B, LS3A!R:R=""D""))"),"Niu Yitong")</f>
        <v>Niu Yitong</v>
      </c>
      <c r="E39" s="209" t="str">
        <f>IFERROR(__xludf.DUMMYFUNCTION("""COMPUTED_VALUE"""),"Simango Natasha")</f>
        <v>Simango Natasha</v>
      </c>
      <c r="F39" s="209" t="str">
        <f>IFERROR(__xludf.DUMMYFUNCTION("""COMPUTED_VALUE"""),"Simutende Themba")</f>
        <v>Simutende Themba</v>
      </c>
      <c r="G39" s="209" t="str">
        <f>IFERROR(__xludf.DUMMYFUNCTION("""COMPUTED_VALUE"""),"Abdulle Abdiasis")</f>
        <v>Abdulle Abdiasis</v>
      </c>
      <c r="H39" s="209" t="str">
        <f>IFERROR(__xludf.DUMMYFUNCTION("""COMPUTED_VALUE"""),"Bath Iman")</f>
        <v>Bath Iman</v>
      </c>
      <c r="I39" s="209" t="str">
        <f>IFERROR(__xludf.DUMMYFUNCTION("""COMPUTED_VALUE"""),"Chunga Nomasizwe")</f>
        <v>Chunga Nomasizwe</v>
      </c>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COUNTIF(LS3A!R5:R27,"C")</f>
        <v>9</v>
      </c>
      <c r="D40" s="209" t="str">
        <f>IFERROR(__xludf.DUMMYFUNCTION("TRANSPOSE(FILTER(LS3A!B:B, LS3A!R:R=""C""))"),"Rezk Macarius")</f>
        <v>Rezk Macarius</v>
      </c>
      <c r="E40" s="209" t="str">
        <f>IFERROR(__xludf.DUMMYFUNCTION("""COMPUTED_VALUE"""),"Yadav Pallavi")</f>
        <v>Yadav Pallavi</v>
      </c>
      <c r="F40" s="209" t="str">
        <f>IFERROR(__xludf.DUMMYFUNCTION("""COMPUTED_VALUE"""),"Nair Aadhya")</f>
        <v>Nair Aadhya</v>
      </c>
      <c r="G40" s="209" t="str">
        <f>IFERROR(__xludf.DUMMYFUNCTION("""COMPUTED_VALUE"""),"Nsenje Joanna")</f>
        <v>Nsenje Joanna</v>
      </c>
      <c r="H40" s="209" t="str">
        <f>IFERROR(__xludf.DUMMYFUNCTION("""COMPUTED_VALUE"""),"Dejohn Lucas")</f>
        <v>Dejohn Lucas</v>
      </c>
      <c r="I40" s="209" t="str">
        <f>IFERROR(__xludf.DUMMYFUNCTION("""COMPUTED_VALUE"""),"Woods Caiden")</f>
        <v>Woods Caiden</v>
      </c>
      <c r="J40" s="209" t="str">
        <f>IFERROR(__xludf.DUMMYFUNCTION("""COMPUTED_VALUE"""),"Sakala Mumbilwe")</f>
        <v>Sakala Mumbilwe</v>
      </c>
      <c r="K40" s="209" t="str">
        <f>IFERROR(__xludf.DUMMYFUNCTION("""COMPUTED_VALUE"""),"Mulenga Katlego")</f>
        <v>Mulenga Katlego</v>
      </c>
      <c r="L40" s="209" t="str">
        <f>IFERROR(__xludf.DUMMYFUNCTION("""COMPUTED_VALUE"""),"Sampa Asher")</f>
        <v>Sampa Asher</v>
      </c>
      <c r="M40" s="209"/>
      <c r="N40" s="209"/>
      <c r="O40" s="209"/>
      <c r="P40" s="209"/>
      <c r="Q40" s="209"/>
      <c r="R40" s="209"/>
      <c r="S40" s="209"/>
      <c r="T40" s="209"/>
      <c r="U40" s="209"/>
      <c r="V40" s="209"/>
      <c r="W40" s="209"/>
      <c r="X40" s="209"/>
      <c r="Y40" s="209"/>
      <c r="Z40" s="209"/>
      <c r="AA40" s="209"/>
    </row>
    <row r="41">
      <c r="A41" s="441"/>
      <c r="B41" s="440" t="s">
        <v>87</v>
      </c>
      <c r="C41" s="440">
        <f>COUNTIF(LS3A!R5:R27,"B")</f>
        <v>5</v>
      </c>
      <c r="D41" s="209" t="str">
        <f>IFERROR(__xludf.DUMMYFUNCTION("TRANSPOSE(FILTER(LS3A!B:B, LS3A!R:R=""B""))"),"Lemba Yahya")</f>
        <v>Lemba Yahya</v>
      </c>
      <c r="E41" s="209" t="str">
        <f>IFERROR(__xludf.DUMMYFUNCTION("""COMPUTED_VALUE"""),"Kashoka Susanna")</f>
        <v>Kashoka Susanna</v>
      </c>
      <c r="F41" s="209" t="str">
        <f>IFERROR(__xludf.DUMMYFUNCTION("""COMPUTED_VALUE"""),"Naniso Dannelle Dauramanzi ")</f>
        <v>Naniso Dannelle Dauramanzi </v>
      </c>
      <c r="G41" s="209" t="str">
        <f>IFERROR(__xludf.DUMMYFUNCTION("""COMPUTED_VALUE"""),"Chowdhary Trishna")</f>
        <v>Chowdhary Trishna</v>
      </c>
      <c r="H41" s="209" t="str">
        <f>IFERROR(__xludf.DUMMYFUNCTION("""COMPUTED_VALUE"""),"Malan Chellah")</f>
        <v>Malan Chellah</v>
      </c>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COUNTIF(LS3A!R5:R27,"A")</f>
        <v>0</v>
      </c>
      <c r="D42" s="209" t="str">
        <f>IFERROR(__xludf.DUMMYFUNCTION("TRANSPOSE(FILTER(LS3A!B:B, LS3A!R:R=""A""))"),"#N/A")</f>
        <v>#N/A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COUNTIF(LS3A!R5:R27,"A~*")</f>
        <v>0</v>
      </c>
      <c r="D43" s="209" t="str">
        <f>IFERROR(__xludf.DUMMYFUNCTION("TRANSPOSE(FILTER(LS3A!B:B, LS3A!R:R=""A*""))"),"#N/A")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COUNTIF(LS3A!Z5:Z27,"U")</f>
        <v>0</v>
      </c>
      <c r="D45" s="209" t="str">
        <f>IFERROR(__xludf.DUMMYFUNCTION("TRANSPOSE(FILTER(LS3A!B:B, LS3A!Z:Z=""U""))"),"#N/A")</f>
        <v>#N/A</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COUNTIF(LS3A!Z5:Z27,"G")</f>
        <v>0</v>
      </c>
      <c r="D46" s="209" t="str">
        <f>IFERROR(__xludf.DUMMYFUNCTION("TRANSPOSE(FILTER(LS3A!B:B, LS3A!Z:Z=""G""))"),"#N/A")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COUNTIF(LS3A!Z5:Z27,"F")</f>
        <v>0</v>
      </c>
      <c r="D47" s="209" t="str">
        <f>IFERROR(__xludf.DUMMYFUNCTION("TRANSPOSE(FILTER(LS3A!B:B, LS3A!Z:Z=""F""))"),"#N/A")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COUNTIF(LS3A!Z5:Z27,"E")</f>
        <v>3</v>
      </c>
      <c r="D48" s="209" t="str">
        <f>IFERROR(__xludf.DUMMYFUNCTION("TRANSPOSE(FILTER(LS3A!B:B, LS3A!Z:Z=""E""))"),"Niu Yitong")</f>
        <v>Niu Yitong</v>
      </c>
      <c r="E48" s="209" t="str">
        <f>IFERROR(__xludf.DUMMYFUNCTION("""COMPUTED_VALUE"""),"Mhlanga Thandulenge")</f>
        <v>Mhlanga Thandulenge</v>
      </c>
      <c r="F48" s="209" t="str">
        <f>IFERROR(__xludf.DUMMYFUNCTION("""COMPUTED_VALUE"""),"Saadi Zahraa")</f>
        <v>Saadi Zahraa</v>
      </c>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COUNTIF(LS3A!Z5:Z27,"D")</f>
        <v>4</v>
      </c>
      <c r="D49" s="209" t="str">
        <f>IFERROR(__xludf.DUMMYFUNCTION("TRANSPOSE(FILTER(LS3A!B:B, LS3A!Z:Z=""D""))"),"Milestead Tiago")</f>
        <v>Milestead Tiago</v>
      </c>
      <c r="E49" s="209" t="str">
        <f>IFERROR(__xludf.DUMMYFUNCTION("""COMPUTED_VALUE"""),"Nsenje Joanna")</f>
        <v>Nsenje Joanna</v>
      </c>
      <c r="F49" s="209" t="str">
        <f>IFERROR(__xludf.DUMMYFUNCTION("""COMPUTED_VALUE"""),"Simutende Themba")</f>
        <v>Simutende Themba</v>
      </c>
      <c r="G49" s="209" t="str">
        <f>IFERROR(__xludf.DUMMYFUNCTION("""COMPUTED_VALUE"""),"Sakala Mumbilwe")</f>
        <v>Sakala Mumbilwe</v>
      </c>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COUNTIF(LS3A!Z5:Z27,"C")</f>
        <v>6</v>
      </c>
      <c r="D50" s="209" t="str">
        <f>IFERROR(__xludf.DUMMYFUNCTION("TRANSPOSE(FILTER(LS3A!B:B, LS3A!Z:Z=""C""))"),"Rezk Macarius")</f>
        <v>Rezk Macarius</v>
      </c>
      <c r="E50" s="209" t="str">
        <f>IFERROR(__xludf.DUMMYFUNCTION("""COMPUTED_VALUE"""),"Simango Natasha")</f>
        <v>Simango Natasha</v>
      </c>
      <c r="F50" s="209" t="str">
        <f>IFERROR(__xludf.DUMMYFUNCTION("""COMPUTED_VALUE"""),"Malan Chellah")</f>
        <v>Malan Chellah</v>
      </c>
      <c r="G50" s="209" t="str">
        <f>IFERROR(__xludf.DUMMYFUNCTION("""COMPUTED_VALUE"""),"Woods Caiden")</f>
        <v>Woods Caiden</v>
      </c>
      <c r="H50" s="209" t="str">
        <f>IFERROR(__xludf.DUMMYFUNCTION("""COMPUTED_VALUE"""),"Chunga Nomasizwe")</f>
        <v>Chunga Nomasizwe</v>
      </c>
      <c r="I50" s="209" t="str">
        <f>IFERROR(__xludf.DUMMYFUNCTION("""COMPUTED_VALUE"""),"Mulenga Katlego")</f>
        <v>Mulenga Katlego</v>
      </c>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COUNTIF(LS3A!Z5:Z27,"B")</f>
        <v>4</v>
      </c>
      <c r="D51" s="209" t="str">
        <f>IFERROR(__xludf.DUMMYFUNCTION("TRANSPOSE(FILTER(LS3A!B:B, LS3A!Z:Z=""B""))"),"Lemba Yahya")</f>
        <v>Lemba Yahya</v>
      </c>
      <c r="E51" s="209" t="str">
        <f>IFERROR(__xludf.DUMMYFUNCTION("""COMPUTED_VALUE"""),"Dejohn Lucas")</f>
        <v>Dejohn Lucas</v>
      </c>
      <c r="F51" s="209" t="str">
        <f>IFERROR(__xludf.DUMMYFUNCTION("""COMPUTED_VALUE"""),"Naniso Dannelle Dauramanzi ")</f>
        <v>Naniso Dannelle Dauramanzi </v>
      </c>
      <c r="G51" s="209" t="str">
        <f>IFERROR(__xludf.DUMMYFUNCTION("""COMPUTED_VALUE"""),"Abdulle Abdiasis")</f>
        <v>Abdulle Abdiasis</v>
      </c>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COUNTIF(LS3A!Z5:Z27,"A")</f>
        <v>5</v>
      </c>
      <c r="D52" s="209" t="str">
        <f>IFERROR(__xludf.DUMMYFUNCTION("TRANSPOSE(FILTER(LS3A!B:B, LS3A!Z:Z=""A""))"),"Kashoka Susanna")</f>
        <v>Kashoka Susanna</v>
      </c>
      <c r="E52" s="209" t="str">
        <f>IFERROR(__xludf.DUMMYFUNCTION("""COMPUTED_VALUE"""),"Yadav Pallavi")</f>
        <v>Yadav Pallavi</v>
      </c>
      <c r="F52" s="209" t="str">
        <f>IFERROR(__xludf.DUMMYFUNCTION("""COMPUTED_VALUE"""),"Nair Aadhya")</f>
        <v>Nair Aadhya</v>
      </c>
      <c r="G52" s="209" t="str">
        <f>IFERROR(__xludf.DUMMYFUNCTION("""COMPUTED_VALUE"""),"Bath Iman")</f>
        <v>Bath Iman</v>
      </c>
      <c r="H52" s="209" t="str">
        <f>IFERROR(__xludf.DUMMYFUNCTION("""COMPUTED_VALUE"""),"Sampa Asher")</f>
        <v>Sampa Asher</v>
      </c>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COUNTIF(LS3A!Z5:Z27,"A~*")</f>
        <v>1</v>
      </c>
      <c r="D53" s="209" t="str">
        <f>IFERROR(__xludf.DUMMYFUNCTION("TRANSPOSE(FILTER(LS3A!B:B, LS3A!Z:Z=""A*""))"),"Chowdhary Trishna")</f>
        <v>Chowdhary Trishna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COUNTIF(LS3A!AD5:AD27,"U")</f>
        <v>0</v>
      </c>
      <c r="D55" s="209" t="str">
        <f>IFERROR(__xludf.DUMMYFUNCTION("TRANSPOSE(FILTER(LS3A!B:B, LS3A!AD:AD=""U""))"),"#N/A")</f>
        <v>#N/A</v>
      </c>
      <c r="E55" s="209"/>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COUNTIF(LS3A!AD5:AD27,"G")</f>
        <v>0</v>
      </c>
      <c r="D56" s="209" t="str">
        <f>IFERROR(__xludf.DUMMYFUNCTION("TRANSPOSE(FILTER(LS3A!B:B, LS3A!AD:AD=""G""))"),"#N/A")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COUNTIF(LS3A!AD5:AD27,"F")</f>
        <v>1</v>
      </c>
      <c r="D57" s="209" t="str">
        <f>IFERROR(__xludf.DUMMYFUNCTION("TRANSPOSE(FILTER(LS3A!B:B, LS3A!AD:AD=""F""))"),"Mhlanga Thandulenge")</f>
        <v>Mhlanga Thandulenge</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COUNTIF(LS3A!AD5:AD27,"E")</f>
        <v>3</v>
      </c>
      <c r="D58" s="209" t="str">
        <f>IFERROR(__xludf.DUMMYFUNCTION("TRANSPOSE(FILTER(LS3A!B:B, LS3A!AD:AD=""E""))"),"Lemba Yahya")</f>
        <v>Lemba Yahya</v>
      </c>
      <c r="E58" s="209" t="str">
        <f>IFERROR(__xludf.DUMMYFUNCTION("""COMPUTED_VALUE"""),"Niu Yitong")</f>
        <v>Niu Yitong</v>
      </c>
      <c r="F58" s="209" t="str">
        <f>IFERROR(__xludf.DUMMYFUNCTION("""COMPUTED_VALUE"""),"Simutende Themba")</f>
        <v>Simutende Themba</v>
      </c>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COUNTIF(LS3A!AD5:AD27,"D")</f>
        <v>3</v>
      </c>
      <c r="D59" s="209" t="str">
        <f>IFERROR(__xludf.DUMMYFUNCTION("TRANSPOSE(FILTER(LS3A!B:B, LS3A!AD:AD=""D""))"),"Rezk Macarius")</f>
        <v>Rezk Macarius</v>
      </c>
      <c r="E59" s="209" t="str">
        <f>IFERROR(__xludf.DUMMYFUNCTION("""COMPUTED_VALUE"""),"Abdulle Abdiasis")</f>
        <v>Abdulle Abdiasis</v>
      </c>
      <c r="F59" s="209" t="str">
        <f>IFERROR(__xludf.DUMMYFUNCTION("""COMPUTED_VALUE"""),"Chunga Nomasizwe")</f>
        <v>Chunga Nomasizwe</v>
      </c>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COUNTIF(LS3A!AD5:AD27,"C")</f>
        <v>7</v>
      </c>
      <c r="D60" s="209" t="str">
        <f>IFERROR(__xludf.DUMMYFUNCTION("TRANSPOSE(FILTER(LS3A!B:B, LS3A!AD:AD=""C""))"),"Milestead Tiago")</f>
        <v>Milestead Tiago</v>
      </c>
      <c r="E60" s="209" t="str">
        <f>IFERROR(__xludf.DUMMYFUNCTION("""COMPUTED_VALUE"""),"Dejohn Lucas")</f>
        <v>Dejohn Lucas</v>
      </c>
      <c r="F60" s="209" t="str">
        <f>IFERROR(__xludf.DUMMYFUNCTION("""COMPUTED_VALUE"""),"Naniso Dannelle Dauramanzi ")</f>
        <v>Naniso Dannelle Dauramanzi </v>
      </c>
      <c r="G60" s="209" t="str">
        <f>IFERROR(__xludf.DUMMYFUNCTION("""COMPUTED_VALUE"""),"Sakala Mumbilwe")</f>
        <v>Sakala Mumbilwe</v>
      </c>
      <c r="H60" s="209" t="str">
        <f>IFERROR(__xludf.DUMMYFUNCTION("""COMPUTED_VALUE"""),"Saadi Zahraa")</f>
        <v>Saadi Zahraa</v>
      </c>
      <c r="I60" s="209" t="str">
        <f>IFERROR(__xludf.DUMMYFUNCTION("""COMPUTED_VALUE"""),"Bath Iman")</f>
        <v>Bath Iman</v>
      </c>
      <c r="J60" s="209" t="str">
        <f>IFERROR(__xludf.DUMMYFUNCTION("""COMPUTED_VALUE"""),"Sampa Asher")</f>
        <v>Sampa Asher</v>
      </c>
      <c r="K60" s="209"/>
      <c r="L60" s="209"/>
      <c r="M60" s="209"/>
      <c r="N60" s="209"/>
      <c r="O60" s="209"/>
      <c r="P60" s="209"/>
      <c r="Q60" s="209"/>
      <c r="R60" s="209"/>
      <c r="S60" s="209"/>
      <c r="T60" s="209"/>
      <c r="U60" s="209"/>
      <c r="V60" s="209"/>
      <c r="W60" s="209"/>
      <c r="X60" s="209"/>
      <c r="Y60" s="209"/>
      <c r="Z60" s="209"/>
      <c r="AA60" s="209"/>
    </row>
    <row r="61">
      <c r="A61" s="441"/>
      <c r="B61" s="440" t="s">
        <v>87</v>
      </c>
      <c r="C61" s="440">
        <f>COUNTIF(LS3A!AD5:AD27,"B")</f>
        <v>6</v>
      </c>
      <c r="D61" s="209" t="str">
        <f>IFERROR(__xludf.DUMMYFUNCTION("TRANSPOSE(FILTER(LS3A!B:B, LS3A!AD:AD=""B""))"),"Kashoka Susanna")</f>
        <v>Kashoka Susanna</v>
      </c>
      <c r="E61" s="209" t="str">
        <f>IFERROR(__xludf.DUMMYFUNCTION("""COMPUTED_VALUE"""),"Nsenje Joanna")</f>
        <v>Nsenje Joanna</v>
      </c>
      <c r="F61" s="209" t="str">
        <f>IFERROR(__xludf.DUMMYFUNCTION("""COMPUTED_VALUE"""),"Simango Natasha")</f>
        <v>Simango Natasha</v>
      </c>
      <c r="G61" s="209" t="str">
        <f>IFERROR(__xludf.DUMMYFUNCTION("""COMPUTED_VALUE"""),"Chowdhary Trishna")</f>
        <v>Chowdhary Trishna</v>
      </c>
      <c r="H61" s="209" t="str">
        <f>IFERROR(__xludf.DUMMYFUNCTION("""COMPUTED_VALUE"""),"Woods Caiden")</f>
        <v>Woods Caiden</v>
      </c>
      <c r="I61" s="209" t="str">
        <f>IFERROR(__xludf.DUMMYFUNCTION("""COMPUTED_VALUE"""),"Mulenga Katlego")</f>
        <v>Mulenga Katlego</v>
      </c>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COUNTIF(LS3A!AD5:AD27,"A")</f>
        <v>2</v>
      </c>
      <c r="D62" s="209" t="str">
        <f>IFERROR(__xludf.DUMMYFUNCTION("TRANSPOSE(FILTER(LS3A!B:B, LS3A!AD:AD=""A""))"),"Yadav Pallavi")</f>
        <v>Yadav Pallavi</v>
      </c>
      <c r="E62" s="209" t="str">
        <f>IFERROR(__xludf.DUMMYFUNCTION("""COMPUTED_VALUE"""),"Malan Chellah")</f>
        <v>Malan Chellah</v>
      </c>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COUNTIF(LS3A!AD5:AD27,"A~*")</f>
        <v>1</v>
      </c>
      <c r="D63" s="209" t="str">
        <f>IFERROR(__xludf.DUMMYFUNCTION("TRANSPOSE(FILTER(LS3A!B:B, LS3A!AD:AD=""A*""))"),"Nair Aadhya")</f>
        <v>Nair Aadhya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COUNTIF(LS3A!AH5:AH27,"U")</f>
        <v>0</v>
      </c>
      <c r="D65" s="209" t="str">
        <f>IFERROR(__xludf.DUMMYFUNCTION("TRANSPOSE(FILTER(LS3A!B:B, LS3A!AH:AH=""U""))"),"#N/A")</f>
        <v>#N/A</v>
      </c>
      <c r="E65" s="209"/>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COUNTIF(LS3A!AH5:AH27,"G")</f>
        <v>0</v>
      </c>
      <c r="D66" s="209" t="str">
        <f>IFERROR(__xludf.DUMMYFUNCTION("TRANSPOSE(FILTER(LS3A!B:B, LS3A!AH:AH=""G""))"),"#N/A")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COUNTIF(LS3A!AH5:AH27,"F")</f>
        <v>0</v>
      </c>
      <c r="D67" s="209" t="str">
        <f>IFERROR(__xludf.DUMMYFUNCTION("TRANSPOSE(FILTER(LS3A!B:B, LS3A!AH:AH=""F""))"),"#N/A")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COUNTIF(LS3A!AH5:AH27,"E")</f>
        <v>0</v>
      </c>
      <c r="D68" s="209" t="str">
        <f>IFERROR(__xludf.DUMMYFUNCTION("TRANSPOSE(FILTER(LS3A!B:B, LS3A!AH:AH=""E""))"),"#N/A")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COUNTIF(LS3A!AH5:AH27,"D")</f>
        <v>1</v>
      </c>
      <c r="D69" s="209" t="str">
        <f>IFERROR(__xludf.DUMMYFUNCTION("TRANSPOSE(FILTER(LS3A!B:B, LS3A!AH:AH=""D""))"),"Milestead Tiago")</f>
        <v>Milestead Tiago</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COUNTIF(LS3A!AH5:AH27,"C")</f>
        <v>7</v>
      </c>
      <c r="D70" s="209" t="str">
        <f>IFERROR(__xludf.DUMMYFUNCTION("TRANSPOSE(FILTER(LS3A!B:B, LS3A!AH:AH=""C""))"),"Rezk Macarius")</f>
        <v>Rezk Macarius</v>
      </c>
      <c r="E70" s="209" t="str">
        <f>IFERROR(__xludf.DUMMYFUNCTION("""COMPUTED_VALUE"""),"Kashoka Susanna")</f>
        <v>Kashoka Susanna</v>
      </c>
      <c r="F70" s="209" t="str">
        <f>IFERROR(__xludf.DUMMYFUNCTION("""COMPUTED_VALUE"""),"Niu Yitong")</f>
        <v>Niu Yitong</v>
      </c>
      <c r="G70" s="209" t="str">
        <f>IFERROR(__xludf.DUMMYFUNCTION("""COMPUTED_VALUE"""),"Dejohn Lucas")</f>
        <v>Dejohn Lucas</v>
      </c>
      <c r="H70" s="209" t="str">
        <f>IFERROR(__xludf.DUMMYFUNCTION("""COMPUTED_VALUE"""),"Naniso Dannelle Dauramanzi ")</f>
        <v>Naniso Dannelle Dauramanzi </v>
      </c>
      <c r="I70" s="209" t="str">
        <f>IFERROR(__xludf.DUMMYFUNCTION("""COMPUTED_VALUE"""),"Simutende Themba")</f>
        <v>Simutende Themba</v>
      </c>
      <c r="J70" s="209" t="str">
        <f>IFERROR(__xludf.DUMMYFUNCTION("""COMPUTED_VALUE"""),"Mhlanga Thandulenge")</f>
        <v>Mhlanga Thandulenge</v>
      </c>
      <c r="K70" s="209"/>
      <c r="L70" s="209"/>
      <c r="M70" s="209"/>
      <c r="N70" s="209"/>
      <c r="O70" s="209"/>
      <c r="P70" s="209"/>
      <c r="Q70" s="209"/>
      <c r="R70" s="209"/>
      <c r="S70" s="209"/>
      <c r="T70" s="209"/>
      <c r="U70" s="209"/>
      <c r="V70" s="209"/>
      <c r="W70" s="209"/>
      <c r="X70" s="209"/>
      <c r="Y70" s="209"/>
      <c r="Z70" s="209"/>
      <c r="AA70" s="209"/>
    </row>
    <row r="71">
      <c r="A71" s="441"/>
      <c r="B71" s="440" t="s">
        <v>87</v>
      </c>
      <c r="C71" s="440">
        <f>COUNTIF(LS3A!AH5:AH27,"B")</f>
        <v>10</v>
      </c>
      <c r="D71" s="209" t="str">
        <f>IFERROR(__xludf.DUMMYFUNCTION("TRANSPOSE(FILTER(LS3A!B:B, LS3A!AH:AH=""B""))"),"Lemba Yahya")</f>
        <v>Lemba Yahya</v>
      </c>
      <c r="E71" s="209" t="str">
        <f>IFERROR(__xludf.DUMMYFUNCTION("""COMPUTED_VALUE"""),"Nsenje Joanna")</f>
        <v>Nsenje Joanna</v>
      </c>
      <c r="F71" s="209" t="str">
        <f>IFERROR(__xludf.DUMMYFUNCTION("""COMPUTED_VALUE"""),"Simango Natasha")</f>
        <v>Simango Natasha</v>
      </c>
      <c r="G71" s="209" t="str">
        <f>IFERROR(__xludf.DUMMYFUNCTION("""COMPUTED_VALUE"""),"Malan Chellah")</f>
        <v>Malan Chellah</v>
      </c>
      <c r="H71" s="209" t="str">
        <f>IFERROR(__xludf.DUMMYFUNCTION("""COMPUTED_VALUE"""),"Woods Caiden")</f>
        <v>Woods Caiden</v>
      </c>
      <c r="I71" s="209" t="str">
        <f>IFERROR(__xludf.DUMMYFUNCTION("""COMPUTED_VALUE"""),"Sakala Mumbilwe")</f>
        <v>Sakala Mumbilwe</v>
      </c>
      <c r="J71" s="209" t="str">
        <f>IFERROR(__xludf.DUMMYFUNCTION("""COMPUTED_VALUE"""),"Abdulle Abdiasis")</f>
        <v>Abdulle Abdiasis</v>
      </c>
      <c r="K71" s="209" t="str">
        <f>IFERROR(__xludf.DUMMYFUNCTION("""COMPUTED_VALUE"""),"Bath Iman")</f>
        <v>Bath Iman</v>
      </c>
      <c r="L71" s="209" t="str">
        <f>IFERROR(__xludf.DUMMYFUNCTION("""COMPUTED_VALUE"""),"Chunga Nomasizwe")</f>
        <v>Chunga Nomasizwe</v>
      </c>
      <c r="M71" s="209" t="str">
        <f>IFERROR(__xludf.DUMMYFUNCTION("""COMPUTED_VALUE"""),"Mulenga Katlego")</f>
        <v>Mulenga Katlego</v>
      </c>
      <c r="N71" s="209"/>
      <c r="O71" s="209"/>
      <c r="P71" s="209"/>
      <c r="Q71" s="209"/>
      <c r="R71" s="209"/>
      <c r="S71" s="209"/>
      <c r="T71" s="209"/>
      <c r="U71" s="209"/>
      <c r="V71" s="209"/>
      <c r="W71" s="209"/>
      <c r="X71" s="209"/>
      <c r="Y71" s="209"/>
      <c r="Z71" s="209"/>
      <c r="AA71" s="209"/>
    </row>
    <row r="72">
      <c r="A72" s="441"/>
      <c r="B72" s="440" t="s">
        <v>85</v>
      </c>
      <c r="C72" s="440">
        <f>COUNTIF(LS3A!AH5:AH27,"A")</f>
        <v>2</v>
      </c>
      <c r="D72" s="209" t="str">
        <f>IFERROR(__xludf.DUMMYFUNCTION("TRANSPOSE(FILTER(LS3A!B:B, LS3A!AH:AH=""A""))"),"Yadav Pallavi")</f>
        <v>Yadav Pallavi</v>
      </c>
      <c r="E72" s="209" t="str">
        <f>IFERROR(__xludf.DUMMYFUNCTION("""COMPUTED_VALUE"""),"Saadi Zahraa")</f>
        <v>Saadi Zahraa</v>
      </c>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COUNTIF(LS3A!AH5:AH27,"A~*")</f>
        <v>3</v>
      </c>
      <c r="D73" s="209" t="str">
        <f>IFERROR(__xludf.DUMMYFUNCTION("TRANSPOSE(FILTER(LS3A!B:B, LS3A!AH:AH=""A*""))"),"Nair Aadhya")</f>
        <v>Nair Aadhya</v>
      </c>
      <c r="E73" s="209" t="str">
        <f>IFERROR(__xludf.DUMMYFUNCTION("""COMPUTED_VALUE"""),"Chowdhary Trishna")</f>
        <v>Chowdhary Trishna</v>
      </c>
      <c r="F73" s="209" t="str">
        <f>IFERROR(__xludf.DUMMYFUNCTION("""COMPUTED_VALUE"""),"Sampa Asher")</f>
        <v>Sampa Asher</v>
      </c>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COUNTIF(LS3A!AL5:AL27,"U")</f>
        <v>0</v>
      </c>
      <c r="D75" s="209" t="str">
        <f>IFERROR(__xludf.DUMMYFUNCTION("TRANSPOSE(FILTER(LS3A!B:B, LS3A!AL:AL=""U""))"),"#N/A")</f>
        <v>#N/A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COUNTIF(LS3A!AL5:AL27,"G")</f>
        <v>0</v>
      </c>
      <c r="D76" s="209" t="str">
        <f>IFERROR(__xludf.DUMMYFUNCTION("TRANSPOSE(FILTER(LS3A!B:B, LS3A!AL:AL=""G""))"),"#N/A")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COUNTIF(LS3A!AL5:AL27,"F")</f>
        <v>0</v>
      </c>
      <c r="D77" s="209" t="str">
        <f>IFERROR(__xludf.DUMMYFUNCTION("TRANSPOSE(FILTER(LS3A!B:B, LS3A!AL:AL=""F""))"),"#N/A")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COUNTIF(LS3A!AL5:AL27,"E")</f>
        <v>0</v>
      </c>
      <c r="D78" s="209" t="str">
        <f>IFERROR(__xludf.DUMMYFUNCTION("TRANSPOSE(FILTER(LS3A!B:B, LS3A!AL:AL=""E""))"),"#N/A")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COUNTIF(LS3A!AL5:AL27,"D")</f>
        <v>1</v>
      </c>
      <c r="D79" s="209" t="str">
        <f>IFERROR(__xludf.DUMMYFUNCTION("TRANSPOSE(FILTER(LS3A!B:B, LS3A!AL:AL=""D""))"),"Mhlanga Thandulenge")</f>
        <v>Mhlanga Thandulenge</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COUNTIF(LS3A!AL5:AL27,"C")</f>
        <v>1</v>
      </c>
      <c r="D80" s="209" t="str">
        <f>IFERROR(__xludf.DUMMYFUNCTION("TRANSPOSE(FILTER(LS3A!B:B, LS3A!AL:AL=""C""))"),"Rezk Macarius")</f>
        <v>Rezk Macarius</v>
      </c>
      <c r="E80" s="209"/>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COUNTIF(LS3A!AL5:AL27,"B")</f>
        <v>11</v>
      </c>
      <c r="D81" s="209" t="str">
        <f>IFERROR(__xludf.DUMMYFUNCTION("TRANSPOSE(FILTER(LS3A!B:B, LS3A!AL:AL=""B""))"),"Lemba Yahya")</f>
        <v>Lemba Yahya</v>
      </c>
      <c r="E81" s="209" t="str">
        <f>IFERROR(__xludf.DUMMYFUNCTION("""COMPUTED_VALUE"""),"Nsenje Joanna")</f>
        <v>Nsenje Joanna</v>
      </c>
      <c r="F81" s="209" t="str">
        <f>IFERROR(__xludf.DUMMYFUNCTION("""COMPUTED_VALUE"""),"Dejohn Lucas")</f>
        <v>Dejohn Lucas</v>
      </c>
      <c r="G81" s="209" t="str">
        <f>IFERROR(__xludf.DUMMYFUNCTION("""COMPUTED_VALUE"""),"Naniso Dannelle Dauramanzi ")</f>
        <v>Naniso Dannelle Dauramanzi </v>
      </c>
      <c r="H81" s="209" t="str">
        <f>IFERROR(__xludf.DUMMYFUNCTION("""COMPUTED_VALUE"""),"Simango Natasha")</f>
        <v>Simango Natasha</v>
      </c>
      <c r="I81" s="209" t="str">
        <f>IFERROR(__xludf.DUMMYFUNCTION("""COMPUTED_VALUE"""),"Woods Caiden")</f>
        <v>Woods Caiden</v>
      </c>
      <c r="J81" s="209" t="str">
        <f>IFERROR(__xludf.DUMMYFUNCTION("""COMPUTED_VALUE"""),"Simutende Themba")</f>
        <v>Simutende Themba</v>
      </c>
      <c r="K81" s="209" t="str">
        <f>IFERROR(__xludf.DUMMYFUNCTION("""COMPUTED_VALUE"""),"Sakala Mumbilwe")</f>
        <v>Sakala Mumbilwe</v>
      </c>
      <c r="L81" s="209" t="str">
        <f>IFERROR(__xludf.DUMMYFUNCTION("""COMPUTED_VALUE"""),"Saadi Zahraa")</f>
        <v>Saadi Zahraa</v>
      </c>
      <c r="M81" s="209" t="str">
        <f>IFERROR(__xludf.DUMMYFUNCTION("""COMPUTED_VALUE"""),"Chunga Nomasizwe")</f>
        <v>Chunga Nomasizwe</v>
      </c>
      <c r="N81" s="209" t="str">
        <f>IFERROR(__xludf.DUMMYFUNCTION("""COMPUTED_VALUE"""),"Mulenga Katlego")</f>
        <v>Mulenga Katlego</v>
      </c>
      <c r="O81" s="209"/>
      <c r="P81" s="209"/>
      <c r="Q81" s="209"/>
      <c r="R81" s="209"/>
      <c r="S81" s="209"/>
      <c r="T81" s="209"/>
      <c r="U81" s="209"/>
      <c r="V81" s="209"/>
      <c r="W81" s="209"/>
      <c r="X81" s="209"/>
      <c r="Y81" s="209"/>
      <c r="Z81" s="209"/>
      <c r="AA81" s="209"/>
    </row>
    <row r="82">
      <c r="A82" s="441"/>
      <c r="B82" s="440" t="s">
        <v>85</v>
      </c>
      <c r="C82" s="440">
        <f>COUNTIF(LS3A!AL5:AL27,"A")</f>
        <v>8</v>
      </c>
      <c r="D82" s="209" t="str">
        <f>IFERROR(__xludf.DUMMYFUNCTION("TRANSPOSE(FILTER(LS3A!B:B, LS3A!AL:AL=""A""))"),"Milestead Tiago")</f>
        <v>Milestead Tiago</v>
      </c>
      <c r="E82" s="209" t="str">
        <f>IFERROR(__xludf.DUMMYFUNCTION("""COMPUTED_VALUE"""),"Kashoka Susanna")</f>
        <v>Kashoka Susanna</v>
      </c>
      <c r="F82" s="209" t="str">
        <f>IFERROR(__xludf.DUMMYFUNCTION("""COMPUTED_VALUE"""),"Yadav Pallavi")</f>
        <v>Yadav Pallavi</v>
      </c>
      <c r="G82" s="209" t="str">
        <f>IFERROR(__xludf.DUMMYFUNCTION("""COMPUTED_VALUE"""),"Chowdhary Trishna")</f>
        <v>Chowdhary Trishna</v>
      </c>
      <c r="H82" s="209" t="str">
        <f>IFERROR(__xludf.DUMMYFUNCTION("""COMPUTED_VALUE"""),"Malan Chellah")</f>
        <v>Malan Chellah</v>
      </c>
      <c r="I82" s="209" t="str">
        <f>IFERROR(__xludf.DUMMYFUNCTION("""COMPUTED_VALUE"""),"Abdulle Abdiasis")</f>
        <v>Abdulle Abdiasis</v>
      </c>
      <c r="J82" s="209" t="str">
        <f>IFERROR(__xludf.DUMMYFUNCTION("""COMPUTED_VALUE"""),"Bath Iman")</f>
        <v>Bath Iman</v>
      </c>
      <c r="K82" s="209" t="str">
        <f>IFERROR(__xludf.DUMMYFUNCTION("""COMPUTED_VALUE"""),"Sampa Asher")</f>
        <v>Sampa Asher</v>
      </c>
      <c r="L82" s="209"/>
      <c r="M82" s="209"/>
      <c r="N82" s="209"/>
      <c r="O82" s="209"/>
      <c r="P82" s="209"/>
      <c r="Q82" s="209"/>
      <c r="R82" s="209"/>
      <c r="S82" s="209"/>
      <c r="T82" s="209"/>
      <c r="U82" s="209"/>
      <c r="V82" s="209"/>
      <c r="W82" s="209"/>
      <c r="X82" s="209"/>
      <c r="Y82" s="209"/>
      <c r="Z82" s="209"/>
      <c r="AA82" s="209"/>
    </row>
    <row r="83">
      <c r="A83" s="441"/>
      <c r="B83" s="440" t="s">
        <v>152</v>
      </c>
      <c r="C83" s="440">
        <f>COUNTIF(LS3A!AL5:AL27,"A~*")</f>
        <v>2</v>
      </c>
      <c r="D83" s="209" t="str">
        <f>IFERROR(__xludf.DUMMYFUNCTION("TRANSPOSE(FILTER(LS3A!B:B, LS3A!AL:AL=""A*""))"),"Nair Aadhya")</f>
        <v>Nair Aadhya</v>
      </c>
      <c r="E83" s="209" t="str">
        <f>IFERROR(__xludf.DUMMYFUNCTION("""COMPUTED_VALUE"""),"Niu Yitong")</f>
        <v>Niu Yitong</v>
      </c>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COUNTIF(LS3A!AP5:AP27,"U")</f>
        <v>0</v>
      </c>
      <c r="D85" s="209" t="str">
        <f>IFERROR(__xludf.DUMMYFUNCTION("TRANSPOSE(FILTER(LS3A!B:B, LS3A!AP:AP=""U""))"),"#N/A")</f>
        <v>#N/A</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COUNTIF(LS3A!AP5:AP27,"G")</f>
        <v>0</v>
      </c>
      <c r="D86" s="209" t="str">
        <f>IFERROR(__xludf.DUMMYFUNCTION("TRANSPOSE(FILTER(LS3A!B:B, LS3A!AP:AP=""G""))"),"#N/A")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COUNTIF(LS3A!AP5:AP27,"F")</f>
        <v>2</v>
      </c>
      <c r="D87" s="209" t="str">
        <f>IFERROR(__xludf.DUMMYFUNCTION("TRANSPOSE(FILTER(LS3A!B:B, LS3A!AP:AP=""F""))"),"Milestead Tiago")</f>
        <v>Milestead Tiago</v>
      </c>
      <c r="E87" s="209" t="str">
        <f>IFERROR(__xludf.DUMMYFUNCTION("""COMPUTED_VALUE"""),"Niu Yitong")</f>
        <v>Niu Yitong</v>
      </c>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COUNTIF(LS3A!AP5:AP27,"E")</f>
        <v>0</v>
      </c>
      <c r="D88" s="209" t="str">
        <f>IFERROR(__xludf.DUMMYFUNCTION("TRANSPOSE(FILTER(LS3A!B:B, LS3A!AP:AP=""E""))"),"#N/A")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COUNTIF(LS3A!AP5:AP27,"D")</f>
        <v>3</v>
      </c>
      <c r="D89" s="209" t="str">
        <f>IFERROR(__xludf.DUMMYFUNCTION("TRANSPOSE(FILTER(LS3A!B:B, LS3A!AP:AP=""D""))"),"Simango Natasha")</f>
        <v>Simango Natasha</v>
      </c>
      <c r="E89" s="209" t="str">
        <f>IFERROR(__xludf.DUMMYFUNCTION("""COMPUTED_VALUE"""),"Sakala Mumbilwe")</f>
        <v>Sakala Mumbilwe</v>
      </c>
      <c r="F89" s="209" t="str">
        <f>IFERROR(__xludf.DUMMYFUNCTION("""COMPUTED_VALUE"""),"Saadi Zahraa")</f>
        <v>Saadi Zahraa</v>
      </c>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COUNTIF(LS3A!AP5:AP27,"C")</f>
        <v>17</v>
      </c>
      <c r="D90" s="209" t="str">
        <f>IFERROR(__xludf.DUMMYFUNCTION("TRANSPOSE(FILTER(LS3A!B:B, LS3A!AP:AP=""C""))"),"Lemba Yahya")</f>
        <v>Lemba Yahya</v>
      </c>
      <c r="E90" s="209" t="str">
        <f>IFERROR(__xludf.DUMMYFUNCTION("""COMPUTED_VALUE"""),"Rezk Macarius")</f>
        <v>Rezk Macarius</v>
      </c>
      <c r="F90" s="209" t="str">
        <f>IFERROR(__xludf.DUMMYFUNCTION("""COMPUTED_VALUE"""),"Kashoka Susanna")</f>
        <v>Kashoka Susanna</v>
      </c>
      <c r="G90" s="209" t="str">
        <f>IFERROR(__xludf.DUMMYFUNCTION("""COMPUTED_VALUE"""),"Yadav Pallavi")</f>
        <v>Yadav Pallavi</v>
      </c>
      <c r="H90" s="209" t="str">
        <f>IFERROR(__xludf.DUMMYFUNCTION("""COMPUTED_VALUE"""),"Nair Aadhya")</f>
        <v>Nair Aadhya</v>
      </c>
      <c r="I90" s="209" t="str">
        <f>IFERROR(__xludf.DUMMYFUNCTION("""COMPUTED_VALUE"""),"Nsenje Joanna")</f>
        <v>Nsenje Joanna</v>
      </c>
      <c r="J90" s="209" t="str">
        <f>IFERROR(__xludf.DUMMYFUNCTION("""COMPUTED_VALUE"""),"Dejohn Lucas")</f>
        <v>Dejohn Lucas</v>
      </c>
      <c r="K90" s="209" t="str">
        <f>IFERROR(__xludf.DUMMYFUNCTION("""COMPUTED_VALUE"""),"Naniso Dannelle Dauramanzi ")</f>
        <v>Naniso Dannelle Dauramanzi </v>
      </c>
      <c r="L90" s="209" t="str">
        <f>IFERROR(__xludf.DUMMYFUNCTION("""COMPUTED_VALUE"""),"Chowdhary Trishna")</f>
        <v>Chowdhary Trishna</v>
      </c>
      <c r="M90" s="209" t="str">
        <f>IFERROR(__xludf.DUMMYFUNCTION("""COMPUTED_VALUE"""),"Malan Chellah")</f>
        <v>Malan Chellah</v>
      </c>
      <c r="N90" s="209" t="str">
        <f>IFERROR(__xludf.DUMMYFUNCTION("""COMPUTED_VALUE"""),"Woods Caiden")</f>
        <v>Woods Caiden</v>
      </c>
      <c r="O90" s="209" t="str">
        <f>IFERROR(__xludf.DUMMYFUNCTION("""COMPUTED_VALUE"""),"Simutende Themba")</f>
        <v>Simutende Themba</v>
      </c>
      <c r="P90" s="209" t="str">
        <f>IFERROR(__xludf.DUMMYFUNCTION("""COMPUTED_VALUE"""),"Mhlanga Thandulenge")</f>
        <v>Mhlanga Thandulenge</v>
      </c>
      <c r="Q90" s="209" t="str">
        <f>IFERROR(__xludf.DUMMYFUNCTION("""COMPUTED_VALUE"""),"Abdulle Abdiasis")</f>
        <v>Abdulle Abdiasis</v>
      </c>
      <c r="R90" s="209" t="str">
        <f>IFERROR(__xludf.DUMMYFUNCTION("""COMPUTED_VALUE"""),"Bath Iman")</f>
        <v>Bath Iman</v>
      </c>
      <c r="S90" s="209" t="str">
        <f>IFERROR(__xludf.DUMMYFUNCTION("""COMPUTED_VALUE"""),"Chunga Nomasizwe")</f>
        <v>Chunga Nomasizwe</v>
      </c>
      <c r="T90" s="209" t="str">
        <f>IFERROR(__xludf.DUMMYFUNCTION("""COMPUTED_VALUE"""),"Mulenga Katlego")</f>
        <v>Mulenga Katlego</v>
      </c>
      <c r="U90" s="209"/>
      <c r="V90" s="209"/>
      <c r="W90" s="209"/>
      <c r="X90" s="209"/>
      <c r="Y90" s="209"/>
      <c r="Z90" s="209"/>
      <c r="AA90" s="209"/>
    </row>
    <row r="91">
      <c r="A91" s="441"/>
      <c r="B91" s="440" t="s">
        <v>87</v>
      </c>
      <c r="C91" s="440">
        <f>COUNTIF(LS3A!AP5:AP27,"B")</f>
        <v>0</v>
      </c>
      <c r="D91" s="209" t="str">
        <f>IFERROR(__xludf.DUMMYFUNCTION("TRANSPOSE(FILTER(LS3A!B:B, LS3A!AP:AP=""B""))"),"#N/A")</f>
        <v>#N/A</v>
      </c>
      <c r="E91" s="209"/>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COUNTIF(LS3A!AP5:AP27,"A")</f>
        <v>1</v>
      </c>
      <c r="D92" s="209" t="str">
        <f>IFERROR(__xludf.DUMMYFUNCTION("TRANSPOSE(FILTER(LS3A!B:B, LS3A!AP:AP=""A""))"),"Sampa Asher")</f>
        <v>Sampa Asher</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COUNTIF(LS3A!AP5:AP27,"A~*")</f>
        <v>0</v>
      </c>
      <c r="D93" s="209" t="str">
        <f>IFERROR(__xludf.DUMMYFUNCTION("TRANSPOSE(FILTER(LS3A!B:B, LS3A!AP:AP=""A*""))"),"#N/A")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fitToHeight="0" cellComments="atEnd" orientation="landscape" pageOrder="overThenDown"/>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6</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COUNTIF(LS3B!F5:F30,"U")</f>
        <v>0</v>
      </c>
      <c r="D4" s="209" t="str">
        <f>IFERROR(__xludf.DUMMYFUNCTION("TRANSPOSE(FILTER(LS3B!B:B, LS3B!F:F=""U""))"),"#N/A")</f>
        <v>#N/A</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COUNTIF(LS3B!F5:F30,"G")</f>
        <v>0</v>
      </c>
      <c r="D5" s="209" t="str">
        <f>IFERROR(__xludf.DUMMYFUNCTION("TRANSPOSE(FILTER(LS3B!B:B, LS3B!F:F=""G""))"),"#N/A")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COUNTIF(LS3B!F5:F30,"F")</f>
        <v>1</v>
      </c>
      <c r="D6" s="209" t="str">
        <f>IFERROR(__xludf.DUMMYFUNCTION("TRANSPOSE(FILTER(LS3B!B:B, LS3B!F:F=""F""))"),"Nyirongo Kutemwa")</f>
        <v>Nyirongo Kutemwa</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COUNTIF(LS3B!F5:F30,"E")</f>
        <v>12</v>
      </c>
      <c r="D7" s="209" t="str">
        <f>IFERROR(__xludf.DUMMYFUNCTION("TRANSPOSE(FILTER(LS3B!B:B, LS3B!F:F=""E""))"),"Chokr Aya")</f>
        <v>Chokr Aya</v>
      </c>
      <c r="E7" s="209" t="str">
        <f>IFERROR(__xludf.DUMMYFUNCTION("""COMPUTED_VALUE"""),"Saad Aseel")</f>
        <v>Saad Aseel</v>
      </c>
      <c r="F7" s="209" t="str">
        <f>IFERROR(__xludf.DUMMYFUNCTION("""COMPUTED_VALUE"""),"Simuyi Shannel")</f>
        <v>Simuyi Shannel</v>
      </c>
      <c r="G7" s="209" t="str">
        <f>IFERROR(__xludf.DUMMYFUNCTION("""COMPUTED_VALUE"""),"Eagle Andrew")</f>
        <v>Eagle Andrew</v>
      </c>
      <c r="H7" s="209" t="str">
        <f>IFERROR(__xludf.DUMMYFUNCTION("""COMPUTED_VALUE"""),"Wang Yishi")</f>
        <v>Wang Yishi</v>
      </c>
      <c r="I7" s="209" t="str">
        <f>IFERROR(__xludf.DUMMYFUNCTION("""COMPUTED_VALUE"""),"Van Jaarsveld Blake")</f>
        <v>Van Jaarsveld Blake</v>
      </c>
      <c r="J7" s="209" t="str">
        <f>IFERROR(__xludf.DUMMYFUNCTION("""COMPUTED_VALUE"""),"Saadi Omar")</f>
        <v>Saadi Omar</v>
      </c>
      <c r="K7" s="209" t="str">
        <f>IFERROR(__xludf.DUMMYFUNCTION("""COMPUTED_VALUE"""),"Namaiko Tunji")</f>
        <v>Namaiko Tunji</v>
      </c>
      <c r="L7" s="209" t="str">
        <f>IFERROR(__xludf.DUMMYFUNCTION("""COMPUTED_VALUE"""),"Viner Alexia")</f>
        <v>Viner Alexia</v>
      </c>
      <c r="M7" s="209" t="str">
        <f>IFERROR(__xludf.DUMMYFUNCTION("""COMPUTED_VALUE"""),"Marques Fabiana")</f>
        <v>Marques Fabiana</v>
      </c>
      <c r="N7" s="209" t="str">
        <f>IFERROR(__xludf.DUMMYFUNCTION("""COMPUTED_VALUE"""),"Sampa Ethan")</f>
        <v>Sampa Ethan</v>
      </c>
      <c r="O7" s="209" t="str">
        <f>IFERROR(__xludf.DUMMYFUNCTION("""COMPUTED_VALUE"""),"Dakik Kawthar")</f>
        <v>Dakik Kawthar</v>
      </c>
      <c r="P7" s="209"/>
      <c r="Q7" s="209"/>
      <c r="R7" s="209"/>
      <c r="S7" s="209"/>
      <c r="T7" s="209"/>
      <c r="U7" s="209"/>
      <c r="V7" s="209"/>
      <c r="W7" s="209"/>
      <c r="X7" s="209"/>
      <c r="Y7" s="209"/>
      <c r="Z7" s="209"/>
      <c r="AA7" s="209"/>
    </row>
    <row r="8" ht="23.25" customHeight="1">
      <c r="A8" s="441"/>
      <c r="B8" s="440" t="s">
        <v>93</v>
      </c>
      <c r="C8" s="440">
        <f>COUNTIF(LS3B!F5:F30,"D")</f>
        <v>3</v>
      </c>
      <c r="D8" s="209" t="str">
        <f>IFERROR(__xludf.DUMMYFUNCTION("TRANSPOSE(FILTER(LS3B!B:B, LS3B!F:F=""D""))"),"Saad Karim")</f>
        <v>Saad Karim</v>
      </c>
      <c r="E8" s="209" t="str">
        <f>IFERROR(__xludf.DUMMYFUNCTION("""COMPUTED_VALUE"""),"Kanche Wongani")</f>
        <v>Kanche Wongani</v>
      </c>
      <c r="F8" s="209" t="str">
        <f>IFERROR(__xludf.DUMMYFUNCTION("""COMPUTED_VALUE"""),"Pardesi Amaan")</f>
        <v>Pardesi Amaan</v>
      </c>
      <c r="G8" s="209"/>
      <c r="H8" s="209"/>
      <c r="I8" s="209"/>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COUNTIF(LS3B!F5:F30,"C")</f>
        <v>5</v>
      </c>
      <c r="D9" s="209" t="str">
        <f>IFERROR(__xludf.DUMMYFUNCTION("TRANSPOSE(FILTER(LS3B!B:B, LS3B!F:F=""C""))"),"SIAME SALIFYANJI")</f>
        <v>SIAME SALIFYANJI</v>
      </c>
      <c r="E9" s="209" t="str">
        <f>IFERROR(__xludf.DUMMYFUNCTION("""COMPUTED_VALUE"""),"Mguni Ethanim")</f>
        <v>Mguni Ethanim</v>
      </c>
      <c r="F9" s="209" t="str">
        <f>IFERROR(__xludf.DUMMYFUNCTION("""COMPUTED_VALUE"""),"Phiri Takondwa")</f>
        <v>Phiri Takondwa</v>
      </c>
      <c r="G9" s="209" t="str">
        <f>IFERROR(__xludf.DUMMYFUNCTION("""COMPUTED_VALUE"""),"Wallace Tanzyn Ryan")</f>
        <v>Wallace Tanzyn Ryan</v>
      </c>
      <c r="H9" s="209" t="str">
        <f>IFERROR(__xludf.DUMMYFUNCTION("""COMPUTED_VALUE"""),"Mapiye Lerato Atipaishe")</f>
        <v>Mapiye Lerato Atipaishe</v>
      </c>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COUNTIF(LS3B!F5:F30,"B")</f>
        <v>4</v>
      </c>
      <c r="D10" s="209" t="str">
        <f>IFERROR(__xludf.DUMMYFUNCTION("TRANSPOSE(FILTER(LS3B!B:B, LS3B!F:F=""B""))"),"Shimwambwa Nicola Twambo")</f>
        <v>Shimwambwa Nicola Twambo</v>
      </c>
      <c r="E10" s="209" t="str">
        <f>IFERROR(__xludf.DUMMYFUNCTION("""COMPUTED_VALUE"""),"Chilufya Bwembya")</f>
        <v>Chilufya Bwembya</v>
      </c>
      <c r="F10" s="209" t="str">
        <f>IFERROR(__xludf.DUMMYFUNCTION("""COMPUTED_VALUE"""),"Jinwalla Aisha")</f>
        <v>Jinwalla Aisha</v>
      </c>
      <c r="G10" s="209" t="str">
        <f>IFERROR(__xludf.DUMMYFUNCTION("""COMPUTED_VALUE"""),"Kanobana Heiley")</f>
        <v>Kanobana Heiley</v>
      </c>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COUNTIF(LS3B!F5:F30,"A")</f>
        <v>0</v>
      </c>
      <c r="D11" s="209" t="str">
        <f>IFERROR(__xludf.DUMMYFUNCTION("TRANSPOSE(FILTER(LS3B!B:B, LS3B!F:F=""A""))"),"#N/A")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COUNTIF(LS3B!F5:F30,"A~*")</f>
        <v>0</v>
      </c>
      <c r="D12" s="209" t="str">
        <f>IFERROR(__xludf.DUMMYFUNCTION("TRANSPOSE(FILTER(LS3B!B:B, LS3B!F:F=""A*""))"),"#N/A")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COUNTIF(LS3B!J5:J30,"U")</f>
        <v>1</v>
      </c>
      <c r="D15" s="209" t="str">
        <f>IFERROR(__xludf.DUMMYFUNCTION("TRANSPOSE(FILTER(LS3B!B:B, LS3B!J:J=""U""))"),"Viner Alexia")</f>
        <v>Viner Alexia</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COUNTIF(LS3B!J5:J30,"G")</f>
        <v>2</v>
      </c>
      <c r="D16" s="209" t="str">
        <f>IFERROR(__xludf.DUMMYFUNCTION("TRANSPOSE(FILTER(LS3B!B:B, LS3B!J:J=""G""))"),"Chokr Aya")</f>
        <v>Chokr Aya</v>
      </c>
      <c r="E16" s="209" t="str">
        <f>IFERROR(__xludf.DUMMYFUNCTION("""COMPUTED_VALUE"""),"Marques Fabiana")</f>
        <v>Marques Fabiana</v>
      </c>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COUNTIF(LS3B!J5:J30,"F")</f>
        <v>2</v>
      </c>
      <c r="D17" s="209" t="str">
        <f>IFERROR(__xludf.DUMMYFUNCTION("TRANSPOSE(FILTER(LS3B!B:B, LS3B!J:J=""F""))"),"Kanche Wongani")</f>
        <v>Kanche Wongani</v>
      </c>
      <c r="E17" s="209" t="str">
        <f>IFERROR(__xludf.DUMMYFUNCTION("""COMPUTED_VALUE"""),"Namaiko Tunji")</f>
        <v>Namaiko Tunji</v>
      </c>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COUNTIF(LS3B!J5:J30,"E")</f>
        <v>5</v>
      </c>
      <c r="D18" s="209" t="str">
        <f>IFERROR(__xludf.DUMMYFUNCTION("TRANSPOSE(FILTER(LS3B!B:B, LS3B!J:J=""E""))"),"Saad Aseel")</f>
        <v>Saad Aseel</v>
      </c>
      <c r="E18" s="209" t="str">
        <f>IFERROR(__xludf.DUMMYFUNCTION("""COMPUTED_VALUE"""),"Simuyi Shannel")</f>
        <v>Simuyi Shannel</v>
      </c>
      <c r="F18" s="209" t="str">
        <f>IFERROR(__xludf.DUMMYFUNCTION("""COMPUTED_VALUE"""),"Eagle Andrew")</f>
        <v>Eagle Andrew</v>
      </c>
      <c r="G18" s="209" t="str">
        <f>IFERROR(__xludf.DUMMYFUNCTION("""COMPUTED_VALUE"""),"Nyirongo Kutemwa")</f>
        <v>Nyirongo Kutemwa</v>
      </c>
      <c r="H18" s="209" t="str">
        <f>IFERROR(__xludf.DUMMYFUNCTION("""COMPUTED_VALUE"""),"Van Jaarsveld Blake")</f>
        <v>Van Jaarsveld Blake</v>
      </c>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COUNTIF(LS3B!J5:J30,"D")</f>
        <v>5</v>
      </c>
      <c r="D19" s="209" t="str">
        <f>IFERROR(__xludf.DUMMYFUNCTION("TRANSPOSE(FILTER(LS3B!B:B, LS3B!J:J=""D""))"),"Saad Karim")</f>
        <v>Saad Karim</v>
      </c>
      <c r="E19" s="209" t="str">
        <f>IFERROR(__xludf.DUMMYFUNCTION("""COMPUTED_VALUE"""),"Phiri Takondwa")</f>
        <v>Phiri Takondwa</v>
      </c>
      <c r="F19" s="209" t="str">
        <f>IFERROR(__xludf.DUMMYFUNCTION("""COMPUTED_VALUE"""),"Pardesi Amaan")</f>
        <v>Pardesi Amaan</v>
      </c>
      <c r="G19" s="209" t="str">
        <f>IFERROR(__xludf.DUMMYFUNCTION("""COMPUTED_VALUE"""),"Sampa Ethan")</f>
        <v>Sampa Ethan</v>
      </c>
      <c r="H19" s="209" t="str">
        <f>IFERROR(__xludf.DUMMYFUNCTION("""COMPUTED_VALUE"""),"Dakik Kawthar")</f>
        <v>Dakik Kawthar</v>
      </c>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COUNTIF(LS3B!J5:J30,"C")</f>
        <v>4</v>
      </c>
      <c r="D20" s="209" t="str">
        <f>IFERROR(__xludf.DUMMYFUNCTION("TRANSPOSE(FILTER(LS3B!B:B, LS3B!J:J=""C""))"),"SIAME SALIFYANJI")</f>
        <v>SIAME SALIFYANJI</v>
      </c>
      <c r="E20" s="209" t="str">
        <f>IFERROR(__xludf.DUMMYFUNCTION("""COMPUTED_VALUE"""),"Wallace Tanzyn Ryan")</f>
        <v>Wallace Tanzyn Ryan</v>
      </c>
      <c r="F20" s="209" t="str">
        <f>IFERROR(__xludf.DUMMYFUNCTION("""COMPUTED_VALUE"""),"Saadi Omar")</f>
        <v>Saadi Omar</v>
      </c>
      <c r="G20" s="209" t="str">
        <f>IFERROR(__xludf.DUMMYFUNCTION("""COMPUTED_VALUE"""),"Kanobana Heiley")</f>
        <v>Kanobana Heiley</v>
      </c>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COUNTIF(LS3B!J5:J30,"B")</f>
        <v>3</v>
      </c>
      <c r="D21" s="209" t="str">
        <f>IFERROR(__xludf.DUMMYFUNCTION("TRANSPOSE(FILTER(LS3B!B:B, LS3B!J:J=""B""))"),"Chilufya Bwembya")</f>
        <v>Chilufya Bwembya</v>
      </c>
      <c r="E21" s="209" t="str">
        <f>IFERROR(__xludf.DUMMYFUNCTION("""COMPUTED_VALUE"""),"Wang Yishi")</f>
        <v>Wang Yishi</v>
      </c>
      <c r="F21" s="209" t="str">
        <f>IFERROR(__xludf.DUMMYFUNCTION("""COMPUTED_VALUE"""),"Jinwalla Aisha")</f>
        <v>Jinwalla Aisha</v>
      </c>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COUNTIF(LS3B!J5:J30,"A")</f>
        <v>3</v>
      </c>
      <c r="D22" s="209" t="str">
        <f>IFERROR(__xludf.DUMMYFUNCTION("TRANSPOSE(FILTER(LS3B!B:B, LS3B!J:J=""A""))"),"Shimwambwa Nicola Twambo")</f>
        <v>Shimwambwa Nicola Twambo</v>
      </c>
      <c r="E22" s="209" t="str">
        <f>IFERROR(__xludf.DUMMYFUNCTION("""COMPUTED_VALUE"""),"Mguni Ethanim")</f>
        <v>Mguni Ethanim</v>
      </c>
      <c r="F22" s="209" t="str">
        <f>IFERROR(__xludf.DUMMYFUNCTION("""COMPUTED_VALUE"""),"Mapiye Lerato Atipaishe")</f>
        <v>Mapiye Lerato Atipaishe</v>
      </c>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COUNTIF(LS3B!J5:J30,"A~*")</f>
        <v>0</v>
      </c>
      <c r="D23" s="209" t="str">
        <f>IFERROR(__xludf.DUMMYFUNCTION("TRANSPOSE(FILTER(LS3B!B:B, LS3B!J:J=""A*""))"),"#N/A")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9"/>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64</v>
      </c>
      <c r="B25" s="440" t="s">
        <v>140</v>
      </c>
      <c r="C25" s="440">
        <f>COUNTIF(LS3B!N5:N30,"U")</f>
        <v>0</v>
      </c>
      <c r="D25" s="209" t="str">
        <f>IFERROR(__xludf.DUMMYFUNCTION("TRANSPOSE(FILTER(LS3B!B:B, LS3B!N:N=""U""))"),"#N/A")</f>
        <v>#N/A</v>
      </c>
      <c r="E25" s="209"/>
      <c r="F25" s="209"/>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COUNTIF(LS3B!N5:N30,"G")</f>
        <v>2</v>
      </c>
      <c r="D26" s="209" t="str">
        <f>IFERROR(__xludf.DUMMYFUNCTION("TRANSPOSE(FILTER(LS3B!B:B, LS3B!N:N=""G""))"),"Simuyi Shannel")</f>
        <v>Simuyi Shannel</v>
      </c>
      <c r="E26" s="209" t="str">
        <f>IFERROR(__xludf.DUMMYFUNCTION("""COMPUTED_VALUE"""),"Eagle Andrew")</f>
        <v>Eagle Andrew</v>
      </c>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COUNTIF(LS3B!N5:N30,"F")</f>
        <v>2</v>
      </c>
      <c r="D27" s="209" t="str">
        <f>IFERROR(__xludf.DUMMYFUNCTION("TRANSPOSE(FILTER(LS3B!B:B, LS3B!N:N=""F""))"),"Viner Alexia")</f>
        <v>Viner Alexia</v>
      </c>
      <c r="E27" s="209" t="str">
        <f>IFERROR(__xludf.DUMMYFUNCTION("""COMPUTED_VALUE"""),"Marques Fabiana")</f>
        <v>Marques Fabiana</v>
      </c>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COUNTIF(LS3B!N5:N30,"E")</f>
        <v>5</v>
      </c>
      <c r="D28" s="209" t="str">
        <f>IFERROR(__xludf.DUMMYFUNCTION("TRANSPOSE(FILTER(LS3B!B:B, LS3B!N:N=""E""))"),"Chokr Aya")</f>
        <v>Chokr Aya</v>
      </c>
      <c r="E28" s="209" t="str">
        <f>IFERROR(__xludf.DUMMYFUNCTION("""COMPUTED_VALUE"""),"Wang Yishi")</f>
        <v>Wang Yishi</v>
      </c>
      <c r="F28" s="209" t="str">
        <f>IFERROR(__xludf.DUMMYFUNCTION("""COMPUTED_VALUE"""),"Kanche Wongani")</f>
        <v>Kanche Wongani</v>
      </c>
      <c r="G28" s="209" t="str">
        <f>IFERROR(__xludf.DUMMYFUNCTION("""COMPUTED_VALUE"""),"Saadi Omar")</f>
        <v>Saadi Omar</v>
      </c>
      <c r="H28" s="209" t="str">
        <f>IFERROR(__xludf.DUMMYFUNCTION("""COMPUTED_VALUE"""),"Namaiko Tunji")</f>
        <v>Namaiko Tunji</v>
      </c>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COUNTIF(LS3B!N5:N30,"D")</f>
        <v>2</v>
      </c>
      <c r="D29" s="209" t="str">
        <f>IFERROR(__xludf.DUMMYFUNCTION("TRANSPOSE(FILTER(LS3B!B:B, LS3B!N:N=""D""))"),"Saad Karim")</f>
        <v>Saad Karim</v>
      </c>
      <c r="E29" s="209" t="str">
        <f>IFERROR(__xludf.DUMMYFUNCTION("""COMPUTED_VALUE"""),"Saad Aseel")</f>
        <v>Saad Aseel</v>
      </c>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COUNTIF(LS3B!N5:N30,"C")</f>
        <v>7</v>
      </c>
      <c r="D30" s="209" t="str">
        <f>IFERROR(__xludf.DUMMYFUNCTION("TRANSPOSE(FILTER(LS3B!B:B, LS3B!N:N=""C""))"),"Wallace Tanzyn Ryan")</f>
        <v>Wallace Tanzyn Ryan</v>
      </c>
      <c r="E30" s="209" t="str">
        <f>IFERROR(__xludf.DUMMYFUNCTION("""COMPUTED_VALUE"""),"Jinwalla Aisha")</f>
        <v>Jinwalla Aisha</v>
      </c>
      <c r="F30" s="209" t="str">
        <f>IFERROR(__xludf.DUMMYFUNCTION("""COMPUTED_VALUE"""),"Nyirongo Kutemwa")</f>
        <v>Nyirongo Kutemwa</v>
      </c>
      <c r="G30" s="209" t="str">
        <f>IFERROR(__xludf.DUMMYFUNCTION("""COMPUTED_VALUE"""),"Pardesi Amaan")</f>
        <v>Pardesi Amaan</v>
      </c>
      <c r="H30" s="209" t="str">
        <f>IFERROR(__xludf.DUMMYFUNCTION("""COMPUTED_VALUE"""),"Van Jaarsveld Blake")</f>
        <v>Van Jaarsveld Blake</v>
      </c>
      <c r="I30" s="209" t="str">
        <f>IFERROR(__xludf.DUMMYFUNCTION("""COMPUTED_VALUE"""),"Sampa Ethan")</f>
        <v>Sampa Ethan</v>
      </c>
      <c r="J30" s="209" t="str">
        <f>IFERROR(__xludf.DUMMYFUNCTION("""COMPUTED_VALUE"""),"Dakik Kawthar")</f>
        <v>Dakik Kawthar</v>
      </c>
      <c r="K30" s="209"/>
      <c r="L30" s="209"/>
      <c r="M30" s="209"/>
      <c r="N30" s="209"/>
      <c r="O30" s="209"/>
      <c r="P30" s="209"/>
      <c r="Q30" s="209"/>
      <c r="R30" s="209"/>
      <c r="S30" s="209"/>
      <c r="T30" s="209"/>
      <c r="U30" s="209"/>
      <c r="V30" s="209"/>
      <c r="W30" s="209"/>
      <c r="X30" s="209"/>
      <c r="Y30" s="209"/>
      <c r="Z30" s="209"/>
      <c r="AA30" s="209"/>
    </row>
    <row r="31">
      <c r="A31" s="441"/>
      <c r="B31" s="440" t="s">
        <v>87</v>
      </c>
      <c r="C31" s="440">
        <f>COUNTIF(LS3B!N5:N30,"B")</f>
        <v>3</v>
      </c>
      <c r="D31" s="209" t="str">
        <f>IFERROR(__xludf.DUMMYFUNCTION("TRANSPOSE(FILTER(LS3B!B:B, LS3B!N:N=""B""))"),"Chilufya Bwembya")</f>
        <v>Chilufya Bwembya</v>
      </c>
      <c r="E31" s="209" t="str">
        <f>IFERROR(__xludf.DUMMYFUNCTION("""COMPUTED_VALUE"""),"Phiri Takondwa")</f>
        <v>Phiri Takondwa</v>
      </c>
      <c r="F31" s="209" t="str">
        <f>IFERROR(__xludf.DUMMYFUNCTION("""COMPUTED_VALUE"""),"Kanobana Heiley")</f>
        <v>Kanobana Heiley</v>
      </c>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COUNTIF(LS3B!N5:N30,"A")</f>
        <v>4</v>
      </c>
      <c r="D32" s="209" t="str">
        <f>IFERROR(__xludf.DUMMYFUNCTION("TRANSPOSE(FILTER(LS3B!B:B, LS3B!N:N=""A""))"),"SIAME SALIFYANJI")</f>
        <v>SIAME SALIFYANJI</v>
      </c>
      <c r="E32" s="209" t="str">
        <f>IFERROR(__xludf.DUMMYFUNCTION("""COMPUTED_VALUE"""),"Shimwambwa Nicola Twambo")</f>
        <v>Shimwambwa Nicola Twambo</v>
      </c>
      <c r="F32" s="209" t="str">
        <f>IFERROR(__xludf.DUMMYFUNCTION("""COMPUTED_VALUE"""),"Mguni Ethanim")</f>
        <v>Mguni Ethanim</v>
      </c>
      <c r="G32" s="209" t="str">
        <f>IFERROR(__xludf.DUMMYFUNCTION("""COMPUTED_VALUE"""),"Mapiye Lerato Atipaishe")</f>
        <v>Mapiye Lerato Atipaishe</v>
      </c>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COUNTIF(LS3B!N5:N30,"A~*")</f>
        <v>0</v>
      </c>
      <c r="D33" s="209" t="str">
        <f>IFERROR(__xludf.DUMMYFUNCTION("TRANSPOSE(FILTER(LS3B!B:B, LS3B!N:N=""A*""))"),"#N/A")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678</v>
      </c>
      <c r="B35" s="440" t="s">
        <v>140</v>
      </c>
      <c r="C35" s="440">
        <f>COUNTIF(LS3B!R5:R30,"U")</f>
        <v>0</v>
      </c>
      <c r="D35" s="209" t="str">
        <f>IFERROR(__xludf.DUMMYFUNCTION("TRANSPOSE(FILTER(LS3B!B:B, LS3B!R:R=""U""))"),"#N/A")</f>
        <v>#N/A</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COUNTIF(LS3B!R5:R30,"G")</f>
        <v>1</v>
      </c>
      <c r="D36" s="209" t="str">
        <f>IFERROR(__xludf.DUMMYFUNCTION("TRANSPOSE(FILTER(LS3B!B:B, LS3B!R:R=""G""))"),"Marques Fabiana")</f>
        <v>Marques Fabiana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COUNTIF(LS3B!R5:R30,"F")</f>
        <v>2</v>
      </c>
      <c r="D37" s="209" t="str">
        <f>IFERROR(__xludf.DUMMYFUNCTION("TRANSPOSE(FILTER(LS3B!B:B, LS3B!R:R=""F""))"),"Eagle Andrew")</f>
        <v>Eagle Andrew</v>
      </c>
      <c r="E37" s="209" t="str">
        <f>IFERROR(__xludf.DUMMYFUNCTION("""COMPUTED_VALUE"""),"Wang Yishi")</f>
        <v>Wang Yishi</v>
      </c>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COUNTIF(LS3B!R5:R30,"E")</f>
        <v>0</v>
      </c>
      <c r="D38" s="209" t="str">
        <f>IFERROR(__xludf.DUMMYFUNCTION("TRANSPOSE(FILTER(LS3B!B:B, LS3B!R:R=""E""))"),"#N/A")</f>
        <v>#N/A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COUNTIF(LS3B!R5:R30,"D")</f>
        <v>5</v>
      </c>
      <c r="D39" s="209" t="str">
        <f>IFERROR(__xludf.DUMMYFUNCTION("TRANSPOSE(FILTER(LS3B!B:B, LS3B!R:R=""D""))"),"Chokr Aya")</f>
        <v>Chokr Aya</v>
      </c>
      <c r="E39" s="209" t="str">
        <f>IFERROR(__xludf.DUMMYFUNCTION("""COMPUTED_VALUE"""),"Simuyi Shannel")</f>
        <v>Simuyi Shannel</v>
      </c>
      <c r="F39" s="209" t="str">
        <f>IFERROR(__xludf.DUMMYFUNCTION("""COMPUTED_VALUE"""),"Kanche Wongani")</f>
        <v>Kanche Wongani</v>
      </c>
      <c r="G39" s="209" t="str">
        <f>IFERROR(__xludf.DUMMYFUNCTION("""COMPUTED_VALUE"""),"Nyirongo Kutemwa")</f>
        <v>Nyirongo Kutemwa</v>
      </c>
      <c r="H39" s="209" t="str">
        <f>IFERROR(__xludf.DUMMYFUNCTION("""COMPUTED_VALUE"""),"Viner Alexia")</f>
        <v>Viner Alexia</v>
      </c>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COUNTIF(LS3B!R5:R30,"C")</f>
        <v>9</v>
      </c>
      <c r="D40" s="209" t="str">
        <f>IFERROR(__xludf.DUMMYFUNCTION("TRANSPOSE(FILTER(LS3B!B:B, LS3B!R:R=""C""))"),"Saad Karim")</f>
        <v>Saad Karim</v>
      </c>
      <c r="E40" s="209" t="str">
        <f>IFERROR(__xludf.DUMMYFUNCTION("""COMPUTED_VALUE"""),"Saad Aseel")</f>
        <v>Saad Aseel</v>
      </c>
      <c r="F40" s="209" t="str">
        <f>IFERROR(__xludf.DUMMYFUNCTION("""COMPUTED_VALUE"""),"Phiri Takondwa")</f>
        <v>Phiri Takondwa</v>
      </c>
      <c r="G40" s="209" t="str">
        <f>IFERROR(__xludf.DUMMYFUNCTION("""COMPUTED_VALUE"""),"Jinwalla Aisha")</f>
        <v>Jinwalla Aisha</v>
      </c>
      <c r="H40" s="209" t="str">
        <f>IFERROR(__xludf.DUMMYFUNCTION("""COMPUTED_VALUE"""),"Pardesi Amaan")</f>
        <v>Pardesi Amaan</v>
      </c>
      <c r="I40" s="209" t="str">
        <f>IFERROR(__xludf.DUMMYFUNCTION("""COMPUTED_VALUE"""),"Van Jaarsveld Blake")</f>
        <v>Van Jaarsveld Blake</v>
      </c>
      <c r="J40" s="209" t="str">
        <f>IFERROR(__xludf.DUMMYFUNCTION("""COMPUTED_VALUE"""),"Namaiko Tunji")</f>
        <v>Namaiko Tunji</v>
      </c>
      <c r="K40" s="209" t="str">
        <f>IFERROR(__xludf.DUMMYFUNCTION("""COMPUTED_VALUE"""),"Sampa Ethan")</f>
        <v>Sampa Ethan</v>
      </c>
      <c r="L40" s="209" t="str">
        <f>IFERROR(__xludf.DUMMYFUNCTION("""COMPUTED_VALUE"""),"Dakik Kawthar")</f>
        <v>Dakik Kawthar</v>
      </c>
      <c r="M40" s="209"/>
      <c r="N40" s="209"/>
      <c r="O40" s="209"/>
      <c r="P40" s="209"/>
      <c r="Q40" s="209"/>
      <c r="R40" s="209"/>
      <c r="S40" s="209"/>
      <c r="T40" s="209"/>
      <c r="U40" s="209"/>
      <c r="V40" s="209"/>
      <c r="W40" s="209"/>
      <c r="X40" s="209"/>
      <c r="Y40" s="209"/>
      <c r="Z40" s="209"/>
      <c r="AA40" s="209"/>
    </row>
    <row r="41">
      <c r="A41" s="441"/>
      <c r="B41" s="440" t="s">
        <v>87</v>
      </c>
      <c r="C41" s="440">
        <f>COUNTIF(LS3B!R5:R30,"B")</f>
        <v>5</v>
      </c>
      <c r="D41" s="209" t="str">
        <f>IFERROR(__xludf.DUMMYFUNCTION("TRANSPOSE(FILTER(LS3B!B:B, LS3B!R:R=""B""))"),"Chilufya Bwembya")</f>
        <v>Chilufya Bwembya</v>
      </c>
      <c r="E41" s="209" t="str">
        <f>IFERROR(__xludf.DUMMYFUNCTION("""COMPUTED_VALUE"""),"Wallace Tanzyn Ryan")</f>
        <v>Wallace Tanzyn Ryan</v>
      </c>
      <c r="F41" s="209" t="str">
        <f>IFERROR(__xludf.DUMMYFUNCTION("""COMPUTED_VALUE"""),"Mapiye Lerato Atipaishe")</f>
        <v>Mapiye Lerato Atipaishe</v>
      </c>
      <c r="G41" s="209" t="str">
        <f>IFERROR(__xludf.DUMMYFUNCTION("""COMPUTED_VALUE"""),"Saadi Omar")</f>
        <v>Saadi Omar</v>
      </c>
      <c r="H41" s="209" t="str">
        <f>IFERROR(__xludf.DUMMYFUNCTION("""COMPUTED_VALUE"""),"Kanobana Heiley")</f>
        <v>Kanobana Heiley</v>
      </c>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COUNTIF(LS3B!R5:R30,"A")</f>
        <v>3</v>
      </c>
      <c r="D42" s="209" t="str">
        <f>IFERROR(__xludf.DUMMYFUNCTION("TRANSPOSE(FILTER(LS3B!B:B, LS3B!R:R=""A""))"),"SIAME SALIFYANJI")</f>
        <v>SIAME SALIFYANJI</v>
      </c>
      <c r="E42" s="209" t="str">
        <f>IFERROR(__xludf.DUMMYFUNCTION("""COMPUTED_VALUE"""),"Shimwambwa Nicola Twambo")</f>
        <v>Shimwambwa Nicola Twambo</v>
      </c>
      <c r="F42" s="209" t="str">
        <f>IFERROR(__xludf.DUMMYFUNCTION("""COMPUTED_VALUE"""),"Mguni Ethanim")</f>
        <v>Mguni Ethanim</v>
      </c>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COUNTIF(LS3B!R5:R30,"A~*")</f>
        <v>0</v>
      </c>
      <c r="D43" s="209" t="str">
        <f>IFERROR(__xludf.DUMMYFUNCTION("TRANSPOSE(FILTER(LS3B!B:B, LS3B!R:R=""A*""))"),"#N/A")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397</v>
      </c>
      <c r="B45" s="440" t="s">
        <v>140</v>
      </c>
      <c r="C45" s="440">
        <f>COUNTIF(LS3B!Z5:Z30,"U")</f>
        <v>1</v>
      </c>
      <c r="D45" s="209" t="str">
        <f>IFERROR(__xludf.DUMMYFUNCTION("TRANSPOSE(FILTER(LS3B!B:B, LS3B!Z:Z=""U""))"),"Wang Yishi")</f>
        <v>Wang Yishi</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COUNTIF(LS3B!Z5:Z30,"G")</f>
        <v>2</v>
      </c>
      <c r="D46" s="209" t="str">
        <f>IFERROR(__xludf.DUMMYFUNCTION("TRANSPOSE(FILTER(LS3B!B:B, LS3B!Z:Z=""G""))"),"Chokr Aya")</f>
        <v>Chokr Aya</v>
      </c>
      <c r="E46" s="209" t="str">
        <f>IFERROR(__xludf.DUMMYFUNCTION("""COMPUTED_VALUE"""),"Viner Alexia")</f>
        <v>Viner Alexia</v>
      </c>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COUNTIF(LS3B!Z5:Z30,"F")</f>
        <v>0</v>
      </c>
      <c r="D47" s="209" t="str">
        <f>IFERROR(__xludf.DUMMYFUNCTION("TRANSPOSE(FILTER(LS3B!B:B, LS3B!Z:Z=""F""))"),"#N/A")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COUNTIF(LS3B!Z5:Z30,"E")</f>
        <v>1</v>
      </c>
      <c r="D48" s="209" t="str">
        <f>IFERROR(__xludf.DUMMYFUNCTION("TRANSPOSE(FILTER(LS3B!B:B, LS3B!Z:Z=""E""))"),"Marques Fabiana")</f>
        <v>Marques Fabiana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COUNTIF(LS3B!Z5:Z30,"D")</f>
        <v>5</v>
      </c>
      <c r="D49" s="209" t="str">
        <f>IFERROR(__xludf.DUMMYFUNCTION("TRANSPOSE(FILTER(LS3B!B:B, LS3B!Z:Z=""D""))"),"Eagle Andrew")</f>
        <v>Eagle Andrew</v>
      </c>
      <c r="E49" s="209" t="str">
        <f>IFERROR(__xludf.DUMMYFUNCTION("""COMPUTED_VALUE"""),"Kanche Wongani")</f>
        <v>Kanche Wongani</v>
      </c>
      <c r="F49" s="209" t="str">
        <f>IFERROR(__xludf.DUMMYFUNCTION("""COMPUTED_VALUE"""),"Nyirongo Kutemwa")</f>
        <v>Nyirongo Kutemwa</v>
      </c>
      <c r="G49" s="209" t="str">
        <f>IFERROR(__xludf.DUMMYFUNCTION("""COMPUTED_VALUE"""),"Van Jaarsveld Blake")</f>
        <v>Van Jaarsveld Blake</v>
      </c>
      <c r="H49" s="209" t="str">
        <f>IFERROR(__xludf.DUMMYFUNCTION("""COMPUTED_VALUE"""),"Namaiko Tunji")</f>
        <v>Namaiko Tunji</v>
      </c>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COUNTIF(LS3B!Z5:Z30,"C")</f>
        <v>4</v>
      </c>
      <c r="D50" s="209" t="str">
        <f>IFERROR(__xludf.DUMMYFUNCTION("TRANSPOSE(FILTER(LS3B!B:B, LS3B!Z:Z=""C""))"),"Saad Karim")</f>
        <v>Saad Karim</v>
      </c>
      <c r="E50" s="209" t="str">
        <f>IFERROR(__xludf.DUMMYFUNCTION("""COMPUTED_VALUE"""),"Saad Aseel")</f>
        <v>Saad Aseel</v>
      </c>
      <c r="F50" s="209" t="str">
        <f>IFERROR(__xludf.DUMMYFUNCTION("""COMPUTED_VALUE"""),"Simuyi Shannel")</f>
        <v>Simuyi Shannel</v>
      </c>
      <c r="G50" s="209" t="str">
        <f>IFERROR(__xludf.DUMMYFUNCTION("""COMPUTED_VALUE"""),"Saadi Omar")</f>
        <v>Saadi Omar</v>
      </c>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COUNTIF(LS3B!Z5:Z30,"B")</f>
        <v>4</v>
      </c>
      <c r="D51" s="209" t="str">
        <f>IFERROR(__xludf.DUMMYFUNCTION("TRANSPOSE(FILTER(LS3B!B:B, LS3B!Z:Z=""B""))"),"Wallace Tanzyn Ryan")</f>
        <v>Wallace Tanzyn Ryan</v>
      </c>
      <c r="E51" s="209" t="str">
        <f>IFERROR(__xludf.DUMMYFUNCTION("""COMPUTED_VALUE"""),"Jinwalla Aisha")</f>
        <v>Jinwalla Aisha</v>
      </c>
      <c r="F51" s="209" t="str">
        <f>IFERROR(__xludf.DUMMYFUNCTION("""COMPUTED_VALUE"""),"Pardesi Amaan")</f>
        <v>Pardesi Amaan</v>
      </c>
      <c r="G51" s="209" t="str">
        <f>IFERROR(__xludf.DUMMYFUNCTION("""COMPUTED_VALUE"""),"Sampa Ethan")</f>
        <v>Sampa Ethan</v>
      </c>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COUNTIF(LS3B!Z5:Z30,"A")</f>
        <v>4</v>
      </c>
      <c r="D52" s="209" t="str">
        <f>IFERROR(__xludf.DUMMYFUNCTION("TRANSPOSE(FILTER(LS3B!B:B, LS3B!Z:Z=""A""))"),"SIAME SALIFYANJI")</f>
        <v>SIAME SALIFYANJI</v>
      </c>
      <c r="E52" s="209" t="str">
        <f>IFERROR(__xludf.DUMMYFUNCTION("""COMPUTED_VALUE"""),"Chilufya Bwembya")</f>
        <v>Chilufya Bwembya</v>
      </c>
      <c r="F52" s="209" t="str">
        <f>IFERROR(__xludf.DUMMYFUNCTION("""COMPUTED_VALUE"""),"Mapiye Lerato Atipaishe")</f>
        <v>Mapiye Lerato Atipaishe</v>
      </c>
      <c r="G52" s="209" t="str">
        <f>IFERROR(__xludf.DUMMYFUNCTION("""COMPUTED_VALUE"""),"Dakik Kawthar")</f>
        <v>Dakik Kawthar</v>
      </c>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COUNTIF(LS3B!Z5:Z30,"A~*")</f>
        <v>4</v>
      </c>
      <c r="D53" s="209" t="str">
        <f>IFERROR(__xludf.DUMMYFUNCTION("TRANSPOSE(FILTER(LS3B!B:B, LS3B!Z:Z=""A*""))"),"Shimwambwa Nicola Twambo")</f>
        <v>Shimwambwa Nicola Twambo</v>
      </c>
      <c r="E53" s="209" t="str">
        <f>IFERROR(__xludf.DUMMYFUNCTION("""COMPUTED_VALUE"""),"Mguni Ethanim")</f>
        <v>Mguni Ethanim</v>
      </c>
      <c r="F53" s="209" t="str">
        <f>IFERROR(__xludf.DUMMYFUNCTION("""COMPUTED_VALUE"""),"Phiri Takondwa")</f>
        <v>Phiri Takondwa</v>
      </c>
      <c r="G53" s="209" t="str">
        <f>IFERROR(__xludf.DUMMYFUNCTION("""COMPUTED_VALUE"""),"Kanobana Heiley")</f>
        <v>Kanobana Heiley</v>
      </c>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396</v>
      </c>
      <c r="B55" s="440" t="s">
        <v>140</v>
      </c>
      <c r="C55" s="440">
        <f>COUNTIF(LS3B!AD5:AD30,"U")</f>
        <v>1</v>
      </c>
      <c r="D55" s="209" t="str">
        <f>IFERROR(__xludf.DUMMYFUNCTION("TRANSPOSE(FILTER(LS3B!B:B, LS3B!AD:AD=""U""))"),"Van Jaarsveld Blake")</f>
        <v>Van Jaarsveld Blake</v>
      </c>
      <c r="E55" s="209"/>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COUNTIF(LS3B!AD5:AD30,"G")</f>
        <v>0</v>
      </c>
      <c r="D56" s="209" t="str">
        <f>IFERROR(__xludf.DUMMYFUNCTION("TRANSPOSE(FILTER(LS3B!B:B, LS3B!AD:AD=""G""))"),"#N/A")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COUNTIF(LS3B!AD5:AD30,"F")</f>
        <v>2</v>
      </c>
      <c r="D57" s="209" t="str">
        <f>IFERROR(__xludf.DUMMYFUNCTION("TRANSPOSE(FILTER(LS3B!B:B, LS3B!AD:AD=""F""))"),"Wang Yishi")</f>
        <v>Wang Yishi</v>
      </c>
      <c r="E57" s="209" t="str">
        <f>IFERROR(__xludf.DUMMYFUNCTION("""COMPUTED_VALUE"""),"Marques Fabiana")</f>
        <v>Marques Fabiana</v>
      </c>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COUNTIF(LS3B!AD5:AD30,"E")</f>
        <v>5</v>
      </c>
      <c r="D58" s="209" t="str">
        <f>IFERROR(__xludf.DUMMYFUNCTION("TRANSPOSE(FILTER(LS3B!B:B, LS3B!AD:AD=""E""))"),"Chokr Aya")</f>
        <v>Chokr Aya</v>
      </c>
      <c r="E58" s="209" t="str">
        <f>IFERROR(__xludf.DUMMYFUNCTION("""COMPUTED_VALUE"""),"Saad Aseel")</f>
        <v>Saad Aseel</v>
      </c>
      <c r="F58" s="209" t="str">
        <f>IFERROR(__xludf.DUMMYFUNCTION("""COMPUTED_VALUE"""),"Eagle Andrew")</f>
        <v>Eagle Andrew</v>
      </c>
      <c r="G58" s="209" t="str">
        <f>IFERROR(__xludf.DUMMYFUNCTION("""COMPUTED_VALUE"""),"Namaiko Tunji")</f>
        <v>Namaiko Tunji</v>
      </c>
      <c r="H58" s="209" t="str">
        <f>IFERROR(__xludf.DUMMYFUNCTION("""COMPUTED_VALUE"""),"Viner Alexia")</f>
        <v>Viner Alexia</v>
      </c>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COUNTIF(LS3B!AD5:AD30,"D")</f>
        <v>5</v>
      </c>
      <c r="D59" s="209" t="str">
        <f>IFERROR(__xludf.DUMMYFUNCTION("TRANSPOSE(FILTER(LS3B!B:B, LS3B!AD:AD=""D""))"),"Saad Karim")</f>
        <v>Saad Karim</v>
      </c>
      <c r="E59" s="209" t="str">
        <f>IFERROR(__xludf.DUMMYFUNCTION("""COMPUTED_VALUE"""),"Phiri Takondwa")</f>
        <v>Phiri Takondwa</v>
      </c>
      <c r="F59" s="209" t="str">
        <f>IFERROR(__xludf.DUMMYFUNCTION("""COMPUTED_VALUE"""),"Wallace Tanzyn Ryan")</f>
        <v>Wallace Tanzyn Ryan</v>
      </c>
      <c r="G59" s="209" t="str">
        <f>IFERROR(__xludf.DUMMYFUNCTION("""COMPUTED_VALUE"""),"Kanche Wongani")</f>
        <v>Kanche Wongani</v>
      </c>
      <c r="H59" s="209" t="str">
        <f>IFERROR(__xludf.DUMMYFUNCTION("""COMPUTED_VALUE"""),"Sampa Ethan")</f>
        <v>Sampa Ethan</v>
      </c>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COUNTIF(LS3B!AD5:AD30,"C")</f>
        <v>6</v>
      </c>
      <c r="D60" s="209" t="str">
        <f>IFERROR(__xludf.DUMMYFUNCTION("TRANSPOSE(FILTER(LS3B!B:B, LS3B!AD:AD=""C""))"),"Simuyi Shannel")</f>
        <v>Simuyi Shannel</v>
      </c>
      <c r="E60" s="209" t="str">
        <f>IFERROR(__xludf.DUMMYFUNCTION("""COMPUTED_VALUE"""),"Chilufya Bwembya")</f>
        <v>Chilufya Bwembya</v>
      </c>
      <c r="F60" s="209" t="str">
        <f>IFERROR(__xludf.DUMMYFUNCTION("""COMPUTED_VALUE"""),"Nyirongo Kutemwa")</f>
        <v>Nyirongo Kutemwa</v>
      </c>
      <c r="G60" s="209" t="str">
        <f>IFERROR(__xludf.DUMMYFUNCTION("""COMPUTED_VALUE"""),"Pardesi Amaan")</f>
        <v>Pardesi Amaan</v>
      </c>
      <c r="H60" s="209" t="str">
        <f>IFERROR(__xludf.DUMMYFUNCTION("""COMPUTED_VALUE"""),"Saadi Omar")</f>
        <v>Saadi Omar</v>
      </c>
      <c r="I60" s="209" t="str">
        <f>IFERROR(__xludf.DUMMYFUNCTION("""COMPUTED_VALUE"""),"Dakik Kawthar")</f>
        <v>Dakik Kawthar</v>
      </c>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COUNTIF(LS3B!AD5:AD30,"B")</f>
        <v>2</v>
      </c>
      <c r="D61" s="209" t="str">
        <f>IFERROR(__xludf.DUMMYFUNCTION("TRANSPOSE(FILTER(LS3B!B:B, LS3B!AD:AD=""B""))"),"Shimwambwa Nicola Twambo")</f>
        <v>Shimwambwa Nicola Twambo</v>
      </c>
      <c r="E61" s="209" t="str">
        <f>IFERROR(__xludf.DUMMYFUNCTION("""COMPUTED_VALUE"""),"Mapiye Lerato Atipaishe")</f>
        <v>Mapiye Lerato Atipaishe</v>
      </c>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COUNTIF(LS3B!AD5:AD30,"A")</f>
        <v>2</v>
      </c>
      <c r="D62" s="209" t="str">
        <f>IFERROR(__xludf.DUMMYFUNCTION("TRANSPOSE(FILTER(LS3B!B:B, LS3B!AD:AD=""A""))"),"SIAME SALIFYANJI")</f>
        <v>SIAME SALIFYANJI</v>
      </c>
      <c r="E62" s="209" t="str">
        <f>IFERROR(__xludf.DUMMYFUNCTION("""COMPUTED_VALUE"""),"Jinwalla Aisha")</f>
        <v>Jinwalla Aisha</v>
      </c>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COUNTIF(LS3B!AD5:AD30,"A~*")</f>
        <v>2</v>
      </c>
      <c r="D63" s="209" t="str">
        <f>IFERROR(__xludf.DUMMYFUNCTION("TRANSPOSE(FILTER(LS3B!B:B, LS3B!AD:AD=""A*""))"),"Mguni Ethanim")</f>
        <v>Mguni Ethanim</v>
      </c>
      <c r="E63" s="209" t="str">
        <f>IFERROR(__xludf.DUMMYFUNCTION("""COMPUTED_VALUE"""),"Kanobana Heiley")</f>
        <v>Kanobana Heiley</v>
      </c>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679</v>
      </c>
      <c r="B65" s="440" t="s">
        <v>140</v>
      </c>
      <c r="C65" s="440">
        <f>COUNTIF(LS3B!AH5:AH30,"U")</f>
        <v>0</v>
      </c>
      <c r="D65" s="209" t="str">
        <f>IFERROR(__xludf.DUMMYFUNCTION("TRANSPOSE(FILTER(LS3B!B:B, LS3B!AH:AH=""U""))"),"#N/A")</f>
        <v>#N/A</v>
      </c>
      <c r="E65" s="209"/>
      <c r="F65" s="209"/>
      <c r="G65" s="209"/>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COUNTIF(LS3B!AH5:AH30,"G")</f>
        <v>0</v>
      </c>
      <c r="D66" s="209" t="str">
        <f>IFERROR(__xludf.DUMMYFUNCTION("TRANSPOSE(FILTER(LS3B!B:B, LS3B!AH:AH=""G""))"),"#N/A")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COUNTIF(LS3B!AH5:AH30,"F")</f>
        <v>0</v>
      </c>
      <c r="D67" s="209" t="str">
        <f>IFERROR(__xludf.DUMMYFUNCTION("TRANSPOSE(FILTER(LS3B!B:B, LS3B!AH:AH=""F""))"),"#N/A")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COUNTIF(LS3B!AH5:AH30,"E")</f>
        <v>0</v>
      </c>
      <c r="D68" s="209" t="str">
        <f>IFERROR(__xludf.DUMMYFUNCTION("TRANSPOSE(FILTER(LS3B!B:B, LS3B!AH:AH=""E""))"),"#N/A")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COUNTIF(LS3B!AH5:AH30,"D")</f>
        <v>0</v>
      </c>
      <c r="D69" s="209" t="str">
        <f>IFERROR(__xludf.DUMMYFUNCTION("TRANSPOSE(FILTER(LS3B!B:B, LS3B!AH:AH=""D""))"),"#N/A")</f>
        <v>#N/A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COUNTIF(LS3B!AH5:AH30,"C")</f>
        <v>4</v>
      </c>
      <c r="D70" s="209" t="str">
        <f>IFERROR(__xludf.DUMMYFUNCTION("TRANSPOSE(FILTER(LS3B!B:B, LS3B!AH:AH=""C""))"),"Chokr Aya")</f>
        <v>Chokr Aya</v>
      </c>
      <c r="E70" s="209" t="str">
        <f>IFERROR(__xludf.DUMMYFUNCTION("""COMPUTED_VALUE"""),"Saad Karim")</f>
        <v>Saad Karim</v>
      </c>
      <c r="F70" s="209" t="str">
        <f>IFERROR(__xludf.DUMMYFUNCTION("""COMPUTED_VALUE"""),"Eagle Andrew")</f>
        <v>Eagle Andrew</v>
      </c>
      <c r="G70" s="209" t="str">
        <f>IFERROR(__xludf.DUMMYFUNCTION("""COMPUTED_VALUE"""),"Wang Yishi")</f>
        <v>Wang Yishi</v>
      </c>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COUNTIF(LS3B!AH5:AH30,"B")</f>
        <v>14</v>
      </c>
      <c r="D71" s="209" t="str">
        <f>IFERROR(__xludf.DUMMYFUNCTION("TRANSPOSE(FILTER(LS3B!B:B, LS3B!AH:AH=""B""))"),"Saad Aseel")</f>
        <v>Saad Aseel</v>
      </c>
      <c r="E71" s="209" t="str">
        <f>IFERROR(__xludf.DUMMYFUNCTION("""COMPUTED_VALUE"""),"Simuyi Shannel")</f>
        <v>Simuyi Shannel</v>
      </c>
      <c r="F71" s="209" t="str">
        <f>IFERROR(__xludf.DUMMYFUNCTION("""COMPUTED_VALUE"""),"Mguni Ethanim")</f>
        <v>Mguni Ethanim</v>
      </c>
      <c r="G71" s="209" t="str">
        <f>IFERROR(__xludf.DUMMYFUNCTION("""COMPUTED_VALUE"""),"Jinwalla Aisha")</f>
        <v>Jinwalla Aisha</v>
      </c>
      <c r="H71" s="209" t="str">
        <f>IFERROR(__xludf.DUMMYFUNCTION("""COMPUTED_VALUE"""),"Kanche Wongani")</f>
        <v>Kanche Wongani</v>
      </c>
      <c r="I71" s="209" t="str">
        <f>IFERROR(__xludf.DUMMYFUNCTION("""COMPUTED_VALUE"""),"Pardesi Amaan")</f>
        <v>Pardesi Amaan</v>
      </c>
      <c r="J71" s="209" t="str">
        <f>IFERROR(__xludf.DUMMYFUNCTION("""COMPUTED_VALUE"""),"Van Jaarsveld Blake")</f>
        <v>Van Jaarsveld Blake</v>
      </c>
      <c r="K71" s="209" t="str">
        <f>IFERROR(__xludf.DUMMYFUNCTION("""COMPUTED_VALUE"""),"Saadi Omar")</f>
        <v>Saadi Omar</v>
      </c>
      <c r="L71" s="209" t="str">
        <f>IFERROR(__xludf.DUMMYFUNCTION("""COMPUTED_VALUE"""),"Namaiko Tunji")</f>
        <v>Namaiko Tunji</v>
      </c>
      <c r="M71" s="209" t="str">
        <f>IFERROR(__xludf.DUMMYFUNCTION("""COMPUTED_VALUE"""),"Viner Alexia")</f>
        <v>Viner Alexia</v>
      </c>
      <c r="N71" s="209" t="str">
        <f>IFERROR(__xludf.DUMMYFUNCTION("""COMPUTED_VALUE"""),"Marques Fabiana")</f>
        <v>Marques Fabiana</v>
      </c>
      <c r="O71" s="209" t="str">
        <f>IFERROR(__xludf.DUMMYFUNCTION("""COMPUTED_VALUE"""),"Kanobana Heiley")</f>
        <v>Kanobana Heiley</v>
      </c>
      <c r="P71" s="209" t="str">
        <f>IFERROR(__xludf.DUMMYFUNCTION("""COMPUTED_VALUE"""),"Sampa Ethan")</f>
        <v>Sampa Ethan</v>
      </c>
      <c r="Q71" s="209" t="str">
        <f>IFERROR(__xludf.DUMMYFUNCTION("""COMPUTED_VALUE"""),"Dakik Kawthar")</f>
        <v>Dakik Kawthar</v>
      </c>
      <c r="R71" s="209"/>
      <c r="S71" s="209"/>
      <c r="T71" s="209"/>
      <c r="U71" s="209"/>
      <c r="V71" s="209"/>
      <c r="W71" s="209"/>
      <c r="X71" s="209"/>
      <c r="Y71" s="209"/>
      <c r="Z71" s="209"/>
      <c r="AA71" s="209"/>
    </row>
    <row r="72">
      <c r="A72" s="441"/>
      <c r="B72" s="440" t="s">
        <v>85</v>
      </c>
      <c r="C72" s="440">
        <f>COUNTIF(LS3B!AH5:AH30,"A")</f>
        <v>7</v>
      </c>
      <c r="D72" s="209" t="str">
        <f>IFERROR(__xludf.DUMMYFUNCTION("TRANSPOSE(FILTER(LS3B!B:B, LS3B!AH:AH=""A""))"),"SIAME SALIFYANJI")</f>
        <v>SIAME SALIFYANJI</v>
      </c>
      <c r="E72" s="209" t="str">
        <f>IFERROR(__xludf.DUMMYFUNCTION("""COMPUTED_VALUE"""),"Shimwambwa Nicola Twambo")</f>
        <v>Shimwambwa Nicola Twambo</v>
      </c>
      <c r="F72" s="209" t="str">
        <f>IFERROR(__xludf.DUMMYFUNCTION("""COMPUTED_VALUE"""),"Chilufya Bwembya")</f>
        <v>Chilufya Bwembya</v>
      </c>
      <c r="G72" s="209" t="str">
        <f>IFERROR(__xludf.DUMMYFUNCTION("""COMPUTED_VALUE"""),"Phiri Takondwa")</f>
        <v>Phiri Takondwa</v>
      </c>
      <c r="H72" s="209" t="str">
        <f>IFERROR(__xludf.DUMMYFUNCTION("""COMPUTED_VALUE"""),"Wallace Tanzyn Ryan")</f>
        <v>Wallace Tanzyn Ryan</v>
      </c>
      <c r="I72" s="209" t="str">
        <f>IFERROR(__xludf.DUMMYFUNCTION("""COMPUTED_VALUE"""),"Mapiye Lerato Atipaishe")</f>
        <v>Mapiye Lerato Atipaishe</v>
      </c>
      <c r="J72" s="209" t="str">
        <f>IFERROR(__xludf.DUMMYFUNCTION("""COMPUTED_VALUE"""),"Nyirongo Kutemwa")</f>
        <v>Nyirongo Kutemwa</v>
      </c>
      <c r="K72" s="209"/>
      <c r="L72" s="209"/>
      <c r="M72" s="209"/>
      <c r="N72" s="209"/>
      <c r="O72" s="209"/>
      <c r="P72" s="209"/>
      <c r="Q72" s="209"/>
      <c r="R72" s="209"/>
      <c r="S72" s="209"/>
      <c r="T72" s="209"/>
      <c r="U72" s="209"/>
      <c r="V72" s="209"/>
      <c r="W72" s="209"/>
      <c r="X72" s="209"/>
      <c r="Y72" s="209"/>
      <c r="Z72" s="209"/>
      <c r="AA72" s="209"/>
    </row>
    <row r="73">
      <c r="A73" s="441"/>
      <c r="B73" s="440" t="s">
        <v>152</v>
      </c>
      <c r="C73" s="440">
        <f>COUNTIF(LS3B!AH5:AH30,"A~*")</f>
        <v>0</v>
      </c>
      <c r="D73" s="209" t="str">
        <f>IFERROR(__xludf.DUMMYFUNCTION("TRANSPOSE(FILTER(LS3B!B:B, LS3B!AH:AH=""A*""))"),"#N/A")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31</v>
      </c>
      <c r="B75" s="440" t="s">
        <v>140</v>
      </c>
      <c r="C75" s="440">
        <f>COUNTIF(LS3B!AL5:AL30,"U")</f>
        <v>0</v>
      </c>
      <c r="D75" s="209" t="str">
        <f>IFERROR(__xludf.DUMMYFUNCTION("TRANSPOSE(FILTER(LS3B!B:B, LS3B!AL:AL=""U""))"),"#N/A")</f>
        <v>#N/A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COUNTIF(LS3B!AL5:AL30,"G")</f>
        <v>1</v>
      </c>
      <c r="D76" s="209" t="str">
        <f>IFERROR(__xludf.DUMMYFUNCTION("TRANSPOSE(FILTER(LS3B!B:B, LS3B!AL:AL=""G""))"),"Wang Yishi")</f>
        <v>Wang Yishi</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COUNTIF(LS3B!AL5:AL30,"F")</f>
        <v>0</v>
      </c>
      <c r="D77" s="209" t="str">
        <f>IFERROR(__xludf.DUMMYFUNCTION("TRANSPOSE(FILTER(LS3B!B:B, LS3B!AL:AL=""F""))"),"#N/A")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COUNTIF(LS3B!AL5:AL30,"E")</f>
        <v>2</v>
      </c>
      <c r="D78" s="209" t="str">
        <f>IFERROR(__xludf.DUMMYFUNCTION("TRANSPOSE(FILTER(LS3B!B:B, LS3B!AL:AL=""E""))"),"Van Jaarsveld Blake")</f>
        <v>Van Jaarsveld Blake</v>
      </c>
      <c r="E78" s="209" t="str">
        <f>IFERROR(__xludf.DUMMYFUNCTION("""COMPUTED_VALUE"""),"Saadi Omar")</f>
        <v>Saadi Omar</v>
      </c>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COUNTIF(LS3B!AL5:AL30,"D")</f>
        <v>10</v>
      </c>
      <c r="D79" s="209" t="str">
        <f>IFERROR(__xludf.DUMMYFUNCTION("TRANSPOSE(FILTER(LS3B!B:B, LS3B!AL:AL=""D""))"),"Saad Karim")</f>
        <v>Saad Karim</v>
      </c>
      <c r="E79" s="209" t="str">
        <f>IFERROR(__xludf.DUMMYFUNCTION("""COMPUTED_VALUE"""),"Chilufya Bwembya")</f>
        <v>Chilufya Bwembya</v>
      </c>
      <c r="F79" s="209" t="str">
        <f>IFERROR(__xludf.DUMMYFUNCTION("""COMPUTED_VALUE"""),"Eagle Andrew")</f>
        <v>Eagle Andrew</v>
      </c>
      <c r="G79" s="209" t="str">
        <f>IFERROR(__xludf.DUMMYFUNCTION("""COMPUTED_VALUE"""),"Wallace Tanzyn Ryan")</f>
        <v>Wallace Tanzyn Ryan</v>
      </c>
      <c r="H79" s="209" t="str">
        <f>IFERROR(__xludf.DUMMYFUNCTION("""COMPUTED_VALUE"""),"Mapiye Lerato Atipaishe")</f>
        <v>Mapiye Lerato Atipaishe</v>
      </c>
      <c r="I79" s="209" t="str">
        <f>IFERROR(__xludf.DUMMYFUNCTION("""COMPUTED_VALUE"""),"Jinwalla Aisha")</f>
        <v>Jinwalla Aisha</v>
      </c>
      <c r="J79" s="209" t="str">
        <f>IFERROR(__xludf.DUMMYFUNCTION("""COMPUTED_VALUE"""),"Pardesi Amaan")</f>
        <v>Pardesi Amaan</v>
      </c>
      <c r="K79" s="209" t="str">
        <f>IFERROR(__xludf.DUMMYFUNCTION("""COMPUTED_VALUE"""),"Namaiko Tunji")</f>
        <v>Namaiko Tunji</v>
      </c>
      <c r="L79" s="209" t="str">
        <f>IFERROR(__xludf.DUMMYFUNCTION("""COMPUTED_VALUE"""),"Viner Alexia")</f>
        <v>Viner Alexia</v>
      </c>
      <c r="M79" s="209" t="str">
        <f>IFERROR(__xludf.DUMMYFUNCTION("""COMPUTED_VALUE"""),"Marques Fabiana")</f>
        <v>Marques Fabiana</v>
      </c>
      <c r="N79" s="209"/>
      <c r="O79" s="209"/>
      <c r="P79" s="209"/>
      <c r="Q79" s="209"/>
      <c r="R79" s="209"/>
      <c r="S79" s="209"/>
      <c r="T79" s="209"/>
      <c r="U79" s="209"/>
      <c r="V79" s="209"/>
      <c r="W79" s="209"/>
      <c r="X79" s="209"/>
      <c r="Y79" s="209"/>
      <c r="Z79" s="209"/>
      <c r="AA79" s="209"/>
    </row>
    <row r="80">
      <c r="A80" s="441"/>
      <c r="B80" s="440" t="s">
        <v>90</v>
      </c>
      <c r="C80" s="440">
        <f>COUNTIF(LS3B!AL5:AL30,"C")</f>
        <v>9</v>
      </c>
      <c r="D80" s="209" t="str">
        <f>IFERROR(__xludf.DUMMYFUNCTION("TRANSPOSE(FILTER(LS3B!B:B, LS3B!AL:AL=""C""))"),"SIAME SALIFYANJI")</f>
        <v>SIAME SALIFYANJI</v>
      </c>
      <c r="E80" s="209" t="str">
        <f>IFERROR(__xludf.DUMMYFUNCTION("""COMPUTED_VALUE"""),"Chokr Aya")</f>
        <v>Chokr Aya</v>
      </c>
      <c r="F80" s="209" t="str">
        <f>IFERROR(__xludf.DUMMYFUNCTION("""COMPUTED_VALUE"""),"Saad Aseel")</f>
        <v>Saad Aseel</v>
      </c>
      <c r="G80" s="209" t="str">
        <f>IFERROR(__xludf.DUMMYFUNCTION("""COMPUTED_VALUE"""),"Simuyi Shannel")</f>
        <v>Simuyi Shannel</v>
      </c>
      <c r="H80" s="209" t="str">
        <f>IFERROR(__xludf.DUMMYFUNCTION("""COMPUTED_VALUE"""),"Shimwambwa Nicola Twambo")</f>
        <v>Shimwambwa Nicola Twambo</v>
      </c>
      <c r="I80" s="209" t="str">
        <f>IFERROR(__xludf.DUMMYFUNCTION("""COMPUTED_VALUE"""),"Kanche Wongani")</f>
        <v>Kanche Wongani</v>
      </c>
      <c r="J80" s="209" t="str">
        <f>IFERROR(__xludf.DUMMYFUNCTION("""COMPUTED_VALUE"""),"Kanobana Heiley")</f>
        <v>Kanobana Heiley</v>
      </c>
      <c r="K80" s="209" t="str">
        <f>IFERROR(__xludf.DUMMYFUNCTION("""COMPUTED_VALUE"""),"Sampa Ethan")</f>
        <v>Sampa Ethan</v>
      </c>
      <c r="L80" s="209" t="str">
        <f>IFERROR(__xludf.DUMMYFUNCTION("""COMPUTED_VALUE"""),"Dakik Kawthar")</f>
        <v>Dakik Kawthar</v>
      </c>
      <c r="M80" s="209"/>
      <c r="N80" s="209"/>
      <c r="O80" s="209"/>
      <c r="P80" s="209"/>
      <c r="Q80" s="209"/>
      <c r="R80" s="209"/>
      <c r="S80" s="209"/>
      <c r="T80" s="209"/>
      <c r="U80" s="209"/>
      <c r="V80" s="209"/>
      <c r="W80" s="209"/>
      <c r="X80" s="209"/>
      <c r="Y80" s="209"/>
      <c r="Z80" s="209"/>
      <c r="AA80" s="209"/>
    </row>
    <row r="81">
      <c r="A81" s="441"/>
      <c r="B81" s="440" t="s">
        <v>87</v>
      </c>
      <c r="C81" s="440">
        <f>COUNTIF(LS3B!AL5:AL30,"B")</f>
        <v>3</v>
      </c>
      <c r="D81" s="209" t="str">
        <f>IFERROR(__xludf.DUMMYFUNCTION("TRANSPOSE(FILTER(LS3B!B:B, LS3B!AL:AL=""B""))"),"Mguni Ethanim")</f>
        <v>Mguni Ethanim</v>
      </c>
      <c r="E81" s="209" t="str">
        <f>IFERROR(__xludf.DUMMYFUNCTION("""COMPUTED_VALUE"""),"Phiri Takondwa")</f>
        <v>Phiri Takondwa</v>
      </c>
      <c r="F81" s="209" t="str">
        <f>IFERROR(__xludf.DUMMYFUNCTION("""COMPUTED_VALUE"""),"Nyirongo Kutemwa")</f>
        <v>Nyirongo Kutemwa</v>
      </c>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COUNTIF(LS3B!AL5:AL30,"A")</f>
        <v>0</v>
      </c>
      <c r="D82" s="209" t="str">
        <f>IFERROR(__xludf.DUMMYFUNCTION("TRANSPOSE(FILTER(LS3B!B:B, LS3B!AL:AL=""A""))"),"#N/A")</f>
        <v>#N/A</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COUNTIF(LS3B!AL5:AL30,"A~*")</f>
        <v>0</v>
      </c>
      <c r="D83" s="209" t="str">
        <f>IFERROR(__xludf.DUMMYFUNCTION("TRANSPOSE(FILTER(LS3B!B:B, LS3B!AL:AL=""A*""))"),"#N/A")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COUNTIF(LS3B!AP5:AP30,"U")</f>
        <v>0</v>
      </c>
      <c r="D85" s="209" t="str">
        <f>IFERROR(__xludf.DUMMYFUNCTION("TRANSPOSE(FILTER(LS3B!B:B, LS3B!AP:AP=""U""))"),"#N/A")</f>
        <v>#N/A</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COUNTIF(LS3B!AP5:AP30,"G")</f>
        <v>0</v>
      </c>
      <c r="D86" s="209" t="str">
        <f>IFERROR(__xludf.DUMMYFUNCTION("TRANSPOSE(FILTER(LS3B!B:B, LS3B!AP:AP=""G""))"),"#N/A")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COUNTIF(LS3B!AP5:AP30,"F")</f>
        <v>0</v>
      </c>
      <c r="D87" s="209" t="str">
        <f>IFERROR(__xludf.DUMMYFUNCTION("TRANSPOSE(FILTER(LS3B!B:B, LS3B!AP:AP=""F""))"),"#N/A")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COUNTIF(LS3B!AP5:AP30,"E")</f>
        <v>0</v>
      </c>
      <c r="D88" s="209" t="str">
        <f>IFERROR(__xludf.DUMMYFUNCTION("TRANSPOSE(FILTER(LS3B!B:B, LS3B!AP:AP=""E""))"),"#N/A")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COUNTIF(LS3B!AP5:AP30,"D")</f>
        <v>5</v>
      </c>
      <c r="D89" s="209" t="str">
        <f>IFERROR(__xludf.DUMMYFUNCTION("TRANSPOSE(FILTER(LS3B!B:B, LS3B!AP:AP=""D""))"),"Chokr Aya")</f>
        <v>Chokr Aya</v>
      </c>
      <c r="E89" s="209" t="str">
        <f>IFERROR(__xludf.DUMMYFUNCTION("""COMPUTED_VALUE"""),"Saad Aseel")</f>
        <v>Saad Aseel</v>
      </c>
      <c r="F89" s="209" t="str">
        <f>IFERROR(__xludf.DUMMYFUNCTION("""COMPUTED_VALUE"""),"Wang Yishi")</f>
        <v>Wang Yishi</v>
      </c>
      <c r="G89" s="209" t="str">
        <f>IFERROR(__xludf.DUMMYFUNCTION("""COMPUTED_VALUE"""),"Mapiye Lerato Atipaishe")</f>
        <v>Mapiye Lerato Atipaishe</v>
      </c>
      <c r="H89" s="209" t="str">
        <f>IFERROR(__xludf.DUMMYFUNCTION("""COMPUTED_VALUE"""),"Dakik Kawthar")</f>
        <v>Dakik Kawthar</v>
      </c>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COUNTIF(LS3B!AP5:AP30,"C")</f>
        <v>7</v>
      </c>
      <c r="D90" s="209" t="str">
        <f>IFERROR(__xludf.DUMMYFUNCTION("TRANSPOSE(FILTER(LS3B!B:B, LS3B!AP:AP=""C""))"),"Simuyi Shannel")</f>
        <v>Simuyi Shannel</v>
      </c>
      <c r="E90" s="209" t="str">
        <f>IFERROR(__xludf.DUMMYFUNCTION("""COMPUTED_VALUE"""),"Pardesi Amaan")</f>
        <v>Pardesi Amaan</v>
      </c>
      <c r="F90" s="209" t="str">
        <f>IFERROR(__xludf.DUMMYFUNCTION("""COMPUTED_VALUE"""),"Van Jaarsveld Blake")</f>
        <v>Van Jaarsveld Blake</v>
      </c>
      <c r="G90" s="209" t="str">
        <f>IFERROR(__xludf.DUMMYFUNCTION("""COMPUTED_VALUE"""),"Namaiko Tunji")</f>
        <v>Namaiko Tunji</v>
      </c>
      <c r="H90" s="209" t="str">
        <f>IFERROR(__xludf.DUMMYFUNCTION("""COMPUTED_VALUE"""),"Viner Alexia")</f>
        <v>Viner Alexia</v>
      </c>
      <c r="I90" s="209" t="str">
        <f>IFERROR(__xludf.DUMMYFUNCTION("""COMPUTED_VALUE"""),"Marques Fabiana")</f>
        <v>Marques Fabiana</v>
      </c>
      <c r="J90" s="209" t="str">
        <f>IFERROR(__xludf.DUMMYFUNCTION("""COMPUTED_VALUE"""),"Sampa Ethan")</f>
        <v>Sampa Ethan</v>
      </c>
      <c r="K90" s="209"/>
      <c r="L90" s="209"/>
      <c r="M90" s="209"/>
      <c r="N90" s="209"/>
      <c r="O90" s="209"/>
      <c r="P90" s="209"/>
      <c r="Q90" s="209"/>
      <c r="R90" s="209"/>
      <c r="S90" s="209"/>
      <c r="T90" s="209"/>
      <c r="U90" s="209"/>
      <c r="V90" s="209"/>
      <c r="W90" s="209"/>
      <c r="X90" s="209"/>
      <c r="Y90" s="209"/>
      <c r="Z90" s="209"/>
      <c r="AA90" s="209"/>
    </row>
    <row r="91">
      <c r="A91" s="441"/>
      <c r="B91" s="440" t="s">
        <v>87</v>
      </c>
      <c r="C91" s="440">
        <f>COUNTIF(LS3B!AP5:AP30,"B")</f>
        <v>12</v>
      </c>
      <c r="D91" s="209" t="str">
        <f>IFERROR(__xludf.DUMMYFUNCTION("TRANSPOSE(FILTER(LS3B!B:B, LS3B!AP:AP=""B""))"),"SIAME SALIFYANJI")</f>
        <v>SIAME SALIFYANJI</v>
      </c>
      <c r="E91" s="209" t="str">
        <f>IFERROR(__xludf.DUMMYFUNCTION("""COMPUTED_VALUE"""),"Saad Karim")</f>
        <v>Saad Karim</v>
      </c>
      <c r="F91" s="209" t="str">
        <f>IFERROR(__xludf.DUMMYFUNCTION("""COMPUTED_VALUE"""),"Chilufya Bwembya")</f>
        <v>Chilufya Bwembya</v>
      </c>
      <c r="G91" s="209" t="str">
        <f>IFERROR(__xludf.DUMMYFUNCTION("""COMPUTED_VALUE"""),"Mguni Ethanim")</f>
        <v>Mguni Ethanim</v>
      </c>
      <c r="H91" s="209" t="str">
        <f>IFERROR(__xludf.DUMMYFUNCTION("""COMPUTED_VALUE"""),"Eagle Andrew")</f>
        <v>Eagle Andrew</v>
      </c>
      <c r="I91" s="209" t="str">
        <f>IFERROR(__xludf.DUMMYFUNCTION("""COMPUTED_VALUE"""),"Phiri Takondwa")</f>
        <v>Phiri Takondwa</v>
      </c>
      <c r="J91" s="209" t="str">
        <f>IFERROR(__xludf.DUMMYFUNCTION("""COMPUTED_VALUE"""),"Wallace Tanzyn Ryan")</f>
        <v>Wallace Tanzyn Ryan</v>
      </c>
      <c r="K91" s="209" t="str">
        <f>IFERROR(__xludf.DUMMYFUNCTION("""COMPUTED_VALUE"""),"Jinwalla Aisha")</f>
        <v>Jinwalla Aisha</v>
      </c>
      <c r="L91" s="209" t="str">
        <f>IFERROR(__xludf.DUMMYFUNCTION("""COMPUTED_VALUE"""),"Kanche Wongani")</f>
        <v>Kanche Wongani</v>
      </c>
      <c r="M91" s="209" t="str">
        <f>IFERROR(__xludf.DUMMYFUNCTION("""COMPUTED_VALUE"""),"Nyirongo Kutemwa")</f>
        <v>Nyirongo Kutemwa</v>
      </c>
      <c r="N91" s="209" t="str">
        <f>IFERROR(__xludf.DUMMYFUNCTION("""COMPUTED_VALUE"""),"Saadi Omar")</f>
        <v>Saadi Omar</v>
      </c>
      <c r="O91" s="209" t="str">
        <f>IFERROR(__xludf.DUMMYFUNCTION("""COMPUTED_VALUE"""),"Kanobana Heiley")</f>
        <v>Kanobana Heiley</v>
      </c>
      <c r="P91" s="209"/>
      <c r="Q91" s="209"/>
      <c r="R91" s="209"/>
      <c r="S91" s="209"/>
      <c r="T91" s="209"/>
      <c r="U91" s="209"/>
      <c r="V91" s="209"/>
      <c r="W91" s="209"/>
      <c r="X91" s="209"/>
      <c r="Y91" s="209"/>
      <c r="Z91" s="209"/>
      <c r="AA91" s="209"/>
    </row>
    <row r="92">
      <c r="A92" s="441"/>
      <c r="B92" s="440" t="s">
        <v>85</v>
      </c>
      <c r="C92" s="440">
        <f>COUNTIF(LS3B!AP5:AP30,"A")</f>
        <v>1</v>
      </c>
      <c r="D92" s="209" t="str">
        <f>IFERROR(__xludf.DUMMYFUNCTION("TRANSPOSE(FILTER(LS3B!B:B, LS3B!AP:AP=""A""))"),"Shimwambwa Nicola Twambo")</f>
        <v>Shimwambwa Nicola Twambo</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COUNTIF(LS3B!AP5:AP30,"A~*")</f>
        <v>0</v>
      </c>
      <c r="D93" s="209" t="str">
        <f>IFERROR(__xludf.DUMMYFUNCTION("TRANSPOSE(FILTER(LS3B!B:B, LS3B!AP:AP=""A*""))"),"#N/A")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39"/>
      <c r="B95" s="439"/>
      <c r="C95" s="439"/>
    </row>
    <row r="96">
      <c r="A96" s="439"/>
      <c r="B96" s="439"/>
      <c r="C96" s="439"/>
    </row>
    <row r="97">
      <c r="A97" s="439"/>
      <c r="B97" s="439"/>
      <c r="C97" s="439"/>
    </row>
    <row r="98">
      <c r="A98" s="439"/>
      <c r="B98" s="439"/>
      <c r="C98" s="439"/>
    </row>
    <row r="99">
      <c r="A99" s="439"/>
      <c r="B99" s="439"/>
      <c r="C99" s="439"/>
    </row>
    <row r="100">
      <c r="A100" s="439"/>
      <c r="B100" s="439"/>
      <c r="C100" s="439"/>
    </row>
    <row r="101">
      <c r="A101" s="439"/>
      <c r="B101" s="439"/>
      <c r="C101" s="439"/>
    </row>
    <row r="102">
      <c r="A102" s="439"/>
      <c r="B102" s="439"/>
      <c r="C102" s="439"/>
    </row>
    <row r="103">
      <c r="A103" s="439"/>
      <c r="B103" s="439"/>
      <c r="C103" s="43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fitToHeight="0" cellComments="atEnd" orientation="landscape"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43</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1A'!D2:D21,"U")</f>
        <v>0</v>
      </c>
      <c r="D4" s="209" t="str">
        <f>IFERROR(__xludf.DUMMYFUNCTION("TRANSPOSE(FILTER('IGCSE 1A'!B:B, 'IGCSE 1A'!D:D=""U""))"),"")</f>
        <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1A'!D2:D21,"G")</f>
        <v>1</v>
      </c>
      <c r="D5" s="209" t="str">
        <f>IFERROR(__xludf.DUMMYFUNCTION("TRANSPOSE(FILTER('IGCSE 1A'!B:B, 'IGCSE 1A'!D:D=""G""))"),"Sialwindi Chipego")</f>
        <v>Sialwindi Chipego</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1A'!D2:D21,"F")</f>
        <v>0</v>
      </c>
      <c r="D6" s="209" t="str">
        <f>IFERROR(__xludf.DUMMYFUNCTION("TRANSPOSE(FILTER('IGCSE 1A'!B:B, 'IGCSE 1A'!D:D=""F""))"),"#N/A")</f>
        <v>#N/A</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1A'!D2:D21,"E")</f>
        <v>2</v>
      </c>
      <c r="D7" s="209" t="str">
        <f>IFERROR(__xludf.DUMMYFUNCTION("TRANSPOSE(FILTER('IGCSE 1A'!B:B, 'IGCSE 1A'!D:D=""E""))"),"Muyangwa Namonda")</f>
        <v>Muyangwa Namonda</v>
      </c>
      <c r="E7" s="209" t="str">
        <f>IFERROR(__xludf.DUMMYFUNCTION("""COMPUTED_VALUE"""),"Chilambwe Sibongile")</f>
        <v>Chilambwe Sibongile</v>
      </c>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1A'!D2:D21,"D")</f>
        <v>6</v>
      </c>
      <c r="D8" s="209" t="str">
        <f>IFERROR(__xludf.DUMMYFUNCTION("TRANSPOSE(FILTER('IGCSE 1A'!B:B, 'IGCSE 1A'!D:D=""D""))"),"Romana Tembo Miracle")</f>
        <v>Romana Tembo Miracle</v>
      </c>
      <c r="E8" s="209" t="str">
        <f>IFERROR(__xludf.DUMMYFUNCTION("""COMPUTED_VALUE"""),"Chilufya Lisa")</f>
        <v>Chilufya Lisa</v>
      </c>
      <c r="F8" s="209" t="str">
        <f>IFERROR(__xludf.DUMMYFUNCTION("""COMPUTED_VALUE"""),"Kanchela Keturah")</f>
        <v>Kanchela Keturah</v>
      </c>
      <c r="G8" s="209" t="str">
        <f>IFERROR(__xludf.DUMMYFUNCTION("""COMPUTED_VALUE"""),"Lungwe Nancy")</f>
        <v>Lungwe Nancy</v>
      </c>
      <c r="H8" s="209" t="str">
        <f>IFERROR(__xludf.DUMMYFUNCTION("""COMPUTED_VALUE"""),"Swima Bacharie")</f>
        <v>Swima Bacharie</v>
      </c>
      <c r="I8" s="209" t="str">
        <f>IFERROR(__xludf.DUMMYFUNCTION("""COMPUTED_VALUE"""),"Blumears Malik")</f>
        <v>Blumears Malik</v>
      </c>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COUNTIF('IGCSE 1A'!D2:D21,"C")</f>
        <v>6</v>
      </c>
      <c r="D9" s="209" t="str">
        <f>IFERROR(__xludf.DUMMYFUNCTION("TRANSPOSE(FILTER('IGCSE 1A'!B:B, 'IGCSE 1A'!D:D=""C""))"),"Phiri Tapewa")</f>
        <v>Phiri Tapewa</v>
      </c>
      <c r="E9" s="209" t="str">
        <f>IFERROR(__xludf.DUMMYFUNCTION("""COMPUTED_VALUE"""),"Kalala Percida")</f>
        <v>Kalala Percida</v>
      </c>
      <c r="F9" s="209" t="str">
        <f>IFERROR(__xludf.DUMMYFUNCTION("""COMPUTED_VALUE"""),"Mwamba Juanita")</f>
        <v>Mwamba Juanita</v>
      </c>
      <c r="G9" s="209" t="str">
        <f>IFERROR(__xludf.DUMMYFUNCTION("""COMPUTED_VALUE"""),"Muhamuud Shirhana")</f>
        <v>Muhamuud Shirhana</v>
      </c>
      <c r="H9" s="209" t="str">
        <f>IFERROR(__xludf.DUMMYFUNCTION("""COMPUTED_VALUE"""),"Saad Adam")</f>
        <v>Saad Adam</v>
      </c>
      <c r="I9" s="209" t="str">
        <f>IFERROR(__xludf.DUMMYFUNCTION("""COMPUTED_VALUE"""),"Taj Eshan")</f>
        <v>Taj Eshan</v>
      </c>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1A'!D6:DB1000,"B")</f>
        <v>45</v>
      </c>
      <c r="D10" s="209" t="str">
        <f>IFERROR(__xludf.DUMMYFUNCTION("TRANSPOSE(FILTER('IGCSE 1A'!B:B, 'IGCSE 1A'!D:D=""B""))"),"Nkunika Thobile")</f>
        <v>Nkunika Thobile</v>
      </c>
      <c r="E10" s="209" t="str">
        <f>IFERROR(__xludf.DUMMYFUNCTION("""COMPUTED_VALUE"""),"Silanda Zewelanji")</f>
        <v>Silanda Zewelanji</v>
      </c>
      <c r="F10" s="209" t="str">
        <f>IFERROR(__xludf.DUMMYFUNCTION("""COMPUTED_VALUE"""),"Nassour Israa")</f>
        <v>Nassour Israa</v>
      </c>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1A'!D2:D21,"A")</f>
        <v>2</v>
      </c>
      <c r="D11" s="209" t="str">
        <f>IFERROR(__xludf.DUMMYFUNCTION("TRANSPOSE(FILTER('IGCSE 1A'!B:B, 'IGCSE 1A'!D:D=""A""))"),"Shukla Ananya")</f>
        <v>Shukla Ananya</v>
      </c>
      <c r="E11" s="209" t="str">
        <f>IFERROR(__xludf.DUMMYFUNCTION("""COMPUTED_VALUE"""),"Sangalapalli Likith")</f>
        <v>Sangalapalli Likith</v>
      </c>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1A'!D2:D21,"A~*")</f>
        <v>0</v>
      </c>
      <c r="D12" s="209" t="str">
        <f>IFERROR(__xludf.DUMMYFUNCTION("TRANSPOSE(FILTER('IGCSE 1A'!B:B, 'IGCSE 1A'!D:D=""A*""))"),"#N/A")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1A'!F2:F21,"U")</f>
        <v>1</v>
      </c>
      <c r="D15" s="209" t="str">
        <f>IFERROR(__xludf.DUMMYFUNCTION("TRANSPOSE(FILTER('IGCSE 1A'!B:B, 'IGCSE 1A'!F:F=""U""))"),"Sialwindi Chipego")</f>
        <v>Sialwindi Chipego</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1A'!F2:F21,"G")</f>
        <v>0</v>
      </c>
      <c r="D16" s="209" t="str">
        <f>IFERROR(__xludf.DUMMYFUNCTION("TRANSPOSE(FILTER('IGCSE 1A'!B:B, 'IGCSE 1A'!F:F=""G""))"),"#N/A")</f>
        <v>#N/A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1A'!F2:F21,"F")</f>
        <v>0</v>
      </c>
      <c r="D17" s="209" t="str">
        <f>IFERROR(__xludf.DUMMYFUNCTION("TRANSPOSE(FILTER('IGCSE 1A'!B:B, 'IGCSE 1A'!F:F=""F""))"),"#N/A")</f>
        <v>#N/A</v>
      </c>
      <c r="E17" s="209"/>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1A'!F2:F21,"E")</f>
        <v>4</v>
      </c>
      <c r="D18" s="209" t="str">
        <f>IFERROR(__xludf.DUMMYFUNCTION("TRANSPOSE(FILTER('IGCSE 1A'!B:B, 'IGCSE 1A'!F:F=""E""))"),"Romana Tembo Miracle")</f>
        <v>Romana Tembo Miracle</v>
      </c>
      <c r="E18" s="209" t="str">
        <f>IFERROR(__xludf.DUMMYFUNCTION("""COMPUTED_VALUE"""),"Chilufya Lisa")</f>
        <v>Chilufya Lisa</v>
      </c>
      <c r="F18" s="209" t="str">
        <f>IFERROR(__xludf.DUMMYFUNCTION("""COMPUTED_VALUE"""),"Kanchela Keturah")</f>
        <v>Kanchela Keturah</v>
      </c>
      <c r="G18" s="209" t="str">
        <f>IFERROR(__xludf.DUMMYFUNCTION("""COMPUTED_VALUE"""),"Blumears Malik")</f>
        <v>Blumears Malik</v>
      </c>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1A'!F2:F21,"D")</f>
        <v>6</v>
      </c>
      <c r="D19" s="209" t="str">
        <f>IFERROR(__xludf.DUMMYFUNCTION("TRANSPOSE(FILTER('IGCSE 1A'!B:B, 'IGCSE 1A'!F:F=""D""))"),"Phiri Tapewa")</f>
        <v>Phiri Tapewa</v>
      </c>
      <c r="E19" s="209" t="str">
        <f>IFERROR(__xludf.DUMMYFUNCTION("""COMPUTED_VALUE"""),"Kalala Percida")</f>
        <v>Kalala Percida</v>
      </c>
      <c r="F19" s="209" t="str">
        <f>IFERROR(__xludf.DUMMYFUNCTION("""COMPUTED_VALUE"""),"Nkunika Thobile")</f>
        <v>Nkunika Thobile</v>
      </c>
      <c r="G19" s="209" t="str">
        <f>IFERROR(__xludf.DUMMYFUNCTION("""COMPUTED_VALUE"""),"Muhamuud Shirhana")</f>
        <v>Muhamuud Shirhana</v>
      </c>
      <c r="H19" s="209" t="str">
        <f>IFERROR(__xludf.DUMMYFUNCTION("""COMPUTED_VALUE"""),"Lungwe Nancy")</f>
        <v>Lungwe Nancy</v>
      </c>
      <c r="I19" s="209" t="str">
        <f>IFERROR(__xludf.DUMMYFUNCTION("""COMPUTED_VALUE"""),"Chilambwe Sibongile")</f>
        <v>Chilambwe Sibongile</v>
      </c>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1A'!F2:F21,"C")</f>
        <v>2</v>
      </c>
      <c r="D20" s="209" t="str">
        <f>IFERROR(__xludf.DUMMYFUNCTION("TRANSPOSE(FILTER('IGCSE 1A'!B:B, 'IGCSE 1A'!F:F=""C""))"),"Muyangwa Namonda")</f>
        <v>Muyangwa Namonda</v>
      </c>
      <c r="E20" s="209" t="str">
        <f>IFERROR(__xludf.DUMMYFUNCTION("""COMPUTED_VALUE"""),"Nassour Israa")</f>
        <v>Nassour Israa</v>
      </c>
      <c r="F20" s="209"/>
      <c r="G20" s="209"/>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1A'!F2:F21,"B")</f>
        <v>5</v>
      </c>
      <c r="D21" s="209" t="str">
        <f>IFERROR(__xludf.DUMMYFUNCTION("TRANSPOSE(FILTER('IGCSE 1A'!B:B, 'IGCSE 1A'!F:F=""B""))"),"Shukla Ananya")</f>
        <v>Shukla Ananya</v>
      </c>
      <c r="E21" s="209" t="str">
        <f>IFERROR(__xludf.DUMMYFUNCTION("""COMPUTED_VALUE"""),"Mwamba Juanita")</f>
        <v>Mwamba Juanita</v>
      </c>
      <c r="F21" s="209" t="str">
        <f>IFERROR(__xludf.DUMMYFUNCTION("""COMPUTED_VALUE"""),"Swima Bacharie")</f>
        <v>Swima Bacharie</v>
      </c>
      <c r="G21" s="209" t="str">
        <f>IFERROR(__xludf.DUMMYFUNCTION("""COMPUTED_VALUE"""),"Saad Adam")</f>
        <v>Saad Adam</v>
      </c>
      <c r="H21" s="209" t="str">
        <f>IFERROR(__xludf.DUMMYFUNCTION("""COMPUTED_VALUE"""),"Taj Eshan")</f>
        <v>Taj Eshan</v>
      </c>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1A'!F2:F21,"A")</f>
        <v>2</v>
      </c>
      <c r="D22" s="209" t="str">
        <f>IFERROR(__xludf.DUMMYFUNCTION("TRANSPOSE(FILTER('IGCSE 1A'!B:B, 'IGCSE 1A'!F:F=""A""))"),"Silanda Zewelanji")</f>
        <v>Silanda Zewelanji</v>
      </c>
      <c r="E22" s="209" t="str">
        <f>IFERROR(__xludf.DUMMYFUNCTION("""COMPUTED_VALUE"""),"Sangalapalli Likith")</f>
        <v>Sangalapalli Likith</v>
      </c>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1A'!F2:F21,"A~*")</f>
        <v>0</v>
      </c>
      <c r="D23" s="209" t="str">
        <f>IFERROR(__xludf.DUMMYFUNCTION("TRANSPOSE(FILTER('IGCSE 1A'!B:B, 'IGCSE 1A'!F:F=""A*""))"),"#N/A")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1A'!H2:H30,"U")</f>
        <v>11</v>
      </c>
      <c r="D25" s="442" t="str">
        <f>IFERROR(__xludf.DUMMYFUNCTION("TRANSPOSE(FILTER('IGCSE 1A'!B:B, 'IGCSE 1A'!H:H=""U""))"),"Phiri Tapewa")</f>
        <v>Phiri Tapewa</v>
      </c>
      <c r="E25" s="209" t="str">
        <f>IFERROR(__xludf.DUMMYFUNCTION("""COMPUTED_VALUE"""),"Sialwindi Chipego")</f>
        <v>Sialwindi Chipego</v>
      </c>
      <c r="F25" s="209" t="str">
        <f>IFERROR(__xludf.DUMMYFUNCTION("""COMPUTED_VALUE"""),"Taj Eshan")</f>
        <v>Taj Eshan</v>
      </c>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COUNTIF('IGCSE 1A'!H2:H30,"G")</f>
        <v>0</v>
      </c>
      <c r="D26" s="443" t="str">
        <f>IFERROR(__xludf.DUMMYFUNCTION("TRANSPOSE(FILTER('IGCSE 1A'!B:B, 'IGCSE 1A'!H:H=""G""))"),"#N/A")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1A'!H2:H30,"F")</f>
        <v>0</v>
      </c>
      <c r="D27" s="443" t="str">
        <f>IFERROR(__xludf.DUMMYFUNCTION("TRANSPOSE(FILTER('IGCSE 1A'!B:B, 'IGCSE 1A'!H:H=""F""))"),"#N/A")</f>
        <v>#N/A</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1A'!H2:H30,"E")</f>
        <v>0</v>
      </c>
      <c r="D28" s="443" t="str">
        <f>IFERROR(__xludf.DUMMYFUNCTION("TRANSPOSE(FILTER('IGCSE 1A'!B:B, 'IGCSE 1A'!H:H=""E""))"),"#N/A")</f>
        <v>#N/A</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1A'!H2:H30,"D")</f>
        <v>4</v>
      </c>
      <c r="D29" s="443" t="str">
        <f>IFERROR(__xludf.DUMMYFUNCTION("TRANSPOSE(FILTER('IGCSE 1A'!B:B, 'IGCSE 1A'!H:H=""D""))"),"Romana Tembo Miracle")</f>
        <v>Romana Tembo Miracle</v>
      </c>
      <c r="E29" s="209" t="str">
        <f>IFERROR(__xludf.DUMMYFUNCTION("""COMPUTED_VALUE"""),"Kalala Percida")</f>
        <v>Kalala Percida</v>
      </c>
      <c r="F29" s="209" t="str">
        <f>IFERROR(__xludf.DUMMYFUNCTION("""COMPUTED_VALUE"""),"Kanchela Keturah")</f>
        <v>Kanchela Keturah</v>
      </c>
      <c r="G29" s="209" t="str">
        <f>IFERROR(__xludf.DUMMYFUNCTION("""COMPUTED_VALUE"""),"Chilambwe Sibongile")</f>
        <v>Chilambwe Sibongile</v>
      </c>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1A'!H2:H30,"C")</f>
        <v>3</v>
      </c>
      <c r="D30" s="443" t="str">
        <f>IFERROR(__xludf.DUMMYFUNCTION("TRANSPOSE(FILTER('IGCSE 1A'!B:B, 'IGCSE 1A'!H:H=""C""))"),"Nkunika Thobile")</f>
        <v>Nkunika Thobile</v>
      </c>
      <c r="E30" s="209" t="str">
        <f>IFERROR(__xludf.DUMMYFUNCTION("""COMPUTED_VALUE"""),"Muhamuud Shirhana")</f>
        <v>Muhamuud Shirhana</v>
      </c>
      <c r="F30" s="209" t="str">
        <f>IFERROR(__xludf.DUMMYFUNCTION("""COMPUTED_VALUE"""),"Blumears Malik")</f>
        <v>Blumears Malik</v>
      </c>
      <c r="G30" s="209"/>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1A'!H2:H30,"B")</f>
        <v>8</v>
      </c>
      <c r="D31" s="443" t="str">
        <f>IFERROR(__xludf.DUMMYFUNCTION("TRANSPOSE(FILTER('IGCSE 1A'!B:B, 'IGCSE 1A'!H:H=""B""))"),"Chilufya Lisa")</f>
        <v>Chilufya Lisa</v>
      </c>
      <c r="E31" s="209" t="str">
        <f>IFERROR(__xludf.DUMMYFUNCTION("""COMPUTED_VALUE"""),"Mwamba Juanita")</f>
        <v>Mwamba Juanita</v>
      </c>
      <c r="F31" s="209" t="str">
        <f>IFERROR(__xludf.DUMMYFUNCTION("""COMPUTED_VALUE"""),"Lungwe Nancy")</f>
        <v>Lungwe Nancy</v>
      </c>
      <c r="G31" s="209" t="str">
        <f>IFERROR(__xludf.DUMMYFUNCTION("""COMPUTED_VALUE"""),"Silanda Zewelanji")</f>
        <v>Silanda Zewelanji</v>
      </c>
      <c r="H31" s="209" t="str">
        <f>IFERROR(__xludf.DUMMYFUNCTION("""COMPUTED_VALUE"""),"Swima Bacharie")</f>
        <v>Swima Bacharie</v>
      </c>
      <c r="I31" s="209" t="str">
        <f>IFERROR(__xludf.DUMMYFUNCTION("""COMPUTED_VALUE"""),"Muyangwa Namonda")</f>
        <v>Muyangwa Namonda</v>
      </c>
      <c r="J31" s="209" t="str">
        <f>IFERROR(__xludf.DUMMYFUNCTION("""COMPUTED_VALUE"""),"Nassour Israa")</f>
        <v>Nassour Israa</v>
      </c>
      <c r="K31" s="209" t="str">
        <f>IFERROR(__xludf.DUMMYFUNCTION("""COMPUTED_VALUE"""),"Saad Adam")</f>
        <v>Saad Adam</v>
      </c>
      <c r="L31" s="209"/>
      <c r="M31" s="209"/>
      <c r="N31" s="209"/>
      <c r="O31" s="209"/>
      <c r="P31" s="209"/>
      <c r="Q31" s="209"/>
      <c r="R31" s="209"/>
      <c r="S31" s="209"/>
      <c r="T31" s="209"/>
      <c r="U31" s="209"/>
      <c r="V31" s="209"/>
      <c r="W31" s="209"/>
      <c r="X31" s="209"/>
      <c r="Y31" s="209"/>
      <c r="Z31" s="209"/>
      <c r="AA31" s="209"/>
    </row>
    <row r="32">
      <c r="A32" s="441"/>
      <c r="B32" s="440" t="s">
        <v>85</v>
      </c>
      <c r="C32" s="440">
        <f>COUNTIF('IGCSE 1A'!H2:H30,"A")</f>
        <v>1</v>
      </c>
      <c r="D32" s="443" t="str">
        <f>IFERROR(__xludf.DUMMYFUNCTION("TRANSPOSE(FILTER('IGCSE 1A'!B:B, 'IGCSE 1A'!H:H=""A""))"),"Sangalapalli Likith")</f>
        <v>Sangalapalli Likith</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1A'!H2:H30,"A~*")</f>
        <v>1</v>
      </c>
      <c r="D33" s="443" t="str">
        <f>IFERROR(__xludf.DUMMYFUNCTION("TRANSPOSE(FILTER('IGCSE 1A'!B:B, 'IGCSE 1A'!H:H=""A*""))"),"Shukla Ananya")</f>
        <v>Shukla Ananya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1A'!J2:J30,"U")</f>
        <v>8</v>
      </c>
      <c r="D35" s="442" t="str">
        <f>IFERROR(__xludf.DUMMYFUNCTION("TRANSPOSE(FILTER('IGCSE 1A'!B:B, 'IGCSE 1A'!J:J=""U""))"),"")</f>
        <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COUNTIF('IGCSE 1A'!J2:J30,"G")</f>
        <v>1</v>
      </c>
      <c r="D36" s="443" t="str">
        <f>IFERROR(__xludf.DUMMYFUNCTION("TRANSPOSE(FILTER('IGCSE 1A'!B:B, 'IGCSE 1A'!J:J=""G""))"),"Sialwindi Chipego")</f>
        <v>Sialwindi Chipego</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1A'!J2:J30,"F")</f>
        <v>3</v>
      </c>
      <c r="D37" s="443" t="str">
        <f>IFERROR(__xludf.DUMMYFUNCTION("TRANSPOSE(FILTER('IGCSE 1A'!B:B, 'IGCSE 1A'!J:J=""F""))"),"Phiri Tapewa")</f>
        <v>Phiri Tapewa</v>
      </c>
      <c r="E37" s="209" t="str">
        <f>IFERROR(__xludf.DUMMYFUNCTION("""COMPUTED_VALUE"""),"Nkunika Thobile")</f>
        <v>Nkunika Thobile</v>
      </c>
      <c r="F37" s="209" t="str">
        <f>IFERROR(__xludf.DUMMYFUNCTION("""COMPUTED_VALUE"""),"Kanchela Keturah")</f>
        <v>Kanchela Keturah</v>
      </c>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1A'!J2:J30,"E")</f>
        <v>5</v>
      </c>
      <c r="D38" s="443" t="str">
        <f>IFERROR(__xludf.DUMMYFUNCTION("TRANSPOSE(FILTER('IGCSE 1A'!B:B, 'IGCSE 1A'!J:J=""E""))"),"Romana Tembo Miracle")</f>
        <v>Romana Tembo Miracle</v>
      </c>
      <c r="E38" s="209" t="str">
        <f>IFERROR(__xludf.DUMMYFUNCTION("""COMPUTED_VALUE"""),"Chilufya Lisa")</f>
        <v>Chilufya Lisa</v>
      </c>
      <c r="F38" s="209" t="str">
        <f>IFERROR(__xludf.DUMMYFUNCTION("""COMPUTED_VALUE"""),"Muyangwa Namonda")</f>
        <v>Muyangwa Namonda</v>
      </c>
      <c r="G38" s="209" t="str">
        <f>IFERROR(__xludf.DUMMYFUNCTION("""COMPUTED_VALUE"""),"Nassour Israa")</f>
        <v>Nassour Israa</v>
      </c>
      <c r="H38" s="209" t="str">
        <f>IFERROR(__xludf.DUMMYFUNCTION("""COMPUTED_VALUE"""),"Blumears Malik")</f>
        <v>Blumears Malik</v>
      </c>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1A'!J2:J30,"D")</f>
        <v>4</v>
      </c>
      <c r="D39" s="443" t="str">
        <f>IFERROR(__xludf.DUMMYFUNCTION("TRANSPOSE(FILTER('IGCSE 1A'!B:B, 'IGCSE 1A'!J:J=""D""))"),"Muhamuud Shirhana")</f>
        <v>Muhamuud Shirhana</v>
      </c>
      <c r="E39" s="209" t="str">
        <f>IFERROR(__xludf.DUMMYFUNCTION("""COMPUTED_VALUE"""),"Swima Bacharie")</f>
        <v>Swima Bacharie</v>
      </c>
      <c r="F39" s="209" t="str">
        <f>IFERROR(__xludf.DUMMYFUNCTION("""COMPUTED_VALUE"""),"Saad Adam")</f>
        <v>Saad Adam</v>
      </c>
      <c r="G39" s="209" t="str">
        <f>IFERROR(__xludf.DUMMYFUNCTION("""COMPUTED_VALUE"""),"Chilambwe Sibongile")</f>
        <v>Chilambwe Sibongile</v>
      </c>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1A'!J2:J30,"C")</f>
        <v>2</v>
      </c>
      <c r="D40" s="443" t="str">
        <f>IFERROR(__xludf.DUMMYFUNCTION("TRANSPOSE(FILTER('IGCSE 1A'!B:B, 'IGCSE 1A'!J:J=""C""))"),"Kalala Percida")</f>
        <v>Kalala Percida</v>
      </c>
      <c r="E40" s="209" t="str">
        <f>IFERROR(__xludf.DUMMYFUNCTION("""COMPUTED_VALUE"""),"Silanda Zewelanji")</f>
        <v>Silanda Zewelanji</v>
      </c>
      <c r="F40" s="209"/>
      <c r="G40" s="209"/>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1A'!J2:J30,"B")</f>
        <v>4</v>
      </c>
      <c r="D41" s="443" t="str">
        <f>IFERROR(__xludf.DUMMYFUNCTION("TRANSPOSE(FILTER('IGCSE 1A'!B:B, 'IGCSE 1A'!J:J=""B""))"),"Mwamba Juanita")</f>
        <v>Mwamba Juanita</v>
      </c>
      <c r="E41" s="209" t="str">
        <f>IFERROR(__xludf.DUMMYFUNCTION("""COMPUTED_VALUE"""),"Lungwe Nancy")</f>
        <v>Lungwe Nancy</v>
      </c>
      <c r="F41" s="209" t="str">
        <f>IFERROR(__xludf.DUMMYFUNCTION("""COMPUTED_VALUE"""),"Sangalapalli Likith")</f>
        <v>Sangalapalli Likith</v>
      </c>
      <c r="G41" s="209" t="str">
        <f>IFERROR(__xludf.DUMMYFUNCTION("""COMPUTED_VALUE"""),"Taj Eshan")</f>
        <v>Taj Eshan</v>
      </c>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1A'!J2:J30,"A")</f>
        <v>1</v>
      </c>
      <c r="D42" s="443" t="str">
        <f>IFERROR(__xludf.DUMMYFUNCTION("TRANSPOSE(FILTER('IGCSE 1A'!B:B, 'IGCSE 1A'!J:J=""A""))"),"Shukla Ananya")</f>
        <v>Shukla Ananya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1A'!J2:J30,"A~*")</f>
        <v>0</v>
      </c>
      <c r="D43" s="443" t="str">
        <f>IFERROR(__xludf.DUMMYFUNCTION("TRANSPOSE(FILTER('IGCSE 1A'!B:B, 'IGCSE 1A'!J:J=""A*""))"),"#N/A")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1A'!T2:T30,"U")</f>
        <v>9</v>
      </c>
      <c r="D45" s="442" t="str">
        <f>IFERROR(__xludf.DUMMYFUNCTION("TRANSPOSE(FILTER('IGCSE 1A'!B:B, 'IGCSE 1A'!T:T=""U""))"),"Sialwindi Chipego")</f>
        <v>Sialwindi Chipego</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COUNTIF('IGCSE 1A'!T2:T30,"G")</f>
        <v>0</v>
      </c>
      <c r="D46" s="443" t="str">
        <f>IFERROR(__xludf.DUMMYFUNCTION("TRANSPOSE(FILTER('IGCSE 1A'!B:B, 'IGCSE 1A'!T:T=""G""))"),"#N/A")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1A'!T2:T30,"F")</f>
        <v>0</v>
      </c>
      <c r="D47" s="443" t="str">
        <f>IFERROR(__xludf.DUMMYFUNCTION("TRANSPOSE(FILTER('IGCSE 1A'!B:B, 'IGCSE 1A'!T:T=""F""))"),"#N/A")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1A'!T2:T30,"E")</f>
        <v>0</v>
      </c>
      <c r="D48" s="443" t="str">
        <f>IFERROR(__xludf.DUMMYFUNCTION("TRANSPOSE(FILTER('IGCSE 1A'!B:B, 'IGCSE 1A'!T:T=""E""))"),"#N/A")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1A'!T2:T30,"D")</f>
        <v>0</v>
      </c>
      <c r="D49" s="443" t="str">
        <f>IFERROR(__xludf.DUMMYFUNCTION("TRANSPOSE(FILTER('IGCSE 1A'!B:B, 'IGCSE 1A'!T:T=""D""))"),"#N/A")</f>
        <v>#N/A</v>
      </c>
      <c r="E49" s="209"/>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1A'!T2:T30,"C")</f>
        <v>3</v>
      </c>
      <c r="D50" s="443" t="str">
        <f>IFERROR(__xludf.DUMMYFUNCTION("TRANSPOSE(FILTER('IGCSE 1A'!B:B, 'IGCSE 1A'!T:T=""C""))"),"Phiri Tapewa")</f>
        <v>Phiri Tapewa</v>
      </c>
      <c r="E50" s="209" t="str">
        <f>IFERROR(__xludf.DUMMYFUNCTION("""COMPUTED_VALUE"""),"Nkunika Thobile")</f>
        <v>Nkunika Thobile</v>
      </c>
      <c r="F50" s="209" t="str">
        <f>IFERROR(__xludf.DUMMYFUNCTION("""COMPUTED_VALUE"""),"Kanchela Keturah")</f>
        <v>Kanchela Keturah</v>
      </c>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1A'!T2:T30,"B")</f>
        <v>6</v>
      </c>
      <c r="D51" s="443" t="str">
        <f>IFERROR(__xludf.DUMMYFUNCTION("TRANSPOSE(FILTER('IGCSE 1A'!B:B, 'IGCSE 1A'!T:T=""B""))"),"Romana Tembo Miracle")</f>
        <v>Romana Tembo Miracle</v>
      </c>
      <c r="E51" s="209" t="str">
        <f>IFERROR(__xludf.DUMMYFUNCTION("""COMPUTED_VALUE"""),"Chilufya Lisa")</f>
        <v>Chilufya Lisa</v>
      </c>
      <c r="F51" s="209" t="str">
        <f>IFERROR(__xludf.DUMMYFUNCTION("""COMPUTED_VALUE"""),"Muhamuud Shirhana")</f>
        <v>Muhamuud Shirhana</v>
      </c>
      <c r="G51" s="209" t="str">
        <f>IFERROR(__xludf.DUMMYFUNCTION("""COMPUTED_VALUE"""),"Nassour Israa")</f>
        <v>Nassour Israa</v>
      </c>
      <c r="H51" s="209" t="str">
        <f>IFERROR(__xludf.DUMMYFUNCTION("""COMPUTED_VALUE"""),"Saad Adam")</f>
        <v>Saad Adam</v>
      </c>
      <c r="I51" s="209" t="str">
        <f>IFERROR(__xludf.DUMMYFUNCTION("""COMPUTED_VALUE"""),"Chilambwe Sibongile")</f>
        <v>Chilambwe Sibongile</v>
      </c>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1A'!T2:T30,"A")</f>
        <v>7</v>
      </c>
      <c r="D52" s="443" t="str">
        <f>IFERROR(__xludf.DUMMYFUNCTION("TRANSPOSE(FILTER('IGCSE 1A'!B:B, 'IGCSE 1A'!T:T=""A""))"),"Kalala Percida")</f>
        <v>Kalala Percida</v>
      </c>
      <c r="E52" s="209" t="str">
        <f>IFERROR(__xludf.DUMMYFUNCTION("""COMPUTED_VALUE"""),"Shukla Ananya")</f>
        <v>Shukla Ananya</v>
      </c>
      <c r="F52" s="209" t="str">
        <f>IFERROR(__xludf.DUMMYFUNCTION("""COMPUTED_VALUE"""),"Mwamba Juanita")</f>
        <v>Mwamba Juanita</v>
      </c>
      <c r="G52" s="209" t="str">
        <f>IFERROR(__xludf.DUMMYFUNCTION("""COMPUTED_VALUE"""),"Lungwe Nancy")</f>
        <v>Lungwe Nancy</v>
      </c>
      <c r="H52" s="209" t="str">
        <f>IFERROR(__xludf.DUMMYFUNCTION("""COMPUTED_VALUE"""),"Swima Bacharie")</f>
        <v>Swima Bacharie</v>
      </c>
      <c r="I52" s="209" t="str">
        <f>IFERROR(__xludf.DUMMYFUNCTION("""COMPUTED_VALUE"""),"Muyangwa Namonda")</f>
        <v>Muyangwa Namonda</v>
      </c>
      <c r="J52" s="209" t="str">
        <f>IFERROR(__xludf.DUMMYFUNCTION("""COMPUTED_VALUE"""),"Blumears Malik")</f>
        <v>Blumears Malik</v>
      </c>
      <c r="K52" s="209"/>
      <c r="L52" s="209"/>
      <c r="M52" s="209"/>
      <c r="N52" s="209"/>
      <c r="O52" s="209"/>
      <c r="P52" s="209"/>
      <c r="Q52" s="209"/>
      <c r="R52" s="209"/>
      <c r="S52" s="209"/>
      <c r="T52" s="209"/>
      <c r="U52" s="209"/>
      <c r="V52" s="209"/>
      <c r="W52" s="209"/>
      <c r="X52" s="209"/>
      <c r="Y52" s="209"/>
      <c r="Z52" s="209"/>
      <c r="AA52" s="209"/>
    </row>
    <row r="53">
      <c r="A53" s="441"/>
      <c r="B53" s="440" t="s">
        <v>152</v>
      </c>
      <c r="C53" s="440">
        <f>COUNTIF('IGCSE 1A'!T2:T30,"A~*")</f>
        <v>3</v>
      </c>
      <c r="D53" s="443" t="str">
        <f>IFERROR(__xludf.DUMMYFUNCTION("TRANSPOSE(FILTER('IGCSE 1A'!B:B, 'IGCSE 1A'!T:T=""A*""))"),"Silanda Zewelanji")</f>
        <v>Silanda Zewelanji</v>
      </c>
      <c r="E53" s="209" t="str">
        <f>IFERROR(__xludf.DUMMYFUNCTION("""COMPUTED_VALUE"""),"Sangalapalli Likith")</f>
        <v>Sangalapalli Likith</v>
      </c>
      <c r="F53" s="209" t="str">
        <f>IFERROR(__xludf.DUMMYFUNCTION("""COMPUTED_VALUE"""),"Taj Eshan")</f>
        <v>Taj Eshan</v>
      </c>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1A'!N2:N30,"U")</f>
        <v>26</v>
      </c>
      <c r="D55" s="442" t="str">
        <f>IFERROR(__xludf.DUMMYFUNCTION("TRANSPOSE(FILTER('IGCSE 1A'!B:B, 'IGCSE 1A'!N:N=""U""))"),"Romana Tembo Miracle")</f>
        <v>Romana Tembo Miracle</v>
      </c>
      <c r="E55" s="209" t="str">
        <f>IFERROR(__xludf.DUMMYFUNCTION("""COMPUTED_VALUE"""),"Chilufya Lisa")</f>
        <v>Chilufya Lisa</v>
      </c>
      <c r="F55" s="209" t="str">
        <f>IFERROR(__xludf.DUMMYFUNCTION("""COMPUTED_VALUE"""),"Kalala Percida")</f>
        <v>Kalala Percida</v>
      </c>
      <c r="G55" s="209" t="str">
        <f>IFERROR(__xludf.DUMMYFUNCTION("""COMPUTED_VALUE"""),"Nkunika Thobile")</f>
        <v>Nkunika Thobile</v>
      </c>
      <c r="H55" s="209" t="str">
        <f>IFERROR(__xludf.DUMMYFUNCTION("""COMPUTED_VALUE"""),"Sialwindi Chipego")</f>
        <v>Sialwindi Chipego</v>
      </c>
      <c r="I55" s="209" t="str">
        <f>IFERROR(__xludf.DUMMYFUNCTION("""COMPUTED_VALUE"""),"Shukla Ananya")</f>
        <v>Shukla Ananya</v>
      </c>
      <c r="J55" s="209" t="str">
        <f>IFERROR(__xludf.DUMMYFUNCTION("""COMPUTED_VALUE"""),"Mwamba Juanita")</f>
        <v>Mwamba Juanita</v>
      </c>
      <c r="K55" s="209" t="str">
        <f>IFERROR(__xludf.DUMMYFUNCTION("""COMPUTED_VALUE"""),"Kanchela Keturah")</f>
        <v>Kanchela Keturah</v>
      </c>
      <c r="L55" s="209" t="str">
        <f>IFERROR(__xludf.DUMMYFUNCTION("""COMPUTED_VALUE"""),"Muhamuud Shirhana")</f>
        <v>Muhamuud Shirhana</v>
      </c>
      <c r="M55" s="209" t="str">
        <f>IFERROR(__xludf.DUMMYFUNCTION("""COMPUTED_VALUE"""),"Lungwe Nancy")</f>
        <v>Lungwe Nancy</v>
      </c>
      <c r="N55" s="209" t="str">
        <f>IFERROR(__xludf.DUMMYFUNCTION("""COMPUTED_VALUE"""),"Silanda Zewelanji")</f>
        <v>Silanda Zewelanji</v>
      </c>
      <c r="O55" s="209" t="str">
        <f>IFERROR(__xludf.DUMMYFUNCTION("""COMPUTED_VALUE"""),"Sangalapalli Likith")</f>
        <v>Sangalapalli Likith</v>
      </c>
      <c r="P55" s="209" t="str">
        <f>IFERROR(__xludf.DUMMYFUNCTION("""COMPUTED_VALUE"""),"Swima Bacharie")</f>
        <v>Swima Bacharie</v>
      </c>
      <c r="Q55" s="209" t="str">
        <f>IFERROR(__xludf.DUMMYFUNCTION("""COMPUTED_VALUE"""),"Muyangwa Namonda")</f>
        <v>Muyangwa Namonda</v>
      </c>
      <c r="R55" s="209" t="str">
        <f>IFERROR(__xludf.DUMMYFUNCTION("""COMPUTED_VALUE"""),"Nassour Israa")</f>
        <v>Nassour Israa</v>
      </c>
      <c r="S55" s="209" t="str">
        <f>IFERROR(__xludf.DUMMYFUNCTION("""COMPUTED_VALUE"""),"Saad Adam")</f>
        <v>Saad Adam</v>
      </c>
      <c r="T55" s="209" t="str">
        <f>IFERROR(__xludf.DUMMYFUNCTION("""COMPUTED_VALUE"""),"Blumears Malik")</f>
        <v>Blumears Malik</v>
      </c>
      <c r="U55" s="209" t="str">
        <f>IFERROR(__xludf.DUMMYFUNCTION("""COMPUTED_VALUE"""),"Chilambwe Sibongile")</f>
        <v>Chilambwe Sibongile</v>
      </c>
      <c r="V55" s="209"/>
      <c r="W55" s="209"/>
      <c r="X55" s="209"/>
      <c r="Y55" s="209"/>
      <c r="Z55" s="209"/>
      <c r="AA55" s="209"/>
      <c r="AB55" s="444"/>
      <c r="AC55" s="444"/>
    </row>
    <row r="56">
      <c r="A56" s="441"/>
      <c r="B56" s="440" t="s">
        <v>142</v>
      </c>
      <c r="C56" s="440">
        <f>COUNTIF('IGCSE 1A'!N2:N30,"G")</f>
        <v>0</v>
      </c>
      <c r="D56" s="443" t="str">
        <f>IFERROR(__xludf.DUMMYFUNCTION("TRANSPOSE(FILTER('IGCSE 1A'!B:B, 'IGCSE 1A'!N:N=""G""))"),"#N/A")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1A'!N2:N30,"F")</f>
        <v>0</v>
      </c>
      <c r="D57" s="443" t="str">
        <f>IFERROR(__xludf.DUMMYFUNCTION("TRANSPOSE(FILTER('IGCSE 1A'!B:B, 'IGCSE 1A'!N:N=""F""))"),"#N/A")</f>
        <v>#N/A</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1A'!N2:N30,"E")</f>
        <v>0</v>
      </c>
      <c r="D58" s="443" t="str">
        <f>IFERROR(__xludf.DUMMYFUNCTION("TRANSPOSE(FILTER('IGCSE 1A'!B:B, 'IGCSE 1A'!N:N=""E""))"),"#N/A")</f>
        <v>#N/A</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COUNTIF('IGCSE 1A'!N2:N30,"D")</f>
        <v>0</v>
      </c>
      <c r="D59" s="443" t="str">
        <f>IFERROR(__xludf.DUMMYFUNCTION("TRANSPOSE(FILTER('IGCSE 1A'!B:B, 'IGCSE 1A'!N:N=""D""))"),"#N/A")</f>
        <v>#N/A</v>
      </c>
      <c r="E59" s="209"/>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1A'!N2:N30,"C")</f>
        <v>2</v>
      </c>
      <c r="D60" s="443" t="str">
        <f>IFERROR(__xludf.DUMMYFUNCTION("TRANSPOSE(FILTER('IGCSE 1A'!B:B, 'IGCSE 1A'!N:N=""C""))"),"Phiri Tapewa")</f>
        <v>Phiri Tapewa</v>
      </c>
      <c r="E60" s="209" t="str">
        <f>IFERROR(__xludf.DUMMYFUNCTION("""COMPUTED_VALUE"""),"Taj Eshan")</f>
        <v>Taj Eshan</v>
      </c>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1A'!N2:N30,"B")</f>
        <v>0</v>
      </c>
      <c r="D61" s="443" t="str">
        <f>IFERROR(__xludf.DUMMYFUNCTION("TRANSPOSE(FILTER('IGCSE 1A'!B:B, 'IGCSE 1A'!N:N=""B""))"),"#N/A")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1A'!N2:N30,"A")</f>
        <v>0</v>
      </c>
      <c r="D62" s="443" t="str">
        <f>IFERROR(__xludf.DUMMYFUNCTION("TRANSPOSE(FILTER('IGCSE 1A'!B:B, 'IGCSE 1A'!N:N=""A""))"),"#N/A")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1A'!N2:N30,"A~*")</f>
        <v>0</v>
      </c>
      <c r="D63" s="443" t="str">
        <f>IFERROR(__xludf.DUMMYFUNCTION("TRANSPOSE(FILTER('IGCSE 1A'!B:B, 'IGCSE 1A'!N:N=""A*""))"),"#N/A")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1A'!R2:R30,"U")</f>
        <v>21</v>
      </c>
      <c r="D65" s="442" t="str">
        <f>IFERROR(__xludf.DUMMYFUNCTION("TRANSPOSE(FILTER('IGCSE 1A'!B:B, 'IGCSE 1A'!R:R=""U""))"),"Romana Tembo Miracle")</f>
        <v>Romana Tembo Miracle</v>
      </c>
      <c r="E65" s="209" t="str">
        <f>IFERROR(__xludf.DUMMYFUNCTION("""COMPUTED_VALUE"""),"Chilufya Lisa")</f>
        <v>Chilufya Lisa</v>
      </c>
      <c r="F65" s="209" t="str">
        <f>IFERROR(__xludf.DUMMYFUNCTION("""COMPUTED_VALUE"""),"Kalala Percida")</f>
        <v>Kalala Percida</v>
      </c>
      <c r="G65" s="209" t="str">
        <f>IFERROR(__xludf.DUMMYFUNCTION("""COMPUTED_VALUE"""),"Nkunika Thobile")</f>
        <v>Nkunika Thobile</v>
      </c>
      <c r="H65" s="209" t="str">
        <f>IFERROR(__xludf.DUMMYFUNCTION("""COMPUTED_VALUE"""),"Sialwindi Chipego")</f>
        <v>Sialwindi Chipego</v>
      </c>
      <c r="I65" s="209" t="str">
        <f>IFERROR(__xludf.DUMMYFUNCTION("""COMPUTED_VALUE"""),"Kanchela Keturah")</f>
        <v>Kanchela Keturah</v>
      </c>
      <c r="J65" s="209" t="str">
        <f>IFERROR(__xludf.DUMMYFUNCTION("""COMPUTED_VALUE"""),"Lungwe Nancy")</f>
        <v>Lungwe Nancy</v>
      </c>
      <c r="K65" s="209" t="str">
        <f>IFERROR(__xludf.DUMMYFUNCTION("""COMPUTED_VALUE"""),"Silanda Zewelanji")</f>
        <v>Silanda Zewelanji</v>
      </c>
      <c r="L65" s="209" t="str">
        <f>IFERROR(__xludf.DUMMYFUNCTION("""COMPUTED_VALUE"""),"Muyangwa Namonda")</f>
        <v>Muyangwa Namonda</v>
      </c>
      <c r="M65" s="209" t="str">
        <f>IFERROR(__xludf.DUMMYFUNCTION("""COMPUTED_VALUE"""),"Nassour Israa")</f>
        <v>Nassour Israa</v>
      </c>
      <c r="N65" s="209" t="str">
        <f>IFERROR(__xludf.DUMMYFUNCTION("""COMPUTED_VALUE"""),"Saad Adam")</f>
        <v>Saad Adam</v>
      </c>
      <c r="O65" s="209" t="str">
        <f>IFERROR(__xludf.DUMMYFUNCTION("""COMPUTED_VALUE"""),"Blumears Malik")</f>
        <v>Blumears Malik</v>
      </c>
      <c r="P65" s="209" t="str">
        <f>IFERROR(__xludf.DUMMYFUNCTION("""COMPUTED_VALUE"""),"Chilambwe Sibongile")</f>
        <v>Chilambwe Sibongile</v>
      </c>
      <c r="Q65" s="209"/>
      <c r="R65" s="209"/>
      <c r="S65" s="209"/>
      <c r="T65" s="209"/>
      <c r="U65" s="209"/>
      <c r="V65" s="209"/>
      <c r="W65" s="209"/>
      <c r="X65" s="209"/>
      <c r="Y65" s="209"/>
      <c r="Z65" s="209"/>
      <c r="AA65" s="209"/>
    </row>
    <row r="66">
      <c r="A66" s="441"/>
      <c r="B66" s="440" t="s">
        <v>142</v>
      </c>
      <c r="C66" s="440">
        <f>COUNTIF('IGCSE 1A'!R2:R30,"G")</f>
        <v>0</v>
      </c>
      <c r="D66" s="443" t="str">
        <f>IFERROR(__xludf.DUMMYFUNCTION("TRANSPOSE(FILTER('IGCSE 1A'!B:B, 'IGCSE 1A'!R:R=""G""))"),"#N/A")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1A'!R2:R30,"F")</f>
        <v>0</v>
      </c>
      <c r="D67" s="443" t="str">
        <f>IFERROR(__xludf.DUMMYFUNCTION("TRANSPOSE(FILTER('IGCSE 1A'!B:B, 'IGCSE 1A'!R:R=""F""))"),"#N/A")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1A'!R2:R30,"E")</f>
        <v>1</v>
      </c>
      <c r="D68" s="443" t="str">
        <f>IFERROR(__xludf.DUMMYFUNCTION("TRANSPOSE(FILTER('IGCSE 1A'!B:B, 'IGCSE 1A'!R:R=""E""))"),"Phiri Tapewa")</f>
        <v>Phiri Tapewa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1A'!R2:R30,"D")</f>
        <v>4</v>
      </c>
      <c r="D69" s="443" t="str">
        <f>IFERROR(__xludf.DUMMYFUNCTION("TRANSPOSE(FILTER('IGCSE 1A'!B:B, 'IGCSE 1A'!R:R=""D""))"),"Mwamba Juanita")</f>
        <v>Mwamba Juanita</v>
      </c>
      <c r="E69" s="209" t="str">
        <f>IFERROR(__xludf.DUMMYFUNCTION("""COMPUTED_VALUE"""),"Muhamuud Shirhana")</f>
        <v>Muhamuud Shirhana</v>
      </c>
      <c r="F69" s="209" t="str">
        <f>IFERROR(__xludf.DUMMYFUNCTION("""COMPUTED_VALUE"""),"Swima Bacharie")</f>
        <v>Swima Bacharie</v>
      </c>
      <c r="G69" s="209" t="str">
        <f>IFERROR(__xludf.DUMMYFUNCTION("""COMPUTED_VALUE"""),"Taj Eshan")</f>
        <v>Taj Eshan</v>
      </c>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1A'!R2:R30,"C")</f>
        <v>0</v>
      </c>
      <c r="D70" s="443" t="str">
        <f>IFERROR(__xludf.DUMMYFUNCTION("TRANSPOSE(FILTER('IGCSE 1A'!B:B, 'IGCSE 1A'!R:R=""C""))"),"#N/A")</f>
        <v>#N/A</v>
      </c>
      <c r="E70" s="209"/>
      <c r="F70" s="209"/>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1A'!R2:R30,"B")</f>
        <v>0</v>
      </c>
      <c r="D71" s="443" t="str">
        <f>IFERROR(__xludf.DUMMYFUNCTION("TRANSPOSE(FILTER('IGCSE 1A'!B:B, 'IGCSE 1A'!R:R=""B""))"),"#N/A")</f>
        <v>#N/A</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1A'!R2:R30,"A")</f>
        <v>1</v>
      </c>
      <c r="D72" s="443" t="str">
        <f>IFERROR(__xludf.DUMMYFUNCTION("TRANSPOSE(FILTER('IGCSE 1A'!B:B, 'IGCSE 1A'!R:R=""A""))"),"Sangalapalli Likith")</f>
        <v>Sangalapalli Likith</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1A'!R2:R30,"A~*")</f>
        <v>1</v>
      </c>
      <c r="D73" s="443" t="str">
        <f>IFERROR(__xludf.DUMMYFUNCTION("TRANSPOSE(FILTER('IGCSE 1A'!B:B, 'IGCSE 1A'!R:R=""A*""))"),"Shukla Ananya")</f>
        <v>Shukla Ananya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1A'!L2:L30,"U")</f>
        <v>25</v>
      </c>
      <c r="D75" s="442" t="str">
        <f>IFERROR(__xludf.DUMMYFUNCTION("TRANSPOSE(FILTER('IGCSE 1A'!B:B, 'IGCSE 1A'!L:L=""U""))"),"Phiri Tapewa")</f>
        <v>Phiri Tapewa</v>
      </c>
      <c r="E75" s="209" t="str">
        <f>IFERROR(__xludf.DUMMYFUNCTION("""COMPUTED_VALUE"""),"Romana Tembo Miracle")</f>
        <v>Romana Tembo Miracle</v>
      </c>
      <c r="F75" s="209" t="str">
        <f>IFERROR(__xludf.DUMMYFUNCTION("""COMPUTED_VALUE"""),"Chilufya Lisa")</f>
        <v>Chilufya Lisa</v>
      </c>
      <c r="G75" s="209" t="str">
        <f>IFERROR(__xludf.DUMMYFUNCTION("""COMPUTED_VALUE"""),"Kalala Percida")</f>
        <v>Kalala Percida</v>
      </c>
      <c r="H75" s="209" t="str">
        <f>IFERROR(__xludf.DUMMYFUNCTION("""COMPUTED_VALUE"""),"Nkunika Thobile")</f>
        <v>Nkunika Thobile</v>
      </c>
      <c r="I75" s="209" t="str">
        <f>IFERROR(__xludf.DUMMYFUNCTION("""COMPUTED_VALUE"""),"Sialwindi Chipego")</f>
        <v>Sialwindi Chipego</v>
      </c>
      <c r="J75" s="209" t="str">
        <f>IFERROR(__xludf.DUMMYFUNCTION("""COMPUTED_VALUE"""),"Shukla Ananya")</f>
        <v>Shukla Ananya</v>
      </c>
      <c r="K75" s="209" t="str">
        <f>IFERROR(__xludf.DUMMYFUNCTION("""COMPUTED_VALUE"""),"Kanchela Keturah")</f>
        <v>Kanchela Keturah</v>
      </c>
      <c r="L75" s="209" t="str">
        <f>IFERROR(__xludf.DUMMYFUNCTION("""COMPUTED_VALUE"""),"Muhamuud Shirhana")</f>
        <v>Muhamuud Shirhana</v>
      </c>
      <c r="M75" s="209" t="str">
        <f>IFERROR(__xludf.DUMMYFUNCTION("""COMPUTED_VALUE"""),"Lungwe Nancy")</f>
        <v>Lungwe Nancy</v>
      </c>
      <c r="N75" s="209" t="str">
        <f>IFERROR(__xludf.DUMMYFUNCTION("""COMPUTED_VALUE"""),"Silanda Zewelanji")</f>
        <v>Silanda Zewelanji</v>
      </c>
      <c r="O75" s="209" t="str">
        <f>IFERROR(__xludf.DUMMYFUNCTION("""COMPUTED_VALUE"""),"Muyangwa Namonda")</f>
        <v>Muyangwa Namonda</v>
      </c>
      <c r="P75" s="209" t="str">
        <f>IFERROR(__xludf.DUMMYFUNCTION("""COMPUTED_VALUE"""),"Nassour Israa")</f>
        <v>Nassour Israa</v>
      </c>
      <c r="Q75" s="209" t="str">
        <f>IFERROR(__xludf.DUMMYFUNCTION("""COMPUTED_VALUE"""),"Saad Adam")</f>
        <v>Saad Adam</v>
      </c>
      <c r="R75" s="209" t="str">
        <f>IFERROR(__xludf.DUMMYFUNCTION("""COMPUTED_VALUE"""),"Taj Eshan")</f>
        <v>Taj Eshan</v>
      </c>
      <c r="S75" s="209" t="str">
        <f>IFERROR(__xludf.DUMMYFUNCTION("""COMPUTED_VALUE"""),"Blumears Malik")</f>
        <v>Blumears Malik</v>
      </c>
      <c r="T75" s="209" t="str">
        <f>IFERROR(__xludf.DUMMYFUNCTION("""COMPUTED_VALUE"""),"Chilambwe Sibongile")</f>
        <v>Chilambwe Sibongile</v>
      </c>
      <c r="U75" s="209"/>
      <c r="V75" s="209"/>
      <c r="W75" s="209"/>
      <c r="X75" s="209"/>
      <c r="Y75" s="209"/>
      <c r="Z75" s="209"/>
      <c r="AA75" s="209"/>
      <c r="AB75" s="444"/>
    </row>
    <row r="76">
      <c r="A76" s="441"/>
      <c r="B76" s="440" t="s">
        <v>142</v>
      </c>
      <c r="C76" s="440">
        <f>COUNTIF('IGCSE 1A'!L2:L30,"G")</f>
        <v>0</v>
      </c>
      <c r="D76" s="443" t="str">
        <f>IFERROR(__xludf.DUMMYFUNCTION("TRANSPOSE(FILTER('IGCSE 1A'!B:B, 'IGCSE 1A'!L:L=""G""))"),"#N/A")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1A'!L2:L30,"F")</f>
        <v>0</v>
      </c>
      <c r="D77" s="443" t="str">
        <f>IFERROR(__xludf.DUMMYFUNCTION("TRANSPOSE(FILTER('IGCSE 1A'!B:B, 'IGCSE 1A'!L:L=""F""))"),"#N/A")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1A'!L2:L30,"E")</f>
        <v>0</v>
      </c>
      <c r="D78" s="443" t="str">
        <f>IFERROR(__xludf.DUMMYFUNCTION("TRANSPOSE(FILTER('IGCSE 1A'!B:B, 'IGCSE 1A'!L:L=""E""))"),"#N/A")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1A'!L2:L30,"D")</f>
        <v>0</v>
      </c>
      <c r="D79" s="443" t="str">
        <f>IFERROR(__xludf.DUMMYFUNCTION("TRANSPOSE(FILTER('IGCSE 1A'!B:B, 'IGCSE 1A'!L:L=""D""))"),"#N/A")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1A'!L2:L30,"C")</f>
        <v>0</v>
      </c>
      <c r="D80" s="443" t="str">
        <f>IFERROR(__xludf.DUMMYFUNCTION("TRANSPOSE(FILTER('IGCSE 1A'!B:B, 'IGCSE 1A'!L:L=""C""))"),"#N/A")</f>
        <v>#N/A</v>
      </c>
      <c r="E80" s="209"/>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1A'!L2:L30,"B")</f>
        <v>1</v>
      </c>
      <c r="D81" s="443" t="str">
        <f>IFERROR(__xludf.DUMMYFUNCTION("TRANSPOSE(FILTER('IGCSE 1A'!B:B, 'IGCSE 1A'!L:L=""B""))"),"Sangalapalli Likith")</f>
        <v>Sangalapalli Likith</v>
      </c>
      <c r="E81" s="209"/>
      <c r="F81" s="209"/>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1A'!L2:L30,"A")</f>
        <v>0</v>
      </c>
      <c r="D82" s="443" t="str">
        <f>IFERROR(__xludf.DUMMYFUNCTION("TRANSPOSE(FILTER('IGCSE 1A'!B:B, 'IGCSE 1A'!L:L=""A""))"),"#N/A")</f>
        <v>#N/A</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1A'!L2:L30,"A~*")</f>
        <v>2</v>
      </c>
      <c r="D83" s="443" t="str">
        <f>IFERROR(__xludf.DUMMYFUNCTION("TRANSPOSE(FILTER('IGCSE 1A'!B:B, 'IGCSE 1A'!L:L=""A*""))"),"Mwamba Juanita")</f>
        <v>Mwamba Juanita</v>
      </c>
      <c r="E83" s="209" t="str">
        <f>IFERROR(__xludf.DUMMYFUNCTION("""COMPUTED_VALUE"""),"Swima Bacharie")</f>
        <v>Swima Bacharie</v>
      </c>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1A'!V2:V30,"U")</f>
        <v>16</v>
      </c>
      <c r="D85" s="442" t="str">
        <f>IFERROR(__xludf.DUMMYFUNCTION("TRANSPOSE(FILTER('IGCSE 1A'!B:B, 'IGCSE 1A'!V:V=""U""))"),"Phiri Tapewa")</f>
        <v>Phiri Tapewa</v>
      </c>
      <c r="E85" s="209" t="str">
        <f>IFERROR(__xludf.DUMMYFUNCTION("""COMPUTED_VALUE"""),"Sialwindi Chipego")</f>
        <v>Sialwindi Chipego</v>
      </c>
      <c r="F85" s="209" t="str">
        <f>IFERROR(__xludf.DUMMYFUNCTION("""COMPUTED_VALUE"""),"Shukla Ananya")</f>
        <v>Shukla Ananya</v>
      </c>
      <c r="G85" s="209" t="str">
        <f>IFERROR(__xludf.DUMMYFUNCTION("""COMPUTED_VALUE"""),"Mwamba Juanita")</f>
        <v>Mwamba Juanita</v>
      </c>
      <c r="H85" s="209" t="str">
        <f>IFERROR(__xludf.DUMMYFUNCTION("""COMPUTED_VALUE"""),"Muhamuud Shirhana")</f>
        <v>Muhamuud Shirhana</v>
      </c>
      <c r="I85" s="209" t="str">
        <f>IFERROR(__xludf.DUMMYFUNCTION("""COMPUTED_VALUE"""),"Sangalapalli Likith")</f>
        <v>Sangalapalli Likith</v>
      </c>
      <c r="J85" s="209" t="str">
        <f>IFERROR(__xludf.DUMMYFUNCTION("""COMPUTED_VALUE"""),"Swima Bacharie")</f>
        <v>Swima Bacharie</v>
      </c>
      <c r="K85" s="209" t="str">
        <f>IFERROR(__xludf.DUMMYFUNCTION("""COMPUTED_VALUE"""),"Taj Eshan")</f>
        <v>Taj Eshan</v>
      </c>
      <c r="L85" s="209"/>
      <c r="M85" s="209"/>
      <c r="N85" s="209"/>
      <c r="O85" s="209"/>
      <c r="P85" s="209"/>
      <c r="Q85" s="209"/>
      <c r="R85" s="209"/>
      <c r="S85" s="209"/>
      <c r="T85" s="209"/>
      <c r="U85" s="209"/>
      <c r="V85" s="209"/>
      <c r="W85" s="209"/>
      <c r="X85" s="209"/>
      <c r="Y85" s="209"/>
      <c r="Z85" s="209"/>
      <c r="AA85" s="209"/>
    </row>
    <row r="86">
      <c r="A86" s="441"/>
      <c r="B86" s="440" t="s">
        <v>142</v>
      </c>
      <c r="C86" s="440">
        <f>COUNTIF('IGCSE 1A'!V2:V30,"G")</f>
        <v>0</v>
      </c>
      <c r="D86" s="443" t="str">
        <f>IFERROR(__xludf.DUMMYFUNCTION("TRANSPOSE(FILTER('IGCSE 1A'!B:B, 'IGCSE 1A'!V:V=""G""))"),"#N/A")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1A'!V2:V30,"F")</f>
        <v>0</v>
      </c>
      <c r="D87" s="443" t="str">
        <f>IFERROR(__xludf.DUMMYFUNCTION("TRANSPOSE(FILTER('IGCSE 1A'!B:B, 'IGCSE 1A'!V:V=""F""))"),"#N/A")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1A'!V2:V30,"E")</f>
        <v>2</v>
      </c>
      <c r="D88" s="443" t="str">
        <f>IFERROR(__xludf.DUMMYFUNCTION("TRANSPOSE(FILTER('IGCSE 1A'!B:B, 'IGCSE 1A'!V:V=""E""))"),"Romana Tembo Miracle")</f>
        <v>Romana Tembo Miracle</v>
      </c>
      <c r="E88" s="209" t="str">
        <f>IFERROR(__xludf.DUMMYFUNCTION("""COMPUTED_VALUE"""),"Muyangwa Namonda")</f>
        <v>Muyangwa Namonda</v>
      </c>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1A'!V2:V30,"D")</f>
        <v>4</v>
      </c>
      <c r="D89" s="443" t="str">
        <f>IFERROR(__xludf.DUMMYFUNCTION("TRANSPOSE(FILTER('IGCSE 1A'!B:B, 'IGCSE 1A'!V:V=""D""))"),"Kalala Percida")</f>
        <v>Kalala Percida</v>
      </c>
      <c r="E89" s="209" t="str">
        <f>IFERROR(__xludf.DUMMYFUNCTION("""COMPUTED_VALUE"""),"Kanchela Keturah")</f>
        <v>Kanchela Keturah</v>
      </c>
      <c r="F89" s="209" t="str">
        <f>IFERROR(__xludf.DUMMYFUNCTION("""COMPUTED_VALUE"""),"Lungwe Nancy")</f>
        <v>Lungwe Nancy</v>
      </c>
      <c r="G89" s="209" t="str">
        <f>IFERROR(__xludf.DUMMYFUNCTION("""COMPUTED_VALUE"""),"Chilambwe Sibongile")</f>
        <v>Chilambwe Sibongile</v>
      </c>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1A'!V2:V30,"C")</f>
        <v>3</v>
      </c>
      <c r="D90" s="443" t="str">
        <f>IFERROR(__xludf.DUMMYFUNCTION("TRANSPOSE(FILTER('IGCSE 1A'!B:B, 'IGCSE 1A'!V:V=""C""))"),"Chilufya Lisa")</f>
        <v>Chilufya Lisa</v>
      </c>
      <c r="E90" s="209" t="str">
        <f>IFERROR(__xludf.DUMMYFUNCTION("""COMPUTED_VALUE"""),"Nkunika Thobile")</f>
        <v>Nkunika Thobile</v>
      </c>
      <c r="F90" s="209" t="str">
        <f>IFERROR(__xludf.DUMMYFUNCTION("""COMPUTED_VALUE"""),"Blumears Malik")</f>
        <v>Blumears Malik</v>
      </c>
      <c r="G90" s="209"/>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1A'!V2:V30,"B")</f>
        <v>2</v>
      </c>
      <c r="D91" s="443" t="str">
        <f>IFERROR(__xludf.DUMMYFUNCTION("TRANSPOSE(FILTER('IGCSE 1A'!B:B, 'IGCSE 1A'!V:V=""B""))"),"Nassour Israa")</f>
        <v>Nassour Israa</v>
      </c>
      <c r="E91" s="209" t="str">
        <f>IFERROR(__xludf.DUMMYFUNCTION("""COMPUTED_VALUE"""),"Saad Adam")</f>
        <v>Saad Adam</v>
      </c>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1A'!V2:V30,"A")</f>
        <v>1</v>
      </c>
      <c r="D92" s="443" t="str">
        <f>IFERROR(__xludf.DUMMYFUNCTION("TRANSPOSE(FILTER('IGCSE 1A'!B:B, 'IGCSE 1A'!V:V=""A""))"),"Silanda Zewelanji")</f>
        <v>Silanda Zewelanji</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1A'!V2:V30,"A~*")</f>
        <v>0</v>
      </c>
      <c r="D93" s="443" t="str">
        <f>IFERROR(__xludf.DUMMYFUNCTION("TRANSPOSE(FILTER('IGCSE 1A'!B:B, 'IGCSE 1A'!V:V=""A*""))"),"#N/A")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1A'!P2:P30,"U")</f>
        <v>28</v>
      </c>
      <c r="D95" s="442" t="str">
        <f>IFERROR(__xludf.DUMMYFUNCTION("TRANSPOSE(FILTER('IGCSE 1A'!B:B, 'IGCSE 1A'!P:P=""U""))"),"Phiri Tapewa")</f>
        <v>Phiri Tapewa</v>
      </c>
      <c r="E95" s="209" t="str">
        <f>IFERROR(__xludf.DUMMYFUNCTION("""COMPUTED_VALUE"""),"Romana Tembo Miracle")</f>
        <v>Romana Tembo Miracle</v>
      </c>
      <c r="F95" s="209" t="str">
        <f>IFERROR(__xludf.DUMMYFUNCTION("""COMPUTED_VALUE"""),"Chilufya Lisa")</f>
        <v>Chilufya Lisa</v>
      </c>
      <c r="G95" s="209" t="str">
        <f>IFERROR(__xludf.DUMMYFUNCTION("""COMPUTED_VALUE"""),"Kalala Percida")</f>
        <v>Kalala Percida</v>
      </c>
      <c r="H95" s="209" t="str">
        <f>IFERROR(__xludf.DUMMYFUNCTION("""COMPUTED_VALUE"""),"Nkunika Thobile")</f>
        <v>Nkunika Thobile</v>
      </c>
      <c r="I95" s="209" t="str">
        <f>IFERROR(__xludf.DUMMYFUNCTION("""COMPUTED_VALUE"""),"Sialwindi Chipego")</f>
        <v>Sialwindi Chipego</v>
      </c>
      <c r="J95" s="209" t="str">
        <f>IFERROR(__xludf.DUMMYFUNCTION("""COMPUTED_VALUE"""),"Shukla Ananya")</f>
        <v>Shukla Ananya</v>
      </c>
      <c r="K95" s="209" t="str">
        <f>IFERROR(__xludf.DUMMYFUNCTION("""COMPUTED_VALUE"""),"Mwamba Juanita")</f>
        <v>Mwamba Juanita</v>
      </c>
      <c r="L95" s="209" t="str">
        <f>IFERROR(__xludf.DUMMYFUNCTION("""COMPUTED_VALUE"""),"Kanchela Keturah")</f>
        <v>Kanchela Keturah</v>
      </c>
      <c r="M95" s="209" t="str">
        <f>IFERROR(__xludf.DUMMYFUNCTION("""COMPUTED_VALUE"""),"Muhamuud Shirhana")</f>
        <v>Muhamuud Shirhana</v>
      </c>
      <c r="N95" s="209" t="str">
        <f>IFERROR(__xludf.DUMMYFUNCTION("""COMPUTED_VALUE"""),"Lungwe Nancy")</f>
        <v>Lungwe Nancy</v>
      </c>
      <c r="O95" s="209" t="str">
        <f>IFERROR(__xludf.DUMMYFUNCTION("""COMPUTED_VALUE"""),"Silanda Zewelanji")</f>
        <v>Silanda Zewelanji</v>
      </c>
      <c r="P95" s="209" t="str">
        <f>IFERROR(__xludf.DUMMYFUNCTION("""COMPUTED_VALUE"""),"Sangalapalli Likith")</f>
        <v>Sangalapalli Likith</v>
      </c>
      <c r="Q95" s="209" t="str">
        <f>IFERROR(__xludf.DUMMYFUNCTION("""COMPUTED_VALUE"""),"Swima Bacharie")</f>
        <v>Swima Bacharie</v>
      </c>
      <c r="R95" s="209" t="str">
        <f>IFERROR(__xludf.DUMMYFUNCTION("""COMPUTED_VALUE"""),"Muyangwa Namonda")</f>
        <v>Muyangwa Namonda</v>
      </c>
      <c r="S95" s="209" t="str">
        <f>IFERROR(__xludf.DUMMYFUNCTION("""COMPUTED_VALUE"""),"Nassour Israa")</f>
        <v>Nassour Israa</v>
      </c>
      <c r="T95" s="209" t="str">
        <f>IFERROR(__xludf.DUMMYFUNCTION("""COMPUTED_VALUE"""),"Saad Adam")</f>
        <v>Saad Adam</v>
      </c>
      <c r="U95" s="209" t="str">
        <f>IFERROR(__xludf.DUMMYFUNCTION("""COMPUTED_VALUE"""),"Taj Eshan")</f>
        <v>Taj Eshan</v>
      </c>
      <c r="V95" s="209" t="str">
        <f>IFERROR(__xludf.DUMMYFUNCTION("""COMPUTED_VALUE"""),"Blumears Malik")</f>
        <v>Blumears Malik</v>
      </c>
      <c r="W95" s="209" t="str">
        <f>IFERROR(__xludf.DUMMYFUNCTION("""COMPUTED_VALUE"""),"Chilambwe Sibongile")</f>
        <v>Chilambwe Sibongile</v>
      </c>
      <c r="X95" s="209"/>
      <c r="Y95" s="209"/>
      <c r="Z95" s="209"/>
      <c r="AA95" s="209"/>
      <c r="AB95" s="444"/>
      <c r="AC95" s="444"/>
      <c r="AD95" s="444"/>
      <c r="AE95" s="444"/>
    </row>
    <row r="96">
      <c r="A96" s="441"/>
      <c r="B96" s="440" t="s">
        <v>142</v>
      </c>
      <c r="C96" s="440">
        <f>COUNTIF('IGCSE 1A'!P2:P30,"G")</f>
        <v>0</v>
      </c>
      <c r="D96" s="443" t="str">
        <f>IFERROR(__xludf.DUMMYFUNCTION("TRANSPOSE(FILTER('IGCSE 1A'!B:B, 'IGCSE 1A'!P:P=""G""))"),"#N/A")</f>
        <v>#N/A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1A'!P2:P30,"F")</f>
        <v>0</v>
      </c>
      <c r="D97" s="443" t="str">
        <f>IFERROR(__xludf.DUMMYFUNCTION("TRANSPOSE(FILTER('IGCSE 1A'!B:B, 'IGCSE 1A'!P:P=""F""))"),"#N/A")</f>
        <v>#N/A</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1A'!P2:P30,"E")</f>
        <v>0</v>
      </c>
      <c r="D98" s="443" t="str">
        <f>IFERROR(__xludf.DUMMYFUNCTION("TRANSPOSE(FILTER('IGCSE 1A'!B:B, 'IGCSE 1A'!P:P=""E""))"),"#N/A")</f>
        <v>#N/A</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1A'!P2:P30,"D")</f>
        <v>0</v>
      </c>
      <c r="D99" s="443" t="str">
        <f>IFERROR(__xludf.DUMMYFUNCTION("TRANSPOSE(FILTER('IGCSE 1A'!B:B, 'IGCSE 1A'!P:P=""D""))"),"#N/A")</f>
        <v>#N/A</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1A'!P2:P30,"C")</f>
        <v>0</v>
      </c>
      <c r="D100" s="443" t="str">
        <f>IFERROR(__xludf.DUMMYFUNCTION("TRANSPOSE(FILTER('IGCSE 1A'!B:B, 'IGCSE 1A'!P:P=""C""))"),"#N/A")</f>
        <v>#N/A</v>
      </c>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1A'!P2:P30,"B")</f>
        <v>0</v>
      </c>
      <c r="D101" s="443" t="str">
        <f>IFERROR(__xludf.DUMMYFUNCTION("TRANSPOSE(FILTER('IGCSE 1A'!B:B, 'IGCSE 1A'!P:P=""B""))"),"#N/A")</f>
        <v>#N/A</v>
      </c>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1A'!P2:P30,"A")</f>
        <v>0</v>
      </c>
      <c r="D102" s="443" t="str">
        <f>IFERROR(__xludf.DUMMYFUNCTION("TRANSPOSE(FILTER('IGCSE 1A'!B:B, 'IGCSE 1A'!P:P=""A""))"),"#N/A")</f>
        <v>#N/A</v>
      </c>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1A'!P2:P30,"A~*")</f>
        <v>0</v>
      </c>
      <c r="D103" s="443" t="str">
        <f>IFERROR(__xludf.DUMMYFUNCTION("TRANSPOSE(FILTER('IGCSE 1A'!B:B, 'IGCSE 1A'!P:P=""A*""))"),"#N/A")</f>
        <v>#N/A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cellComments="atEnd" orientation="landscape" pageOrder="overThenDown"/>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50</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1B'!D2:D22,"U")</f>
        <v>5</v>
      </c>
      <c r="D4" s="209" t="str">
        <f>IFERROR(__xludf.DUMMYFUNCTION("TRANSPOSE(FILTER('IGCSE 1B'!B:B, 'IGCSE 1B'!D:D=""U""))"),"Ziad Alammediene")</f>
        <v>Ziad Alammediene</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1B'!D2:D22,"G")</f>
        <v>0</v>
      </c>
      <c r="D5" s="209" t="str">
        <f>IFERROR(__xludf.DUMMYFUNCTION("TRANSPOSE(FILTER('IGCSE 1B'!B:B, 'IGCSE 1B'!D:D=""G""))"),"#N/A")</f>
        <v>#N/A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1B'!D2:D22,"F")</f>
        <v>3</v>
      </c>
      <c r="D6" s="209" t="str">
        <f>IFERROR(__xludf.DUMMYFUNCTION("TRANSPOSE(FILTER('IGCSE 1B'!B:B, 'IGCSE 1B'!D:D=""F""))"),"Fatima Dagha")</f>
        <v>Fatima Dagha</v>
      </c>
      <c r="E6" s="209" t="str">
        <f>IFERROR(__xludf.DUMMYFUNCTION("""COMPUTED_VALUE"""),"Kamfwa Nyirenda")</f>
        <v>Kamfwa Nyirenda</v>
      </c>
      <c r="F6" s="209" t="str">
        <f>IFERROR(__xludf.DUMMYFUNCTION("""COMPUTED_VALUE"""),"Shaharan Thapa")</f>
        <v>Shaharan Thapa</v>
      </c>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1B'!D2:D22,"E")</f>
        <v>3</v>
      </c>
      <c r="D7" s="209" t="str">
        <f>IFERROR(__xludf.DUMMYFUNCTION("TRANSPOSE(FILTER('IGCSE 1B'!B:B, 'IGCSE 1B'!D:D=""E""))"),"Clint Mubanga Hiwa")</f>
        <v>Clint Mubanga Hiwa</v>
      </c>
      <c r="E7" s="209" t="str">
        <f>IFERROR(__xludf.DUMMYFUNCTION("""COMPUTED_VALUE"""),"Neha Sukhnani")</f>
        <v>Neha Sukhnani</v>
      </c>
      <c r="F7" s="209" t="str">
        <f>IFERROR(__xludf.DUMMYFUNCTION("""COMPUTED_VALUE"""),"Gabriel Chikopela")</f>
        <v>Gabriel Chikopela</v>
      </c>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1B'!D2:D22,"D")</f>
        <v>0</v>
      </c>
      <c r="D8" s="209" t="str">
        <f>IFERROR(__xludf.DUMMYFUNCTION("TRANSPOSE(FILTER('IGCSE 1B'!B:B, 'IGCSE 1B'!D:D=""D""))"),"#N/A")</f>
        <v>#N/A</v>
      </c>
      <c r="E8" s="209"/>
      <c r="F8" s="209"/>
      <c r="G8" s="209"/>
      <c r="H8" s="209"/>
      <c r="I8" s="209"/>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COUNTIF('IGCSE 1B'!D2:D22,"C")</f>
        <v>0</v>
      </c>
      <c r="D9" s="209" t="str">
        <f>IFERROR(__xludf.DUMMYFUNCTION("TRANSPOSE(FILTER('IGCSE 1B'!B:B, 'IGCSE 1B'!D:D=""C""))"),"#N/A")</f>
        <v>#N/A</v>
      </c>
      <c r="E9" s="209"/>
      <c r="F9" s="209"/>
      <c r="G9" s="209"/>
      <c r="H9" s="209"/>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1B'!D22:DD1000,"B")</f>
        <v>0</v>
      </c>
      <c r="D10" s="209" t="str">
        <f>IFERROR(__xludf.DUMMYFUNCTION("TRANSPOSE(FILTER('IGCSE 1B'!B:B, 'IGCSE 1B'!D:D=""B""))"),"#N/A")</f>
        <v>#N/A</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1B'!D2:D22,"A")</f>
        <v>0</v>
      </c>
      <c r="D11" s="209" t="str">
        <f>IFERROR(__xludf.DUMMYFUNCTION("TRANSPOSE(FILTER('IGCSE 1B'!B:B, 'IGCSE 1B'!D:D=""A""))"),"#N/A")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1B'!D2:D22,"A~*")</f>
        <v>0</v>
      </c>
      <c r="D12" s="209" t="str">
        <f>IFERROR(__xludf.DUMMYFUNCTION("TRANSPOSE(FILTER('IGCSE 1B'!B:B, 'IGCSE 1B'!D:D=""A*""))"),"#N/A")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1B'!F2:F22,"U")</f>
        <v>6</v>
      </c>
      <c r="D15" s="209" t="str">
        <f>IFERROR(__xludf.DUMMYFUNCTION("TRANSPOSE(FILTER('IGCSE 1B'!B:B, 'IGCSE 1B'!F:F=""U""))"),"Clint Mubanga Hiwa")</f>
        <v>Clint Mubanga Hiwa</v>
      </c>
      <c r="E15" s="209" t="str">
        <f>IFERROR(__xludf.DUMMYFUNCTION("""COMPUTED_VALUE"""),"Kamfwa Nyirenda")</f>
        <v>Kamfwa Nyirenda</v>
      </c>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1B'!F2:F22,"G")</f>
        <v>1</v>
      </c>
      <c r="D16" s="209" t="str">
        <f>IFERROR(__xludf.DUMMYFUNCTION("TRANSPOSE(FILTER('IGCSE 1B'!B:B, 'IGCSE 1B'!F:F=""G""))"),"Fatima Dagha")</f>
        <v>Fatima Dagha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1B'!F2:F22,"F")</f>
        <v>1</v>
      </c>
      <c r="D17" s="209" t="str">
        <f>IFERROR(__xludf.DUMMYFUNCTION("TRANSPOSE(FILTER('IGCSE 1B'!B:B, 'IGCSE 1B'!F:F=""F""))"),"Ziad Alammediene")</f>
        <v>Ziad Alammediene</v>
      </c>
      <c r="E17" s="209"/>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1B'!F2:F22,"E")</f>
        <v>1</v>
      </c>
      <c r="D18" s="209" t="str">
        <f>IFERROR(__xludf.DUMMYFUNCTION("TRANSPOSE(FILTER('IGCSE 1B'!B:B, 'IGCSE 1B'!F:F=""E""))"),"Gabriel Chikopela")</f>
        <v>Gabriel Chikopela</v>
      </c>
      <c r="E18" s="209"/>
      <c r="F18" s="209"/>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1B'!F2:F22,"D")</f>
        <v>1</v>
      </c>
      <c r="D19" s="209" t="str">
        <f>IFERROR(__xludf.DUMMYFUNCTION("TRANSPOSE(FILTER('IGCSE 1B'!B:B, 'IGCSE 1B'!F:F=""D""))"),"Shaharan Thapa")</f>
        <v>Shaharan Thapa</v>
      </c>
      <c r="E19" s="209"/>
      <c r="F19" s="209"/>
      <c r="G19" s="209"/>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1B'!F2:F22,"C")</f>
        <v>1</v>
      </c>
      <c r="D20" s="209" t="str">
        <f>IFERROR(__xludf.DUMMYFUNCTION("TRANSPOSE(FILTER('IGCSE 1B'!B:B, 'IGCSE 1B'!F:F=""C""))"),"Neha Sukhnani")</f>
        <v>Neha Sukhnani</v>
      </c>
      <c r="E20" s="209"/>
      <c r="F20" s="209"/>
      <c r="G20" s="209"/>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1B'!F2:F22,"B")</f>
        <v>0</v>
      </c>
      <c r="D21" s="209" t="str">
        <f>IFERROR(__xludf.DUMMYFUNCTION("TRANSPOSE(FILTER('IGCSE 1B'!B:B, 'IGCSE 1B'!F:F=""B""))"),"#N/A")</f>
        <v>#N/A</v>
      </c>
      <c r="E21" s="209"/>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1B'!F2:F22,"A")</f>
        <v>0</v>
      </c>
      <c r="D22" s="209" t="str">
        <f>IFERROR(__xludf.DUMMYFUNCTION("TRANSPOSE(FILTER('IGCSE 1B'!B:B, 'IGCSE 1B'!F:F=""A""))"),"#N/A")</f>
        <v>#N/A</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1B'!F2:F22,"A~*")</f>
        <v>0</v>
      </c>
      <c r="D23" s="209" t="str">
        <f>IFERROR(__xludf.DUMMYFUNCTION("TRANSPOSE(FILTER('IGCSE 1B'!B:B, 'IGCSE 1B'!F:F=""A*""))"),"#N/A")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1B'!H2:H30,"U")</f>
        <v>4</v>
      </c>
      <c r="D25" s="442" t="str">
        <f>IFERROR(__xludf.DUMMYFUNCTION("TRANSPOSE(FILTER('IGCSE 1B'!B:B, 'IGCSE 1B'!H:H=""U""))"),"")</f>
        <v/>
      </c>
      <c r="E25" s="209"/>
      <c r="F25" s="209"/>
      <c r="G25" s="209"/>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COUNTIF('IGCSE 1B'!H2:H30,"G")</f>
        <v>1</v>
      </c>
      <c r="D26" s="443" t="str">
        <f>IFERROR(__xludf.DUMMYFUNCTION("TRANSPOSE(FILTER('IGCSE 1B'!B:B, 'IGCSE 1B'!H:H=""G""))"),"Ziad Alammediene")</f>
        <v>Ziad Alammediene</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1B'!H2:H30,"F")</f>
        <v>1</v>
      </c>
      <c r="D27" s="443" t="str">
        <f>IFERROR(__xludf.DUMMYFUNCTION("TRANSPOSE(FILTER('IGCSE 1B'!B:B, 'IGCSE 1B'!H:H=""F""))"),"Shaharan Thapa")</f>
        <v>Shaharan Thapa</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1B'!H2:H30,"E")</f>
        <v>3</v>
      </c>
      <c r="D28" s="443" t="str">
        <f>IFERROR(__xludf.DUMMYFUNCTION("TRANSPOSE(FILTER('IGCSE 1B'!B:B, 'IGCSE 1B'!H:H=""E""))"),"Fatima Dagha")</f>
        <v>Fatima Dagha</v>
      </c>
      <c r="E28" s="209" t="str">
        <f>IFERROR(__xludf.DUMMYFUNCTION("""COMPUTED_VALUE"""),"Clint Mubanga Hiwa")</f>
        <v>Clint Mubanga Hiwa</v>
      </c>
      <c r="F28" s="209" t="str">
        <f>IFERROR(__xludf.DUMMYFUNCTION("""COMPUTED_VALUE"""),"Kamfwa Nyirenda")</f>
        <v>Kamfwa Nyirenda</v>
      </c>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1B'!H2:H30,"D")</f>
        <v>1</v>
      </c>
      <c r="D29" s="443" t="str">
        <f>IFERROR(__xludf.DUMMYFUNCTION("TRANSPOSE(FILTER('IGCSE 1B'!B:B, 'IGCSE 1B'!H:H=""D""))"),"Gabriel Chikopela")</f>
        <v>Gabriel Chikopela</v>
      </c>
      <c r="E29" s="209"/>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1B'!H2:H30,"C")</f>
        <v>1</v>
      </c>
      <c r="D30" s="443" t="str">
        <f>IFERROR(__xludf.DUMMYFUNCTION("TRANSPOSE(FILTER('IGCSE 1B'!B:B, 'IGCSE 1B'!H:H=""C""))"),"Neha Sukhnani")</f>
        <v>Neha Sukhnani</v>
      </c>
      <c r="E30" s="209"/>
      <c r="F30" s="209"/>
      <c r="G30" s="209"/>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1B'!H2:H30,"B")</f>
        <v>0</v>
      </c>
      <c r="D31" s="443" t="str">
        <f>IFERROR(__xludf.DUMMYFUNCTION("TRANSPOSE(FILTER('IGCSE 1B'!B:B, 'IGCSE 1B'!H:H=""B""))"),"#N/A")</f>
        <v>#N/A</v>
      </c>
      <c r="E31" s="209"/>
      <c r="F31" s="209"/>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COUNTIF('IGCSE 1B'!H2:H30,"A")</f>
        <v>0</v>
      </c>
      <c r="D32" s="443" t="str">
        <f>IFERROR(__xludf.DUMMYFUNCTION("TRANSPOSE(FILTER('IGCSE 1B'!B:B, 'IGCSE 1B'!H:H=""A""))"),"#N/A")</f>
        <v>#N/A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1B'!H2:H30,"A~*")</f>
        <v>0</v>
      </c>
      <c r="D33" s="443" t="str">
        <f>IFERROR(__xludf.DUMMYFUNCTION("TRANSPOSE(FILTER('IGCSE 1B'!B:B, 'IGCSE 1B'!H:H=""A*""))"),"#N/A")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1B'!J2:J30,"U")</f>
        <v>4</v>
      </c>
      <c r="D35" s="442" t="str">
        <f>IFERROR(__xludf.DUMMYFUNCTION("TRANSPOSE(FILTER('IGCSE 1B'!B:B, 'IGCSE 1B'!J:J=""U""))"),"")</f>
        <v/>
      </c>
      <c r="E35" s="209"/>
      <c r="F35" s="209"/>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COUNTIF('IGCSE 1B'!J2:J30,"G")</f>
        <v>0</v>
      </c>
      <c r="D36" s="443" t="str">
        <f>IFERROR(__xludf.DUMMYFUNCTION("TRANSPOSE(FILTER('IGCSE 1B'!B:B, 'IGCSE 1B'!J:J=""G""))"),"#N/A")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1B'!J2:J30,"F")</f>
        <v>0</v>
      </c>
      <c r="D37" s="443" t="str">
        <f>IFERROR(__xludf.DUMMYFUNCTION("TRANSPOSE(FILTER('IGCSE 1B'!B:B, 'IGCSE 1B'!J:J=""F""))"),"#N/A")</f>
        <v>#N/A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1B'!J2:J30,"E")</f>
        <v>0</v>
      </c>
      <c r="D38" s="443" t="str">
        <f>IFERROR(__xludf.DUMMYFUNCTION("TRANSPOSE(FILTER('IGCSE 1B'!B:B, 'IGCSE 1B'!J:J=""E""))"),"#N/A")</f>
        <v>#N/A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1B'!J2:J30,"D")</f>
        <v>0</v>
      </c>
      <c r="D39" s="443" t="str">
        <f>IFERROR(__xludf.DUMMYFUNCTION("TRANSPOSE(FILTER('IGCSE 1B'!B:B, 'IGCSE 1B'!J:J=""D""))"),"#N/A")</f>
        <v>#N/A</v>
      </c>
      <c r="E39" s="209"/>
      <c r="F39" s="209"/>
      <c r="G39" s="209"/>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1B'!J2:J30,"C")</f>
        <v>0</v>
      </c>
      <c r="D40" s="443" t="str">
        <f>IFERROR(__xludf.DUMMYFUNCTION("TRANSPOSE(FILTER('IGCSE 1B'!B:B, 'IGCSE 1B'!J:J=""C""))"),"#N/A")</f>
        <v>#N/A</v>
      </c>
      <c r="E40" s="209"/>
      <c r="F40" s="209"/>
      <c r="G40" s="209"/>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1B'!J2:J30,"B")</f>
        <v>0</v>
      </c>
      <c r="D41" s="443" t="str">
        <f>IFERROR(__xludf.DUMMYFUNCTION("TRANSPOSE(FILTER('IGCSE 1B'!B:B, 'IGCSE 1B'!J:J=""B""))"),"#N/A")</f>
        <v>#N/A</v>
      </c>
      <c r="E41" s="209"/>
      <c r="F41" s="209"/>
      <c r="G41" s="209"/>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1B'!J2:J30,"A")</f>
        <v>0</v>
      </c>
      <c r="D42" s="443" t="str">
        <f>IFERROR(__xludf.DUMMYFUNCTION("TRANSPOSE(FILTER('IGCSE 1B'!B:B, 'IGCSE 1B'!J:J=""A""))"),"#N/A")</f>
        <v>#N/A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1B'!J2:J30,"A~*")</f>
        <v>0</v>
      </c>
      <c r="D43" s="443" t="str">
        <f>IFERROR(__xludf.DUMMYFUNCTION("TRANSPOSE(FILTER('IGCSE 1B'!B:B, 'IGCSE 1B'!J:J=""A*""))"),"#N/A")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1B'!T2:T30,"U")</f>
        <v>5</v>
      </c>
      <c r="D45" s="442" t="str">
        <f>IFERROR(__xludf.DUMMYFUNCTION("TRANSPOSE(FILTER('IGCSE 1B'!B:B, 'IGCSE 1B'!T:T=""U""))"),"Rayan Khaazal")</f>
        <v>Rayan Khaazal</v>
      </c>
      <c r="E45" s="209"/>
      <c r="F45" s="209"/>
      <c r="G45" s="209"/>
      <c r="H45" s="209"/>
      <c r="I45" s="209"/>
      <c r="J45" s="209"/>
      <c r="K45" s="209"/>
      <c r="L45" s="209"/>
      <c r="M45" s="209"/>
      <c r="N45" s="209"/>
      <c r="O45" s="209"/>
      <c r="P45" s="209"/>
      <c r="Q45" s="209"/>
      <c r="R45" s="209"/>
      <c r="S45" s="209"/>
      <c r="T45" s="209"/>
      <c r="U45" s="209"/>
      <c r="V45" s="209"/>
      <c r="W45" s="209"/>
      <c r="X45" s="209"/>
      <c r="Y45" s="209"/>
      <c r="Z45" s="209"/>
      <c r="AA45" s="209"/>
    </row>
    <row r="46">
      <c r="A46" s="441"/>
      <c r="B46" s="440" t="s">
        <v>142</v>
      </c>
      <c r="C46" s="440">
        <f>COUNTIF('IGCSE 1B'!T2:T30,"G")</f>
        <v>0</v>
      </c>
      <c r="D46" s="443" t="str">
        <f>IFERROR(__xludf.DUMMYFUNCTION("TRANSPOSE(FILTER('IGCSE 1B'!B:B, 'IGCSE 1B'!T:T=""G""))"),"#N/A")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1B'!T2:T30,"F")</f>
        <v>1</v>
      </c>
      <c r="D47" s="443" t="str">
        <f>IFERROR(__xludf.DUMMYFUNCTION("TRANSPOSE(FILTER('IGCSE 1B'!B:B, 'IGCSE 1B'!T:T=""F""))"),"Fatima Dagha")</f>
        <v>Fatima Dagha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1B'!T2:T30,"E")</f>
        <v>0</v>
      </c>
      <c r="D48" s="443" t="str">
        <f>IFERROR(__xludf.DUMMYFUNCTION("TRANSPOSE(FILTER('IGCSE 1B'!B:B, 'IGCSE 1B'!T:T=""E""))"),"#N/A")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1B'!T2:T30,"D")</f>
        <v>1</v>
      </c>
      <c r="D49" s="443" t="str">
        <f>IFERROR(__xludf.DUMMYFUNCTION("TRANSPOSE(FILTER('IGCSE 1B'!B:B, 'IGCSE 1B'!T:T=""D""))"),"Gabriel Chikopela")</f>
        <v>Gabriel Chikopela</v>
      </c>
      <c r="E49" s="209"/>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1B'!T2:T30,"C")</f>
        <v>0</v>
      </c>
      <c r="D50" s="443" t="str">
        <f>IFERROR(__xludf.DUMMYFUNCTION("TRANSPOSE(FILTER('IGCSE 1B'!B:B, 'IGCSE 1B'!T:T=""C""))"),"#N/A")</f>
        <v>#N/A</v>
      </c>
      <c r="E50" s="209"/>
      <c r="F50" s="209"/>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1B'!T2:T30,"B")</f>
        <v>1</v>
      </c>
      <c r="D51" s="443" t="str">
        <f>IFERROR(__xludf.DUMMYFUNCTION("TRANSPOSE(FILTER('IGCSE 1B'!B:B, 'IGCSE 1B'!T:T=""B""))"),"Neha Sukhnani")</f>
        <v>Neha Sukhnani</v>
      </c>
      <c r="E51" s="209"/>
      <c r="F51" s="209"/>
      <c r="G51" s="209"/>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1B'!T2:T30,"A")</f>
        <v>0</v>
      </c>
      <c r="D52" s="443" t="str">
        <f>IFERROR(__xludf.DUMMYFUNCTION("TRANSPOSE(FILTER('IGCSE 1B'!B:B, 'IGCSE 1B'!T:T=""A""))"),"#N/A")</f>
        <v>#N/A</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COUNTIF('IGCSE 1B'!T2:T30,"A~*")</f>
        <v>0</v>
      </c>
      <c r="D53" s="443" t="str">
        <f>IFERROR(__xludf.DUMMYFUNCTION("TRANSPOSE(FILTER('IGCSE 1B'!B:B, 'IGCSE 1B'!T:T=""A*""))"),"#N/A")</f>
        <v>#N/A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1B'!N2:N30,"U")</f>
        <v>6</v>
      </c>
      <c r="D55" s="442" t="str">
        <f>IFERROR(__xludf.DUMMYFUNCTION("TRANSPOSE(FILTER('IGCSE 1B'!B:B, 'IGCSE 1B'!N:N=""U""))"),"Ziad Alammediene")</f>
        <v>Ziad Alammediene</v>
      </c>
      <c r="E55" s="209" t="str">
        <f>IFERROR(__xludf.DUMMYFUNCTION("""COMPUTED_VALUE"""),"Kamfwa Nyirenda")</f>
        <v>Kamfwa Nyirenda</v>
      </c>
      <c r="F55" s="209"/>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COUNTIF('IGCSE 1B'!N2:N30,"G")</f>
        <v>2</v>
      </c>
      <c r="D56" s="443" t="str">
        <f>IFERROR(__xludf.DUMMYFUNCTION("TRANSPOSE(FILTER('IGCSE 1B'!B:B, 'IGCSE 1B'!N:N=""G""))"),"Fatima Dagha")</f>
        <v>Fatima Dagha</v>
      </c>
      <c r="E56" s="209" t="str">
        <f>IFERROR(__xludf.DUMMYFUNCTION("""COMPUTED_VALUE"""),"Gabriel Chikopela")</f>
        <v>Gabriel Chikopela</v>
      </c>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1B'!N2:N30,"F")</f>
        <v>2</v>
      </c>
      <c r="D57" s="443" t="str">
        <f>IFERROR(__xludf.DUMMYFUNCTION("TRANSPOSE(FILTER('IGCSE 1B'!B:B, 'IGCSE 1B'!N:N=""F""))"),"Clint Mubanga Hiwa")</f>
        <v>Clint Mubanga Hiwa</v>
      </c>
      <c r="E57" s="209" t="str">
        <f>IFERROR(__xludf.DUMMYFUNCTION("""COMPUTED_VALUE"""),"Shaharan Thapa")</f>
        <v>Shaharan Thapa</v>
      </c>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1B'!N2:N30,"E")</f>
        <v>1</v>
      </c>
      <c r="D58" s="443" t="str">
        <f>IFERROR(__xludf.DUMMYFUNCTION("TRANSPOSE(FILTER('IGCSE 1B'!B:B, 'IGCSE 1B'!N:N=""E""))"),"Rayan Khaazal")</f>
        <v>Rayan Khaazal</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COUNTIF('IGCSE 1B'!N2:N30,"D")</f>
        <v>0</v>
      </c>
      <c r="D59" s="443" t="str">
        <f>IFERROR(__xludf.DUMMYFUNCTION("TRANSPOSE(FILTER('IGCSE 1B'!B:B, 'IGCSE 1B'!N:N=""D""))"),"#N/A")</f>
        <v>#N/A</v>
      </c>
      <c r="E59" s="209"/>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1B'!N2:N30,"C")</f>
        <v>1</v>
      </c>
      <c r="D60" s="443" t="str">
        <f>IFERROR(__xludf.DUMMYFUNCTION("TRANSPOSE(FILTER('IGCSE 1B'!B:B, 'IGCSE 1B'!N:N=""C""))"),"Neha Sukhnani")</f>
        <v>Neha Sukhnani</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1B'!N2:N30,"B")</f>
        <v>0</v>
      </c>
      <c r="D61" s="443" t="str">
        <f>IFERROR(__xludf.DUMMYFUNCTION("TRANSPOSE(FILTER('IGCSE 1B'!B:B, 'IGCSE 1B'!N:N=""B""))"),"#N/A")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1B'!N2:N30,"A")</f>
        <v>0</v>
      </c>
      <c r="D62" s="443" t="str">
        <f>IFERROR(__xludf.DUMMYFUNCTION("TRANSPOSE(FILTER('IGCSE 1B'!B:B, 'IGCSE 1B'!N:N=""A""))"),"#N/A")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1B'!N2:N30,"A~*")</f>
        <v>0</v>
      </c>
      <c r="D63" s="443" t="str">
        <f>IFERROR(__xludf.DUMMYFUNCTION("TRANSPOSE(FILTER('IGCSE 1B'!B:B, 'IGCSE 1B'!N:N=""A*""))"),"#N/A")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1B'!R2:R30,"U")</f>
        <v>8</v>
      </c>
      <c r="D65" s="442" t="str">
        <f>IFERROR(__xludf.DUMMYFUNCTION("TRANSPOSE(FILTER('IGCSE 1B'!B:B, 'IGCSE 1B'!R:R=""U""))"),"Ziad Alammediene")</f>
        <v>Ziad Alammediene</v>
      </c>
      <c r="E65" s="209" t="str">
        <f>IFERROR(__xludf.DUMMYFUNCTION("""COMPUTED_VALUE"""),"Fatima Dagha")</f>
        <v>Fatima Dagha</v>
      </c>
      <c r="F65" s="209" t="str">
        <f>IFERROR(__xludf.DUMMYFUNCTION("""COMPUTED_VALUE"""),"Rayan Khaazal")</f>
        <v>Rayan Khaazal</v>
      </c>
      <c r="G65" s="209" t="str">
        <f>IFERROR(__xludf.DUMMYFUNCTION("""COMPUTED_VALUE"""),"Shaharan Thapa")</f>
        <v>Shaharan Thapa</v>
      </c>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COUNTIF('IGCSE 1B'!R2:R30,"G")</f>
        <v>0</v>
      </c>
      <c r="D66" s="443" t="str">
        <f>IFERROR(__xludf.DUMMYFUNCTION("TRANSPOSE(FILTER('IGCSE 1B'!B:B, 'IGCSE 1B'!R:R=""G""))"),"#N/A")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1B'!R2:R30,"F")</f>
        <v>0</v>
      </c>
      <c r="D67" s="443" t="str">
        <f>IFERROR(__xludf.DUMMYFUNCTION("TRANSPOSE(FILTER('IGCSE 1B'!B:B, 'IGCSE 1B'!R:R=""F""))"),"#N/A")</f>
        <v>#N/A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1B'!R2:R30,"E")</f>
        <v>0</v>
      </c>
      <c r="D68" s="443" t="str">
        <f>IFERROR(__xludf.DUMMYFUNCTION("TRANSPOSE(FILTER('IGCSE 1B'!B:B, 'IGCSE 1B'!R:R=""E""))"),"#N/A")</f>
        <v>#N/A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1B'!R2:R30,"D")</f>
        <v>1</v>
      </c>
      <c r="D69" s="443" t="str">
        <f>IFERROR(__xludf.DUMMYFUNCTION("TRANSPOSE(FILTER('IGCSE 1B'!B:B, 'IGCSE 1B'!R:R=""D""))"),"Gabriel Chikopela")</f>
        <v>Gabriel Chikopela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1B'!R2:R30,"C")</f>
        <v>0</v>
      </c>
      <c r="D70" s="443" t="str">
        <f>IFERROR(__xludf.DUMMYFUNCTION("TRANSPOSE(FILTER('IGCSE 1B'!B:B, 'IGCSE 1B'!R:R=""C""))"),"#N/A")</f>
        <v>#N/A</v>
      </c>
      <c r="E70" s="209"/>
      <c r="F70" s="209"/>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1B'!R2:R30,"B")</f>
        <v>1</v>
      </c>
      <c r="D71" s="443" t="str">
        <f>IFERROR(__xludf.DUMMYFUNCTION("TRANSPOSE(FILTER('IGCSE 1B'!B:B, 'IGCSE 1B'!R:R=""B""))"),"Neha Sukhnani")</f>
        <v>Neha Sukhnani</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1B'!R2:R30,"A")</f>
        <v>0</v>
      </c>
      <c r="D72" s="443" t="str">
        <f>IFERROR(__xludf.DUMMYFUNCTION("TRANSPOSE(FILTER('IGCSE 1B'!B:B, 'IGCSE 1B'!R:R=""A""))"),"#N/A")</f>
        <v>#N/A</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1B'!R2:R30,"A~*")</f>
        <v>0</v>
      </c>
      <c r="D73" s="443" t="str">
        <f>IFERROR(__xludf.DUMMYFUNCTION("TRANSPOSE(FILTER('IGCSE 1B'!B:B, 'IGCSE 1B'!R:R=""A*""))"),"#N/A")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1B'!L2:L30,"U")</f>
        <v>5</v>
      </c>
      <c r="D75" s="442" t="str">
        <f>IFERROR(__xludf.DUMMYFUNCTION("TRANSPOSE(FILTER('IGCSE 1B'!B:B, 'IGCSE 1B'!L:L=""U""))"),"Fatima Dagha")</f>
        <v>Fatima Dagha</v>
      </c>
      <c r="E75" s="209"/>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COUNTIF('IGCSE 1B'!L2:L30,"G")</f>
        <v>0</v>
      </c>
      <c r="D76" s="443" t="str">
        <f>IFERROR(__xludf.DUMMYFUNCTION("TRANSPOSE(FILTER('IGCSE 1B'!B:B, 'IGCSE 1B'!L:L=""G""))"),"#N/A")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1B'!L2:L30,"F")</f>
        <v>0</v>
      </c>
      <c r="D77" s="443" t="str">
        <f>IFERROR(__xludf.DUMMYFUNCTION("TRANSPOSE(FILTER('IGCSE 1B'!B:B, 'IGCSE 1B'!L:L=""F""))"),"#N/A")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1B'!L2:L30,"E")</f>
        <v>3</v>
      </c>
      <c r="D78" s="443" t="str">
        <f>IFERROR(__xludf.DUMMYFUNCTION("TRANSPOSE(FILTER('IGCSE 1B'!B:B, 'IGCSE 1B'!L:L=""E""))"),"Ziad Alammediene")</f>
        <v>Ziad Alammediene</v>
      </c>
      <c r="E78" s="209" t="str">
        <f>IFERROR(__xludf.DUMMYFUNCTION("""COMPUTED_VALUE"""),"Kamfwa Nyirenda")</f>
        <v>Kamfwa Nyirenda</v>
      </c>
      <c r="F78" s="209" t="str">
        <f>IFERROR(__xludf.DUMMYFUNCTION("""COMPUTED_VALUE"""),"Shaharan Thapa")</f>
        <v>Shaharan Thapa</v>
      </c>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1B'!L2:L30,"D")</f>
        <v>0</v>
      </c>
      <c r="D79" s="443" t="str">
        <f>IFERROR(__xludf.DUMMYFUNCTION("TRANSPOSE(FILTER('IGCSE 1B'!B:B, 'IGCSE 1B'!L:L=""D""))"),"#N/A")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1B'!L2:L30,"C")</f>
        <v>1</v>
      </c>
      <c r="D80" s="443" t="str">
        <f>IFERROR(__xludf.DUMMYFUNCTION("TRANSPOSE(FILTER('IGCSE 1B'!B:B, 'IGCSE 1B'!L:L=""C""))"),"Clint Mubanga Hiwa")</f>
        <v>Clint Mubanga Hiwa</v>
      </c>
      <c r="E80" s="209"/>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1B'!L2:L30,"B")</f>
        <v>0</v>
      </c>
      <c r="D81" s="443" t="str">
        <f>IFERROR(__xludf.DUMMYFUNCTION("TRANSPOSE(FILTER('IGCSE 1B'!B:B, 'IGCSE 1B'!L:L=""B""))"),"#N/A")</f>
        <v>#N/A</v>
      </c>
      <c r="E81" s="209"/>
      <c r="F81" s="209"/>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1B'!L2:L30,"A")</f>
        <v>1</v>
      </c>
      <c r="D82" s="443" t="str">
        <f>IFERROR(__xludf.DUMMYFUNCTION("TRANSPOSE(FILTER('IGCSE 1B'!B:B, 'IGCSE 1B'!L:L=""A""))"),"Rayan Khaazal")</f>
        <v>Rayan Khaazal</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1B'!L2:L30,"A~*")</f>
        <v>0</v>
      </c>
      <c r="D83" s="443" t="str">
        <f>IFERROR(__xludf.DUMMYFUNCTION("TRANSPOSE(FILTER('IGCSE 1B'!B:B, 'IGCSE 1B'!L:L=""A*""))"),"#N/A")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1B'!V2:V30,"U")</f>
        <v>4</v>
      </c>
      <c r="D85" s="442" t="str">
        <f>IFERROR(__xludf.DUMMYFUNCTION("TRANSPOSE(FILTER('IGCSE 1B'!B:B, 'IGCSE 1B'!V:V=""U""))"),"")</f>
        <v/>
      </c>
      <c r="E85" s="209"/>
      <c r="F85" s="209"/>
      <c r="G85" s="209"/>
      <c r="H85" s="209"/>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COUNTIF('IGCSE 1B'!V2:V30,"G")</f>
        <v>0</v>
      </c>
      <c r="D86" s="443" t="str">
        <f>IFERROR(__xludf.DUMMYFUNCTION("TRANSPOSE(FILTER('IGCSE 1B'!B:B, 'IGCSE 1B'!V:V=""G""))"),"#N/A")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1B'!V2:V30,"F")</f>
        <v>1</v>
      </c>
      <c r="D87" s="443" t="str">
        <f>IFERROR(__xludf.DUMMYFUNCTION("TRANSPOSE(FILTER('IGCSE 1B'!B:B, 'IGCSE 1B'!V:V=""F""))"),"Kamfwa Nyirenda")</f>
        <v>Kamfwa Nyirenda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1B'!V2:V30,"E")</f>
        <v>2</v>
      </c>
      <c r="D88" s="443" t="str">
        <f>IFERROR(__xludf.DUMMYFUNCTION("TRANSPOSE(FILTER('IGCSE 1B'!B:B, 'IGCSE 1B'!V:V=""E""))"),"Clint Mubanga Hiwa")</f>
        <v>Clint Mubanga Hiwa</v>
      </c>
      <c r="E88" s="209" t="str">
        <f>IFERROR(__xludf.DUMMYFUNCTION("""COMPUTED_VALUE"""),"Rayan Khaazal")</f>
        <v>Rayan Khaazal</v>
      </c>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1B'!V2:V30,"D")</f>
        <v>0</v>
      </c>
      <c r="D89" s="443" t="str">
        <f>IFERROR(__xludf.DUMMYFUNCTION("TRANSPOSE(FILTER('IGCSE 1B'!B:B, 'IGCSE 1B'!V:V=""D""))"),"#N/A")</f>
        <v>#N/A</v>
      </c>
      <c r="E89" s="209"/>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1B'!V2:V30,"C")</f>
        <v>0</v>
      </c>
      <c r="D90" s="443" t="str">
        <f>IFERROR(__xludf.DUMMYFUNCTION("TRANSPOSE(FILTER('IGCSE 1B'!B:B, 'IGCSE 1B'!V:V=""C""))"),"#N/A")</f>
        <v>#N/A</v>
      </c>
      <c r="E90" s="209"/>
      <c r="F90" s="209"/>
      <c r="G90" s="209"/>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1B'!V2:V30,"B")</f>
        <v>0</v>
      </c>
      <c r="D91" s="443" t="str">
        <f>IFERROR(__xludf.DUMMYFUNCTION("TRANSPOSE(FILTER('IGCSE 1B'!B:B, 'IGCSE 1B'!V:V=""B""))"),"#N/A")</f>
        <v>#N/A</v>
      </c>
      <c r="E91" s="209"/>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1B'!V2:V30,"A")</f>
        <v>0</v>
      </c>
      <c r="D92" s="443" t="str">
        <f>IFERROR(__xludf.DUMMYFUNCTION("TRANSPOSE(FILTER('IGCSE 1B'!B:B, 'IGCSE 1B'!V:V=""A""))"),"#N/A")</f>
        <v>#N/A</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1B'!V2:V30,"A~*")</f>
        <v>0</v>
      </c>
      <c r="D93" s="443" t="str">
        <f>IFERROR(__xludf.DUMMYFUNCTION("TRANSPOSE(FILTER('IGCSE 1B'!B:B, 'IGCSE 1B'!V:V=""A*""))"),"#N/A")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1B'!P2:P30,"U")</f>
        <v>4</v>
      </c>
      <c r="D95" s="442" t="str">
        <f>IFERROR(__xludf.DUMMYFUNCTION("TRANSPOSE(FILTER('IGCSE 1B'!B:B, 'IGCSE 1B'!P:P=""U""))"),"")</f>
        <v/>
      </c>
      <c r="E95" s="209"/>
      <c r="F95" s="209"/>
      <c r="G95" s="209"/>
      <c r="H95" s="209"/>
      <c r="I95" s="209"/>
      <c r="J95" s="209"/>
      <c r="K95" s="209"/>
      <c r="L95" s="209"/>
      <c r="M95" s="209"/>
      <c r="N95" s="209"/>
      <c r="O95" s="209"/>
      <c r="P95" s="209"/>
      <c r="Q95" s="209"/>
      <c r="R95" s="209"/>
      <c r="S95" s="209"/>
      <c r="T95" s="209"/>
      <c r="U95" s="209"/>
      <c r="V95" s="209"/>
      <c r="W95" s="209"/>
      <c r="X95" s="209"/>
      <c r="Y95" s="209"/>
      <c r="Z95" s="209"/>
      <c r="AA95" s="209"/>
    </row>
    <row r="96">
      <c r="A96" s="441"/>
      <c r="B96" s="440" t="s">
        <v>142</v>
      </c>
      <c r="C96" s="440">
        <f>COUNTIF('IGCSE 1B'!P2:P30,"G")</f>
        <v>0</v>
      </c>
      <c r="D96" s="443" t="str">
        <f>IFERROR(__xludf.DUMMYFUNCTION("TRANSPOSE(FILTER('IGCSE 1B'!B:B, 'IGCSE 1B'!P:P=""G""))"),"#N/A")</f>
        <v>#N/A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1B'!P2:P30,"F")</f>
        <v>0</v>
      </c>
      <c r="D97" s="443" t="str">
        <f>IFERROR(__xludf.DUMMYFUNCTION("TRANSPOSE(FILTER('IGCSE 1B'!B:B, 'IGCSE 1B'!P:P=""F""))"),"#N/A")</f>
        <v>#N/A</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1B'!P2:P30,"E")</f>
        <v>0</v>
      </c>
      <c r="D98" s="443" t="str">
        <f>IFERROR(__xludf.DUMMYFUNCTION("TRANSPOSE(FILTER('IGCSE 1B'!B:B, 'IGCSE 1B'!P:P=""E""))"),"#N/A")</f>
        <v>#N/A</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1B'!P2:P30,"D")</f>
        <v>0</v>
      </c>
      <c r="D99" s="443" t="str">
        <f>IFERROR(__xludf.DUMMYFUNCTION("TRANSPOSE(FILTER('IGCSE 1B'!B:B, 'IGCSE 1B'!P:P=""D""))"),"#N/A")</f>
        <v>#N/A</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1B'!P2:P30,"C")</f>
        <v>0</v>
      </c>
      <c r="D100" s="443" t="str">
        <f>IFERROR(__xludf.DUMMYFUNCTION("TRANSPOSE(FILTER('IGCSE 1B'!B:B, 'IGCSE 1B'!P:P=""C""))"),"#N/A")</f>
        <v>#N/A</v>
      </c>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1B'!P2:P30,"B")</f>
        <v>0</v>
      </c>
      <c r="D101" s="443" t="str">
        <f>IFERROR(__xludf.DUMMYFUNCTION("TRANSPOSE(FILTER('IGCSE 1B'!B:B, 'IGCSE 1B'!P:P=""B""))"),"#N/A")</f>
        <v>#N/A</v>
      </c>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1B'!P2:P30,"A")</f>
        <v>0</v>
      </c>
      <c r="D102" s="443" t="str">
        <f>IFERROR(__xludf.DUMMYFUNCTION("TRANSPOSE(FILTER('IGCSE 1B'!B:B, 'IGCSE 1B'!P:P=""A""))"),"#N/A")</f>
        <v>#N/A</v>
      </c>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1B'!P2:P30,"A~*")</f>
        <v>0</v>
      </c>
      <c r="D103" s="443" t="str">
        <f>IFERROR(__xludf.DUMMYFUNCTION("TRANSPOSE(FILTER('IGCSE 1B'!B:B, 'IGCSE 1B'!P:P=""A*""))"),"#N/A")</f>
        <v>#N/A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cellComments="atEnd" orientation="landscape" pageOrder="overThenDown"/>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51</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1C'!D2:D22,"U")</f>
        <v>4</v>
      </c>
      <c r="D4" s="209" t="str">
        <f>IFERROR(__xludf.DUMMYFUNCTION("TRANSPOSE(FILTER('IGCSE 1C'!B:B, 'IGCSE 1C'!D:D=""U""))"),"Kunda Alfred Malijani")</f>
        <v>Kunda Alfred Malijani</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1C'!D2:D22,"G")</f>
        <v>1</v>
      </c>
      <c r="D5" s="209" t="str">
        <f>IFERROR(__xludf.DUMMYFUNCTION("TRANSPOSE(FILTER('IGCSE 1C'!B:B, 'IGCSE 1C'!D:D=""G""))"),"Chubo Kabende")</f>
        <v>Chubo Kabende</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1C'!D2:D22,"F")</f>
        <v>0</v>
      </c>
      <c r="D6" s="209" t="str">
        <f>IFERROR(__xludf.DUMMYFUNCTION("TRANSPOSE(FILTER('IGCSE 1C'!B:B, 'IGCSE 1C'!D:D=""F""))"),"#N/A")</f>
        <v>#N/A</v>
      </c>
      <c r="E6" s="209"/>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1C'!D2:D22,"E")</f>
        <v>3</v>
      </c>
      <c r="D7" s="209" t="str">
        <f>IFERROR(__xludf.DUMMYFUNCTION("TRANSPOSE(FILTER('IGCSE 1C'!B:B, 'IGCSE 1C'!D:D=""E""))"),"Joshua Kateka")</f>
        <v>Joshua Kateka</v>
      </c>
      <c r="E7" s="209" t="str">
        <f>IFERROR(__xludf.DUMMYFUNCTION("""COMPUTED_VALUE"""),"Philani Lungu")</f>
        <v>Philani Lungu</v>
      </c>
      <c r="F7" s="209" t="str">
        <f>IFERROR(__xludf.DUMMYFUNCTION("""COMPUTED_VALUE"""),"Israel Phiri")</f>
        <v>Israel Phiri</v>
      </c>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1C'!D2:D22,"D")</f>
        <v>3</v>
      </c>
      <c r="D8" s="209" t="str">
        <f>IFERROR(__xludf.DUMMYFUNCTION("TRANSPOSE(FILTER('IGCSE 1C'!B:B, 'IGCSE 1C'!D:D=""D""))"),"Rayan Khazaal")</f>
        <v>Rayan Khazaal</v>
      </c>
      <c r="E8" s="209" t="str">
        <f>IFERROR(__xludf.DUMMYFUNCTION("""COMPUTED_VALUE"""),"Sahil Munshi")</f>
        <v>Sahil Munshi</v>
      </c>
      <c r="F8" s="209" t="str">
        <f>IFERROR(__xludf.DUMMYFUNCTION("""COMPUTED_VALUE"""),"Rudo Simbayi")</f>
        <v>Rudo Simbayi</v>
      </c>
      <c r="G8" s="209"/>
      <c r="H8" s="209"/>
      <c r="I8" s="209"/>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COUNTIF('IGCSE 1C'!D2:D22,"C")</f>
        <v>5</v>
      </c>
      <c r="D9" s="209" t="str">
        <f>IFERROR(__xludf.DUMMYFUNCTION("TRANSPOSE(FILTER('IGCSE 1C'!B:B, 'IGCSE 1C'!D:D=""C""))"),"Tapewa Malama")</f>
        <v>Tapewa Malama</v>
      </c>
      <c r="E9" s="209" t="str">
        <f>IFERROR(__xludf.DUMMYFUNCTION("""COMPUTED_VALUE"""),"Carmen- Grace Mare")</f>
        <v>Carmen- Grace Mare</v>
      </c>
      <c r="F9" s="209" t="str">
        <f>IFERROR(__xludf.DUMMYFUNCTION("""COMPUTED_VALUE"""),"Zenani Mulikita")</f>
        <v>Zenani Mulikita</v>
      </c>
      <c r="G9" s="209" t="str">
        <f>IFERROR(__xludf.DUMMYFUNCTION("""COMPUTED_VALUE"""),"Mulambo Mweemba")</f>
        <v>Mulambo Mweemba</v>
      </c>
      <c r="H9" s="209" t="str">
        <f>IFERROR(__xludf.DUMMYFUNCTION("""COMPUTED_VALUE"""),"Nsenthaka Soko")</f>
        <v>Nsenthaka Soko</v>
      </c>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1C'!D22:DD1000,"B")</f>
        <v>0</v>
      </c>
      <c r="D10" s="209" t="str">
        <f>IFERROR(__xludf.DUMMYFUNCTION("TRANSPOSE(FILTER('IGCSE 1C'!B:B, 'IGCSE 1C'!D:D=""B""))"),"Bwalya Chanda")</f>
        <v>Bwalya Chanda</v>
      </c>
      <c r="E10" s="209" t="str">
        <f>IFERROR(__xludf.DUMMYFUNCTION("""COMPUTED_VALUE"""),"Mali Mestry")</f>
        <v>Mali Mestry</v>
      </c>
      <c r="F10" s="209" t="str">
        <f>IFERROR(__xludf.DUMMYFUNCTION("""COMPUTED_VALUE"""),"Alexander Sakala")</f>
        <v>Alexander Sakala</v>
      </c>
      <c r="G10" s="209" t="str">
        <f>IFERROR(__xludf.DUMMYFUNCTION("""COMPUTED_VALUE"""),"Lwiito Sikapoto")</f>
        <v>Lwiito Sikapoto</v>
      </c>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1C'!D2:D22,"A")</f>
        <v>0</v>
      </c>
      <c r="D11" s="209" t="str">
        <f>IFERROR(__xludf.DUMMYFUNCTION("TRANSPOSE(FILTER('IGCSE 1C'!B:B, 'IGCSE 1C'!D:D=""A""))"),"#N/A")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1C'!D2:D22,"A~*")</f>
        <v>0</v>
      </c>
      <c r="D12" s="209" t="str">
        <f>IFERROR(__xludf.DUMMYFUNCTION("TRANSPOSE(FILTER('IGCSE 1C'!B:B, 'IGCSE 1C'!D:D=""A*""))"),"#N/A")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1C'!F2:F22,"U")</f>
        <v>3</v>
      </c>
      <c r="D15" s="209" t="str">
        <f>IFERROR(__xludf.DUMMYFUNCTION("TRANSPOSE(FILTER('IGCSE 1C'!B:B, 'IGCSE 1C'!F:F=""U""))"),"")</f>
        <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1C'!F2:F22,"G")</f>
        <v>2</v>
      </c>
      <c r="D16" s="209" t="str">
        <f>IFERROR(__xludf.DUMMYFUNCTION("TRANSPOSE(FILTER('IGCSE 1C'!B:B, 'IGCSE 1C'!F:F=""G""))"),"Rayan Khazaal")</f>
        <v>Rayan Khazaal</v>
      </c>
      <c r="E16" s="209" t="str">
        <f>IFERROR(__xludf.DUMMYFUNCTION("""COMPUTED_VALUE"""),"Mulambo Mweemba")</f>
        <v>Mulambo Mweemba</v>
      </c>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1C'!F2:F22,"F")</f>
        <v>2</v>
      </c>
      <c r="D17" s="209" t="str">
        <f>IFERROR(__xludf.DUMMYFUNCTION("TRANSPOSE(FILTER('IGCSE 1C'!B:B, 'IGCSE 1C'!F:F=""F""))"),"Zenani Mulikita")</f>
        <v>Zenani Mulikita</v>
      </c>
      <c r="E17" s="209" t="str">
        <f>IFERROR(__xludf.DUMMYFUNCTION("""COMPUTED_VALUE"""),"Lwiito Sikapoto")</f>
        <v>Lwiito Sikapoto</v>
      </c>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1C'!F2:F22,"E")</f>
        <v>3</v>
      </c>
      <c r="D18" s="209" t="str">
        <f>IFERROR(__xludf.DUMMYFUNCTION("TRANSPOSE(FILTER('IGCSE 1C'!B:B, 'IGCSE 1C'!F:F=""E""))"),"Joshua Kateka")</f>
        <v>Joshua Kateka</v>
      </c>
      <c r="E18" s="209" t="str">
        <f>IFERROR(__xludf.DUMMYFUNCTION("""COMPUTED_VALUE"""),"Philani Lungu")</f>
        <v>Philani Lungu</v>
      </c>
      <c r="F18" s="209" t="str">
        <f>IFERROR(__xludf.DUMMYFUNCTION("""COMPUTED_VALUE"""),"Israel Phiri")</f>
        <v>Israel Phiri</v>
      </c>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1C'!F2:F22,"D")</f>
        <v>1</v>
      </c>
      <c r="D19" s="209" t="str">
        <f>IFERROR(__xludf.DUMMYFUNCTION("TRANSPOSE(FILTER('IGCSE 1C'!B:B, 'IGCSE 1C'!F:F=""D""))"),"Carmen- Grace Mare")</f>
        <v>Carmen- Grace Mare</v>
      </c>
      <c r="E19" s="209"/>
      <c r="F19" s="209"/>
      <c r="G19" s="209"/>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1C'!F2:F22,"C")</f>
        <v>3</v>
      </c>
      <c r="D20" s="209" t="str">
        <f>IFERROR(__xludf.DUMMYFUNCTION("TRANSPOSE(FILTER('IGCSE 1C'!B:B, 'IGCSE 1C'!F:F=""C""))"),"Tapewa Malama")</f>
        <v>Tapewa Malama</v>
      </c>
      <c r="E20" s="209" t="str">
        <f>IFERROR(__xludf.DUMMYFUNCTION("""COMPUTED_VALUE"""),"Sahil Munshi")</f>
        <v>Sahil Munshi</v>
      </c>
      <c r="F20" s="209" t="str">
        <f>IFERROR(__xludf.DUMMYFUNCTION("""COMPUTED_VALUE"""),"Nsenthaka Soko")</f>
        <v>Nsenthaka Soko</v>
      </c>
      <c r="G20" s="209"/>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1C'!F2:F22,"B")</f>
        <v>3</v>
      </c>
      <c r="D21" s="209" t="str">
        <f>IFERROR(__xludf.DUMMYFUNCTION("TRANSPOSE(FILTER('IGCSE 1C'!B:B, 'IGCSE 1C'!F:F=""B""))"),"Chubo Kabende")</f>
        <v>Chubo Kabende</v>
      </c>
      <c r="E21" s="209" t="str">
        <f>IFERROR(__xludf.DUMMYFUNCTION("""COMPUTED_VALUE"""),"Mali Mestry")</f>
        <v>Mali Mestry</v>
      </c>
      <c r="F21" s="209" t="str">
        <f>IFERROR(__xludf.DUMMYFUNCTION("""COMPUTED_VALUE"""),"Rudo Simbayi")</f>
        <v>Rudo Simbayi</v>
      </c>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1C'!F2:F22,"A")</f>
        <v>2</v>
      </c>
      <c r="D22" s="209" t="str">
        <f>IFERROR(__xludf.DUMMYFUNCTION("TRANSPOSE(FILTER('IGCSE 1C'!B:B, 'IGCSE 1C'!F:F=""A""))"),"Bwalya Chanda")</f>
        <v>Bwalya Chanda</v>
      </c>
      <c r="E22" s="209" t="str">
        <f>IFERROR(__xludf.DUMMYFUNCTION("""COMPUTED_VALUE"""),"Kunda Alfred Malijani")</f>
        <v>Kunda Alfred Malijani</v>
      </c>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1C'!F2:F22,"A~*")</f>
        <v>1</v>
      </c>
      <c r="D23" s="209" t="str">
        <f>IFERROR(__xludf.DUMMYFUNCTION("TRANSPOSE(FILTER('IGCSE 1C'!B:B, 'IGCSE 1C'!F:F=""A*""))"),"Alexander Sakala")</f>
        <v>Alexander Sakala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1C'!H2:H30,"U")</f>
        <v>18</v>
      </c>
      <c r="D25" s="442" t="str">
        <f>IFERROR(__xludf.DUMMYFUNCTION("TRANSPOSE(FILTER('IGCSE 1C'!B:B, 'IGCSE 1C'!H:H=""U""))"),"Bwalya Chanda")</f>
        <v>Bwalya Chanda</v>
      </c>
      <c r="E25" s="209" t="str">
        <f>IFERROR(__xludf.DUMMYFUNCTION("""COMPUTED_VALUE"""),"Rayan Khazaal")</f>
        <v>Rayan Khazaal</v>
      </c>
      <c r="F25" s="209" t="str">
        <f>IFERROR(__xludf.DUMMYFUNCTION("""COMPUTED_VALUE"""),"Chubo Kabende")</f>
        <v>Chubo Kabende</v>
      </c>
      <c r="G25" s="209" t="str">
        <f>IFERROR(__xludf.DUMMYFUNCTION("""COMPUTED_VALUE"""),"Joshua Kateka")</f>
        <v>Joshua Kateka</v>
      </c>
      <c r="H25" s="209" t="str">
        <f>IFERROR(__xludf.DUMMYFUNCTION("""COMPUTED_VALUE"""),"Philani Lungu")</f>
        <v>Philani Lungu</v>
      </c>
      <c r="I25" s="209" t="str">
        <f>IFERROR(__xludf.DUMMYFUNCTION("""COMPUTED_VALUE"""),"Tapewa Malama")</f>
        <v>Tapewa Malama</v>
      </c>
      <c r="J25" s="209" t="str">
        <f>IFERROR(__xludf.DUMMYFUNCTION("""COMPUTED_VALUE"""),"Kunda Alfred Malijani")</f>
        <v>Kunda Alfred Malijani</v>
      </c>
      <c r="K25" s="209" t="str">
        <f>IFERROR(__xludf.DUMMYFUNCTION("""COMPUTED_VALUE"""),"Zenani Mulikita")</f>
        <v>Zenani Mulikita</v>
      </c>
      <c r="L25" s="209" t="str">
        <f>IFERROR(__xludf.DUMMYFUNCTION("""COMPUTED_VALUE"""),"Sahil Munshi")</f>
        <v>Sahil Munshi</v>
      </c>
      <c r="M25" s="209" t="str">
        <f>IFERROR(__xludf.DUMMYFUNCTION("""COMPUTED_VALUE"""),"Mulambo Mweemba")</f>
        <v>Mulambo Mweemba</v>
      </c>
      <c r="N25" s="209" t="str">
        <f>IFERROR(__xludf.DUMMYFUNCTION("""COMPUTED_VALUE"""),"Israel Phiri")</f>
        <v>Israel Phiri</v>
      </c>
      <c r="O25" s="209" t="str">
        <f>IFERROR(__xludf.DUMMYFUNCTION("""COMPUTED_VALUE"""),"Alexander Sakala")</f>
        <v>Alexander Sakala</v>
      </c>
      <c r="P25" s="209" t="str">
        <f>IFERROR(__xludf.DUMMYFUNCTION("""COMPUTED_VALUE"""),"Lwiito Sikapoto")</f>
        <v>Lwiito Sikapoto</v>
      </c>
      <c r="Q25" s="209" t="str">
        <f>IFERROR(__xludf.DUMMYFUNCTION("""COMPUTED_VALUE"""),"Rudo Simbayi")</f>
        <v>Rudo Simbayi</v>
      </c>
      <c r="R25" s="209" t="str">
        <f>IFERROR(__xludf.DUMMYFUNCTION("""COMPUTED_VALUE"""),"Nsenthaka Soko")</f>
        <v>Nsenthaka Soko</v>
      </c>
      <c r="S25" s="209"/>
      <c r="T25" s="209"/>
      <c r="U25" s="209"/>
      <c r="V25" s="209"/>
      <c r="W25" s="209"/>
      <c r="X25" s="209"/>
      <c r="Y25" s="209"/>
      <c r="Z25" s="209"/>
      <c r="AA25" s="209"/>
    </row>
    <row r="26">
      <c r="A26" s="441"/>
      <c r="B26" s="440" t="s">
        <v>142</v>
      </c>
      <c r="C26" s="440">
        <f>COUNTIF('IGCSE 1C'!H2:H30,"G")</f>
        <v>0</v>
      </c>
      <c r="D26" s="443" t="str">
        <f>IFERROR(__xludf.DUMMYFUNCTION("TRANSPOSE(FILTER('IGCSE 1C'!B:B, 'IGCSE 1C'!H:H=""G""))"),"#N/A")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1C'!H2:H30,"F")</f>
        <v>0</v>
      </c>
      <c r="D27" s="443" t="str">
        <f>IFERROR(__xludf.DUMMYFUNCTION("TRANSPOSE(FILTER('IGCSE 1C'!B:B, 'IGCSE 1C'!H:H=""F""))"),"#N/A")</f>
        <v>#N/A</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1C'!H2:H30,"E")</f>
        <v>0</v>
      </c>
      <c r="D28" s="443" t="str">
        <f>IFERROR(__xludf.DUMMYFUNCTION("TRANSPOSE(FILTER('IGCSE 1C'!B:B, 'IGCSE 1C'!H:H=""E""))"),"#N/A")</f>
        <v>#N/A</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1C'!H2:H30,"D")</f>
        <v>1</v>
      </c>
      <c r="D29" s="443" t="str">
        <f>IFERROR(__xludf.DUMMYFUNCTION("TRANSPOSE(FILTER('IGCSE 1C'!B:B, 'IGCSE 1C'!H:H=""D""))"),"Carmen- Grace Mare")</f>
        <v>Carmen- Grace Mare</v>
      </c>
      <c r="E29" s="209"/>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1C'!H2:H30,"C")</f>
        <v>1</v>
      </c>
      <c r="D30" s="443" t="str">
        <f>IFERROR(__xludf.DUMMYFUNCTION("TRANSPOSE(FILTER('IGCSE 1C'!B:B, 'IGCSE 1C'!H:H=""C""))"),"Mali Mestry")</f>
        <v>Mali Mestry</v>
      </c>
      <c r="E30" s="209"/>
      <c r="F30" s="209"/>
      <c r="G30" s="209"/>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1C'!H2:H30,"B")</f>
        <v>0</v>
      </c>
      <c r="D31" s="443" t="str">
        <f>IFERROR(__xludf.DUMMYFUNCTION("TRANSPOSE(FILTER('IGCSE 1C'!B:B, 'IGCSE 1C'!H:H=""B""))"),"#N/A")</f>
        <v>#N/A</v>
      </c>
      <c r="E31" s="209"/>
      <c r="F31" s="209"/>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COUNTIF('IGCSE 1C'!H2:H30,"A")</f>
        <v>0</v>
      </c>
      <c r="D32" s="443" t="str">
        <f>IFERROR(__xludf.DUMMYFUNCTION("TRANSPOSE(FILTER('IGCSE 1C'!B:B, 'IGCSE 1C'!H:H=""A""))"),"#N/A")</f>
        <v>#N/A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1C'!H2:H30,"A~*")</f>
        <v>0</v>
      </c>
      <c r="D33" s="443" t="str">
        <f>IFERROR(__xludf.DUMMYFUNCTION("TRANSPOSE(FILTER('IGCSE 1C'!B:B, 'IGCSE 1C'!H:H=""A*""))"),"#N/A")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1C'!J2:J30,"U")</f>
        <v>20</v>
      </c>
      <c r="D35" s="442" t="str">
        <f>IFERROR(__xludf.DUMMYFUNCTION("TRANSPOSE(FILTER('IGCSE 1C'!B:B, 'IGCSE 1C'!J:J=""U""))"),"Bwalya Chanda")</f>
        <v>Bwalya Chanda</v>
      </c>
      <c r="E35" s="209" t="str">
        <f>IFERROR(__xludf.DUMMYFUNCTION("""COMPUTED_VALUE"""),"Rayan Khazaal")</f>
        <v>Rayan Khazaal</v>
      </c>
      <c r="F35" s="209" t="str">
        <f>IFERROR(__xludf.DUMMYFUNCTION("""COMPUTED_VALUE"""),"Chubo Kabende")</f>
        <v>Chubo Kabende</v>
      </c>
      <c r="G35" s="209" t="str">
        <f>IFERROR(__xludf.DUMMYFUNCTION("""COMPUTED_VALUE"""),"Joshua Kateka")</f>
        <v>Joshua Kateka</v>
      </c>
      <c r="H35" s="209" t="str">
        <f>IFERROR(__xludf.DUMMYFUNCTION("""COMPUTED_VALUE"""),"Philani Lungu")</f>
        <v>Philani Lungu</v>
      </c>
      <c r="I35" s="209" t="str">
        <f>IFERROR(__xludf.DUMMYFUNCTION("""COMPUTED_VALUE"""),"Tapewa Malama")</f>
        <v>Tapewa Malama</v>
      </c>
      <c r="J35" s="209" t="str">
        <f>IFERROR(__xludf.DUMMYFUNCTION("""COMPUTED_VALUE"""),"Kunda Alfred Malijani")</f>
        <v>Kunda Alfred Malijani</v>
      </c>
      <c r="K35" s="209" t="str">
        <f>IFERROR(__xludf.DUMMYFUNCTION("""COMPUTED_VALUE"""),"Carmen- Grace Mare")</f>
        <v>Carmen- Grace Mare</v>
      </c>
      <c r="L35" s="209" t="str">
        <f>IFERROR(__xludf.DUMMYFUNCTION("""COMPUTED_VALUE"""),"Mali Mestry")</f>
        <v>Mali Mestry</v>
      </c>
      <c r="M35" s="209" t="str">
        <f>IFERROR(__xludf.DUMMYFUNCTION("""COMPUTED_VALUE"""),"Zenani Mulikita")</f>
        <v>Zenani Mulikita</v>
      </c>
      <c r="N35" s="209" t="str">
        <f>IFERROR(__xludf.DUMMYFUNCTION("""COMPUTED_VALUE"""),"Sahil Munshi")</f>
        <v>Sahil Munshi</v>
      </c>
      <c r="O35" s="209" t="str">
        <f>IFERROR(__xludf.DUMMYFUNCTION("""COMPUTED_VALUE"""),"Mulambo Mweemba")</f>
        <v>Mulambo Mweemba</v>
      </c>
      <c r="P35" s="209" t="str">
        <f>IFERROR(__xludf.DUMMYFUNCTION("""COMPUTED_VALUE"""),"Israel Phiri")</f>
        <v>Israel Phiri</v>
      </c>
      <c r="Q35" s="209" t="str">
        <f>IFERROR(__xludf.DUMMYFUNCTION("""COMPUTED_VALUE"""),"Alexander Sakala")</f>
        <v>Alexander Sakala</v>
      </c>
      <c r="R35" s="209" t="str">
        <f>IFERROR(__xludf.DUMMYFUNCTION("""COMPUTED_VALUE"""),"Lwiito Sikapoto")</f>
        <v>Lwiito Sikapoto</v>
      </c>
      <c r="S35" s="209" t="str">
        <f>IFERROR(__xludf.DUMMYFUNCTION("""COMPUTED_VALUE"""),"Rudo Simbayi")</f>
        <v>Rudo Simbayi</v>
      </c>
      <c r="T35" s="209" t="str">
        <f>IFERROR(__xludf.DUMMYFUNCTION("""COMPUTED_VALUE"""),"Nsenthaka Soko")</f>
        <v>Nsenthaka Soko</v>
      </c>
      <c r="U35" s="209"/>
      <c r="V35" s="209"/>
      <c r="W35" s="209"/>
      <c r="X35" s="209"/>
      <c r="Y35" s="209"/>
      <c r="Z35" s="209"/>
      <c r="AA35" s="209"/>
    </row>
    <row r="36">
      <c r="A36" s="441"/>
      <c r="B36" s="440" t="s">
        <v>142</v>
      </c>
      <c r="C36" s="440">
        <f>COUNTIF('IGCSE 1C'!J2:J30,"G")</f>
        <v>0</v>
      </c>
      <c r="D36" s="443" t="str">
        <f>IFERROR(__xludf.DUMMYFUNCTION("TRANSPOSE(FILTER('IGCSE 1C'!B:B, 'IGCSE 1C'!J:J=""G""))"),"#N/A")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1C'!J2:J30,"F")</f>
        <v>0</v>
      </c>
      <c r="D37" s="443" t="str">
        <f>IFERROR(__xludf.DUMMYFUNCTION("TRANSPOSE(FILTER('IGCSE 1C'!B:B, 'IGCSE 1C'!J:J=""F""))"),"#N/A")</f>
        <v>#N/A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1C'!J2:J30,"E")</f>
        <v>0</v>
      </c>
      <c r="D38" s="443" t="str">
        <f>IFERROR(__xludf.DUMMYFUNCTION("TRANSPOSE(FILTER('IGCSE 1C'!B:B, 'IGCSE 1C'!J:J=""E""))"),"#N/A")</f>
        <v>#N/A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1C'!J2:J30,"D")</f>
        <v>0</v>
      </c>
      <c r="D39" s="443" t="str">
        <f>IFERROR(__xludf.DUMMYFUNCTION("TRANSPOSE(FILTER('IGCSE 1C'!B:B, 'IGCSE 1C'!J:J=""D""))"),"#N/A")</f>
        <v>#N/A</v>
      </c>
      <c r="E39" s="209"/>
      <c r="F39" s="209"/>
      <c r="G39" s="209"/>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1C'!J2:J30,"C")</f>
        <v>0</v>
      </c>
      <c r="D40" s="443" t="str">
        <f>IFERROR(__xludf.DUMMYFUNCTION("TRANSPOSE(FILTER('IGCSE 1C'!B:B, 'IGCSE 1C'!J:J=""C""))"),"#N/A")</f>
        <v>#N/A</v>
      </c>
      <c r="E40" s="209"/>
      <c r="F40" s="209"/>
      <c r="G40" s="209"/>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1C'!J2:J30,"B")</f>
        <v>0</v>
      </c>
      <c r="D41" s="443" t="str">
        <f>IFERROR(__xludf.DUMMYFUNCTION("TRANSPOSE(FILTER('IGCSE 1C'!B:B, 'IGCSE 1C'!J:J=""B""))"),"#N/A")</f>
        <v>#N/A</v>
      </c>
      <c r="E41" s="209"/>
      <c r="F41" s="209"/>
      <c r="G41" s="209"/>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1C'!J2:J30,"A")</f>
        <v>0</v>
      </c>
      <c r="D42" s="443" t="str">
        <f>IFERROR(__xludf.DUMMYFUNCTION("TRANSPOSE(FILTER('IGCSE 1C'!B:B, 'IGCSE 1C'!J:J=""A""))"),"#N/A")</f>
        <v>#N/A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1C'!J2:J30,"A~*")</f>
        <v>0</v>
      </c>
      <c r="D43" s="443" t="str">
        <f>IFERROR(__xludf.DUMMYFUNCTION("TRANSPOSE(FILTER('IGCSE 1C'!B:B, 'IGCSE 1C'!J:J=""A*""))"),"#N/A")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1C'!T2:T30,"U")</f>
        <v>11</v>
      </c>
      <c r="D45" s="442" t="str">
        <f>IFERROR(__xludf.DUMMYFUNCTION("TRANSPOSE(FILTER('IGCSE 1C'!B:B, 'IGCSE 1C'!T:T=""U""))"),"Bwalya Chanda")</f>
        <v>Bwalya Chanda</v>
      </c>
      <c r="E45" s="209" t="str">
        <f>IFERROR(__xludf.DUMMYFUNCTION("""COMPUTED_VALUE"""),"Rayan Khazaal")</f>
        <v>Rayan Khazaal</v>
      </c>
      <c r="F45" s="209" t="str">
        <f>IFERROR(__xludf.DUMMYFUNCTION("""COMPUTED_VALUE"""),"Philani Lungu")</f>
        <v>Philani Lungu</v>
      </c>
      <c r="G45" s="209" t="str">
        <f>IFERROR(__xludf.DUMMYFUNCTION("""COMPUTED_VALUE"""),"Kunda Alfred Malijani")</f>
        <v>Kunda Alfred Malijani</v>
      </c>
      <c r="H45" s="209" t="str">
        <f>IFERROR(__xludf.DUMMYFUNCTION("""COMPUTED_VALUE"""),"Mali Mestry")</f>
        <v>Mali Mestry</v>
      </c>
      <c r="I45" s="209" t="str">
        <f>IFERROR(__xludf.DUMMYFUNCTION("""COMPUTED_VALUE"""),"Mulambo Mweemba")</f>
        <v>Mulambo Mweemba</v>
      </c>
      <c r="J45" s="209" t="str">
        <f>IFERROR(__xludf.DUMMYFUNCTION("""COMPUTED_VALUE"""),"Israel Phiri")</f>
        <v>Israel Phiri</v>
      </c>
      <c r="K45" s="209" t="str">
        <f>IFERROR(__xludf.DUMMYFUNCTION("""COMPUTED_VALUE"""),"Lwiito Sikapoto")</f>
        <v>Lwiito Sikapoto</v>
      </c>
      <c r="L45" s="209"/>
      <c r="M45" s="209"/>
      <c r="N45" s="209"/>
      <c r="O45" s="209"/>
      <c r="P45" s="209"/>
      <c r="Q45" s="209"/>
      <c r="R45" s="209"/>
      <c r="S45" s="209"/>
      <c r="T45" s="209"/>
      <c r="U45" s="209"/>
      <c r="V45" s="209"/>
      <c r="W45" s="209"/>
      <c r="X45" s="209"/>
      <c r="Y45" s="209"/>
      <c r="Z45" s="209"/>
      <c r="AA45" s="209"/>
    </row>
    <row r="46">
      <c r="A46" s="441"/>
      <c r="B46" s="440" t="s">
        <v>142</v>
      </c>
      <c r="C46" s="440">
        <f>COUNTIF('IGCSE 1C'!T2:T30,"G")</f>
        <v>0</v>
      </c>
      <c r="D46" s="443" t="str">
        <f>IFERROR(__xludf.DUMMYFUNCTION("TRANSPOSE(FILTER('IGCSE 1C'!B:B, 'IGCSE 1C'!T:T=""G""))"),"#N/A")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1C'!T2:T30,"F")</f>
        <v>0</v>
      </c>
      <c r="D47" s="443" t="str">
        <f>IFERROR(__xludf.DUMMYFUNCTION("TRANSPOSE(FILTER('IGCSE 1C'!B:B, 'IGCSE 1C'!T:T=""F""))"),"#N/A")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1C'!T2:T30,"E")</f>
        <v>0</v>
      </c>
      <c r="D48" s="443" t="str">
        <f>IFERROR(__xludf.DUMMYFUNCTION("TRANSPOSE(FILTER('IGCSE 1C'!B:B, 'IGCSE 1C'!T:T=""E""))"),"#N/A")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1C'!T2:T30,"D")</f>
        <v>1</v>
      </c>
      <c r="D49" s="443" t="str">
        <f>IFERROR(__xludf.DUMMYFUNCTION("TRANSPOSE(FILTER('IGCSE 1C'!B:B, 'IGCSE 1C'!T:T=""D""))"),"Zenani Mulikita")</f>
        <v>Zenani Mulikita</v>
      </c>
      <c r="E49" s="209"/>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1C'!T2:T30,"C")</f>
        <v>5</v>
      </c>
      <c r="D50" s="443" t="str">
        <f>IFERROR(__xludf.DUMMYFUNCTION("TRANSPOSE(FILTER('IGCSE 1C'!B:B, 'IGCSE 1C'!T:T=""C""))"),"Chubo Kabende")</f>
        <v>Chubo Kabende</v>
      </c>
      <c r="E50" s="209" t="str">
        <f>IFERROR(__xludf.DUMMYFUNCTION("""COMPUTED_VALUE"""),"Joshua Kateka")</f>
        <v>Joshua Kateka</v>
      </c>
      <c r="F50" s="209" t="str">
        <f>IFERROR(__xludf.DUMMYFUNCTION("""COMPUTED_VALUE"""),"Tapewa Malama")</f>
        <v>Tapewa Malama</v>
      </c>
      <c r="G50" s="209" t="str">
        <f>IFERROR(__xludf.DUMMYFUNCTION("""COMPUTED_VALUE"""),"Carmen- Grace Mare")</f>
        <v>Carmen- Grace Mare</v>
      </c>
      <c r="H50" s="209" t="str">
        <f>IFERROR(__xludf.DUMMYFUNCTION("""COMPUTED_VALUE"""),"Sahil Munshi")</f>
        <v>Sahil Munshi</v>
      </c>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1C'!T2:T30,"B")</f>
        <v>1</v>
      </c>
      <c r="D51" s="443" t="str">
        <f>IFERROR(__xludf.DUMMYFUNCTION("TRANSPOSE(FILTER('IGCSE 1C'!B:B, 'IGCSE 1C'!T:T=""B""))"),"Nsenthaka Soko")</f>
        <v>Nsenthaka Soko</v>
      </c>
      <c r="E51" s="209"/>
      <c r="F51" s="209"/>
      <c r="G51" s="209"/>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1C'!T2:T30,"A")</f>
        <v>1</v>
      </c>
      <c r="D52" s="443" t="str">
        <f>IFERROR(__xludf.DUMMYFUNCTION("TRANSPOSE(FILTER('IGCSE 1C'!B:B, 'IGCSE 1C'!T:T=""A""))"),"Rudo Simbayi")</f>
        <v>Rudo Simbayi</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COUNTIF('IGCSE 1C'!T2:T30,"A~*")</f>
        <v>1</v>
      </c>
      <c r="D53" s="443" t="str">
        <f>IFERROR(__xludf.DUMMYFUNCTION("TRANSPOSE(FILTER('IGCSE 1C'!B:B, 'IGCSE 1C'!T:T=""A*""))"),"Alexander Sakala")</f>
        <v>Alexander Sakala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1C'!N2:N30,"U")</f>
        <v>6</v>
      </c>
      <c r="D55" s="442" t="str">
        <f>IFERROR(__xludf.DUMMYFUNCTION("TRANSPOSE(FILTER('IGCSE 1C'!B:B, 'IGCSE 1C'!N:N=""U""))"),"Kunda Alfred Malijani")</f>
        <v>Kunda Alfred Malijani</v>
      </c>
      <c r="E55" s="209" t="str">
        <f>IFERROR(__xludf.DUMMYFUNCTION("""COMPUTED_VALUE"""),"Carmen- Grace Mare")</f>
        <v>Carmen- Grace Mare</v>
      </c>
      <c r="F55" s="209" t="str">
        <f>IFERROR(__xludf.DUMMYFUNCTION("""COMPUTED_VALUE"""),"Mali Mestry")</f>
        <v>Mali Mestry</v>
      </c>
      <c r="G55" s="209"/>
      <c r="H55" s="209"/>
      <c r="I55" s="209"/>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COUNTIF('IGCSE 1C'!N2:N30,"G")</f>
        <v>1</v>
      </c>
      <c r="D56" s="443" t="str">
        <f>IFERROR(__xludf.DUMMYFUNCTION("TRANSPOSE(FILTER('IGCSE 1C'!B:B, 'IGCSE 1C'!N:N=""G""))"),"Joshua Kateka")</f>
        <v>Joshua Kateka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1C'!N2:N30,"F")</f>
        <v>1</v>
      </c>
      <c r="D57" s="443" t="str">
        <f>IFERROR(__xludf.DUMMYFUNCTION("TRANSPOSE(FILTER('IGCSE 1C'!B:B, 'IGCSE 1C'!N:N=""F""))"),"Sahil Munshi")</f>
        <v>Sahil Munshi</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1C'!N2:N30,"E")</f>
        <v>7</v>
      </c>
      <c r="D58" s="443" t="str">
        <f>IFERROR(__xludf.DUMMYFUNCTION("TRANSPOSE(FILTER('IGCSE 1C'!B:B, 'IGCSE 1C'!N:N=""E""))"),"Bwalya Chanda")</f>
        <v>Bwalya Chanda</v>
      </c>
      <c r="E58" s="209" t="str">
        <f>IFERROR(__xludf.DUMMYFUNCTION("""COMPUTED_VALUE"""),"Rayan Khazaal")</f>
        <v>Rayan Khazaal</v>
      </c>
      <c r="F58" s="209" t="str">
        <f>IFERROR(__xludf.DUMMYFUNCTION("""COMPUTED_VALUE"""),"Chubo Kabende")</f>
        <v>Chubo Kabende</v>
      </c>
      <c r="G58" s="209" t="str">
        <f>IFERROR(__xludf.DUMMYFUNCTION("""COMPUTED_VALUE"""),"Philani Lungu")</f>
        <v>Philani Lungu</v>
      </c>
      <c r="H58" s="209" t="str">
        <f>IFERROR(__xludf.DUMMYFUNCTION("""COMPUTED_VALUE"""),"Zenani Mulikita")</f>
        <v>Zenani Mulikita</v>
      </c>
      <c r="I58" s="209" t="str">
        <f>IFERROR(__xludf.DUMMYFUNCTION("""COMPUTED_VALUE"""),"Mulambo Mweemba")</f>
        <v>Mulambo Mweemba</v>
      </c>
      <c r="J58" s="209" t="str">
        <f>IFERROR(__xludf.DUMMYFUNCTION("""COMPUTED_VALUE"""),"Israel Phiri")</f>
        <v>Israel Phiri</v>
      </c>
      <c r="K58" s="209"/>
      <c r="L58" s="209"/>
      <c r="M58" s="209"/>
      <c r="N58" s="209"/>
      <c r="O58" s="209"/>
      <c r="P58" s="209"/>
      <c r="Q58" s="209"/>
      <c r="R58" s="209"/>
      <c r="S58" s="209"/>
      <c r="T58" s="209"/>
      <c r="U58" s="209"/>
      <c r="V58" s="209"/>
      <c r="W58" s="209"/>
      <c r="X58" s="209"/>
      <c r="Y58" s="209"/>
      <c r="Z58" s="209"/>
      <c r="AA58" s="209"/>
    </row>
    <row r="59">
      <c r="A59" s="441"/>
      <c r="B59" s="440" t="s">
        <v>93</v>
      </c>
      <c r="C59" s="440">
        <f>COUNTIF('IGCSE 1C'!N2:N30,"D")</f>
        <v>3</v>
      </c>
      <c r="D59" s="443" t="str">
        <f>IFERROR(__xludf.DUMMYFUNCTION("TRANSPOSE(FILTER('IGCSE 1C'!B:B, 'IGCSE 1C'!N:N=""D""))"),"Lwiito Sikapoto")</f>
        <v>Lwiito Sikapoto</v>
      </c>
      <c r="E59" s="209" t="str">
        <f>IFERROR(__xludf.DUMMYFUNCTION("""COMPUTED_VALUE"""),"Rudo Simbayi")</f>
        <v>Rudo Simbayi</v>
      </c>
      <c r="F59" s="209" t="str">
        <f>IFERROR(__xludf.DUMMYFUNCTION("""COMPUTED_VALUE"""),"Nsenthaka Soko")</f>
        <v>Nsenthaka Soko</v>
      </c>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1C'!N2:N30,"C")</f>
        <v>2</v>
      </c>
      <c r="D60" s="443" t="str">
        <f>IFERROR(__xludf.DUMMYFUNCTION("TRANSPOSE(FILTER('IGCSE 1C'!B:B, 'IGCSE 1C'!N:N=""C""))"),"Tapewa Malama")</f>
        <v>Tapewa Malama</v>
      </c>
      <c r="E60" s="209" t="str">
        <f>IFERROR(__xludf.DUMMYFUNCTION("""COMPUTED_VALUE"""),"Alexander Sakala")</f>
        <v>Alexander Sakala</v>
      </c>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1C'!N2:N30,"B")</f>
        <v>0</v>
      </c>
      <c r="D61" s="443" t="str">
        <f>IFERROR(__xludf.DUMMYFUNCTION("TRANSPOSE(FILTER('IGCSE 1C'!B:B, 'IGCSE 1C'!N:N=""B""))"),"#N/A")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1C'!N2:N30,"A")</f>
        <v>0</v>
      </c>
      <c r="D62" s="443" t="str">
        <f>IFERROR(__xludf.DUMMYFUNCTION("TRANSPOSE(FILTER('IGCSE 1C'!B:B, 'IGCSE 1C'!N:N=""A""))"),"#N/A")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1C'!N2:N30,"A~*")</f>
        <v>0</v>
      </c>
      <c r="D63" s="443" t="str">
        <f>IFERROR(__xludf.DUMMYFUNCTION("TRANSPOSE(FILTER('IGCSE 1C'!B:B, 'IGCSE 1C'!N:N=""A*""))"),"#N/A")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1C'!R2:R30,"U")</f>
        <v>7</v>
      </c>
      <c r="D65" s="442" t="str">
        <f>IFERROR(__xludf.DUMMYFUNCTION("TRANSPOSE(FILTER('IGCSE 1C'!B:B, 'IGCSE 1C'!R:R=""U""))"),"Rayan Khazaal")</f>
        <v>Rayan Khazaal</v>
      </c>
      <c r="E65" s="209" t="str">
        <f>IFERROR(__xludf.DUMMYFUNCTION("""COMPUTED_VALUE"""),"Kunda Alfred Malijani")</f>
        <v>Kunda Alfred Malijani</v>
      </c>
      <c r="F65" s="209" t="str">
        <f>IFERROR(__xludf.DUMMYFUNCTION("""COMPUTED_VALUE"""),"Carmen- Grace Mare")</f>
        <v>Carmen- Grace Mare</v>
      </c>
      <c r="G65" s="209" t="str">
        <f>IFERROR(__xludf.DUMMYFUNCTION("""COMPUTED_VALUE"""),"Mali Mestry")</f>
        <v>Mali Mestry</v>
      </c>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COUNTIF('IGCSE 1C'!R2:R30,"G")</f>
        <v>1</v>
      </c>
      <c r="D66" s="443" t="str">
        <f>IFERROR(__xludf.DUMMYFUNCTION("TRANSPOSE(FILTER('IGCSE 1C'!B:B, 'IGCSE 1C'!R:R=""G""))"),"Israel Phiri")</f>
        <v>Israel Phiri</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1C'!R2:R30,"F")</f>
        <v>3</v>
      </c>
      <c r="D67" s="443" t="str">
        <f>IFERROR(__xludf.DUMMYFUNCTION("TRANSPOSE(FILTER('IGCSE 1C'!B:B, 'IGCSE 1C'!R:R=""F""))"),"Joshua Kateka")</f>
        <v>Joshua Kateka</v>
      </c>
      <c r="E67" s="209" t="str">
        <f>IFERROR(__xludf.DUMMYFUNCTION("""COMPUTED_VALUE"""),"Philani Lungu")</f>
        <v>Philani Lungu</v>
      </c>
      <c r="F67" s="209" t="str">
        <f>IFERROR(__xludf.DUMMYFUNCTION("""COMPUTED_VALUE"""),"Lwiito Sikapoto")</f>
        <v>Lwiito Sikapoto</v>
      </c>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1C'!R2:R30,"E")</f>
        <v>3</v>
      </c>
      <c r="D68" s="443" t="str">
        <f>IFERROR(__xludf.DUMMYFUNCTION("TRANSPOSE(FILTER('IGCSE 1C'!B:B, 'IGCSE 1C'!R:R=""E""))"),"Bwalya Chanda")</f>
        <v>Bwalya Chanda</v>
      </c>
      <c r="E68" s="209" t="str">
        <f>IFERROR(__xludf.DUMMYFUNCTION("""COMPUTED_VALUE"""),"Zenani Mulikita")</f>
        <v>Zenani Mulikita</v>
      </c>
      <c r="F68" s="209" t="str">
        <f>IFERROR(__xludf.DUMMYFUNCTION("""COMPUTED_VALUE"""),"Mulambo Mweemba")</f>
        <v>Mulambo Mweemba</v>
      </c>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1C'!R2:R30,"D")</f>
        <v>5</v>
      </c>
      <c r="D69" s="443" t="str">
        <f>IFERROR(__xludf.DUMMYFUNCTION("TRANSPOSE(FILTER('IGCSE 1C'!B:B, 'IGCSE 1C'!R:R=""D""))"),"Chubo Kabende")</f>
        <v>Chubo Kabende</v>
      </c>
      <c r="E69" s="209" t="str">
        <f>IFERROR(__xludf.DUMMYFUNCTION("""COMPUTED_VALUE"""),"Tapewa Malama")</f>
        <v>Tapewa Malama</v>
      </c>
      <c r="F69" s="209" t="str">
        <f>IFERROR(__xludf.DUMMYFUNCTION("""COMPUTED_VALUE"""),"Sahil Munshi")</f>
        <v>Sahil Munshi</v>
      </c>
      <c r="G69" s="209" t="str">
        <f>IFERROR(__xludf.DUMMYFUNCTION("""COMPUTED_VALUE"""),"Rudo Simbayi")</f>
        <v>Rudo Simbayi</v>
      </c>
      <c r="H69" s="209" t="str">
        <f>IFERROR(__xludf.DUMMYFUNCTION("""COMPUTED_VALUE"""),"Nsenthaka Soko")</f>
        <v>Nsenthaka Soko</v>
      </c>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1C'!R2:R30,"C")</f>
        <v>0</v>
      </c>
      <c r="D70" s="443" t="str">
        <f>IFERROR(__xludf.DUMMYFUNCTION("TRANSPOSE(FILTER('IGCSE 1C'!B:B, 'IGCSE 1C'!R:R=""C""))"),"#N/A")</f>
        <v>#N/A</v>
      </c>
      <c r="E70" s="209"/>
      <c r="F70" s="209"/>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1C'!R2:R30,"B")</f>
        <v>1</v>
      </c>
      <c r="D71" s="443" t="str">
        <f>IFERROR(__xludf.DUMMYFUNCTION("TRANSPOSE(FILTER('IGCSE 1C'!B:B, 'IGCSE 1C'!R:R=""B""))"),"Alexander Sakala")</f>
        <v>Alexander Sakala</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1C'!R2:R30,"A")</f>
        <v>0</v>
      </c>
      <c r="D72" s="443" t="str">
        <f>IFERROR(__xludf.DUMMYFUNCTION("TRANSPOSE(FILTER('IGCSE 1C'!B:B, 'IGCSE 1C'!R:R=""A""))"),"#N/A")</f>
        <v>#N/A</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1C'!R2:R30,"A~*")</f>
        <v>0</v>
      </c>
      <c r="D73" s="443" t="str">
        <f>IFERROR(__xludf.DUMMYFUNCTION("TRANSPOSE(FILTER('IGCSE 1C'!B:B, 'IGCSE 1C'!R:R=""A*""))"),"#N/A")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1C'!L2:L30,"U")</f>
        <v>14</v>
      </c>
      <c r="D75" s="442" t="str">
        <f>IFERROR(__xludf.DUMMYFUNCTION("TRANSPOSE(FILTER('IGCSE 1C'!B:B, 'IGCSE 1C'!L:L=""U""))"),"Chubo Kabende")</f>
        <v>Chubo Kabende</v>
      </c>
      <c r="E75" s="209" t="str">
        <f>IFERROR(__xludf.DUMMYFUNCTION("""COMPUTED_VALUE"""),"Joshua Kateka")</f>
        <v>Joshua Kateka</v>
      </c>
      <c r="F75" s="209" t="str">
        <f>IFERROR(__xludf.DUMMYFUNCTION("""COMPUTED_VALUE"""),"Tapewa Malama")</f>
        <v>Tapewa Malama</v>
      </c>
      <c r="G75" s="209" t="str">
        <f>IFERROR(__xludf.DUMMYFUNCTION("""COMPUTED_VALUE"""),"Kunda Alfred Malijani")</f>
        <v>Kunda Alfred Malijani</v>
      </c>
      <c r="H75" s="209" t="str">
        <f>IFERROR(__xludf.DUMMYFUNCTION("""COMPUTED_VALUE"""),"Carmen- Grace Mare")</f>
        <v>Carmen- Grace Mare</v>
      </c>
      <c r="I75" s="209" t="str">
        <f>IFERROR(__xludf.DUMMYFUNCTION("""COMPUTED_VALUE"""),"Mali Mestry")</f>
        <v>Mali Mestry</v>
      </c>
      <c r="J75" s="209" t="str">
        <f>IFERROR(__xludf.DUMMYFUNCTION("""COMPUTED_VALUE"""),"Zenani Mulikita")</f>
        <v>Zenani Mulikita</v>
      </c>
      <c r="K75" s="209" t="str">
        <f>IFERROR(__xludf.DUMMYFUNCTION("""COMPUTED_VALUE"""),"Sahil Munshi")</f>
        <v>Sahil Munshi</v>
      </c>
      <c r="L75" s="209" t="str">
        <f>IFERROR(__xludf.DUMMYFUNCTION("""COMPUTED_VALUE"""),"Alexander Sakala")</f>
        <v>Alexander Sakala</v>
      </c>
      <c r="M75" s="209" t="str">
        <f>IFERROR(__xludf.DUMMYFUNCTION("""COMPUTED_VALUE"""),"Rudo Simbayi")</f>
        <v>Rudo Simbayi</v>
      </c>
      <c r="N75" s="209" t="str">
        <f>IFERROR(__xludf.DUMMYFUNCTION("""COMPUTED_VALUE"""),"Nsenthaka Soko")</f>
        <v>Nsenthaka Soko</v>
      </c>
      <c r="O75" s="209"/>
      <c r="P75" s="209"/>
      <c r="Q75" s="209"/>
      <c r="R75" s="209"/>
      <c r="S75" s="209"/>
      <c r="T75" s="209"/>
      <c r="U75" s="209"/>
      <c r="V75" s="209"/>
      <c r="W75" s="209"/>
      <c r="X75" s="209"/>
      <c r="Y75" s="209"/>
      <c r="Z75" s="209"/>
      <c r="AA75" s="209"/>
    </row>
    <row r="76">
      <c r="A76" s="441"/>
      <c r="B76" s="440" t="s">
        <v>142</v>
      </c>
      <c r="C76" s="440">
        <f>COUNTIF('IGCSE 1C'!L2:L30,"G")</f>
        <v>0</v>
      </c>
      <c r="D76" s="443" t="str">
        <f>IFERROR(__xludf.DUMMYFUNCTION("TRANSPOSE(FILTER('IGCSE 1C'!B:B, 'IGCSE 1C'!L:L=""G""))"),"#N/A")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1C'!L2:L30,"F")</f>
        <v>0</v>
      </c>
      <c r="D77" s="443" t="str">
        <f>IFERROR(__xludf.DUMMYFUNCTION("TRANSPOSE(FILTER('IGCSE 1C'!B:B, 'IGCSE 1C'!L:L=""F""))"),"#N/A")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1C'!L2:L30,"E")</f>
        <v>0</v>
      </c>
      <c r="D78" s="443" t="str">
        <f>IFERROR(__xludf.DUMMYFUNCTION("TRANSPOSE(FILTER('IGCSE 1C'!B:B, 'IGCSE 1C'!L:L=""E""))"),"#N/A")</f>
        <v>#N/A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1C'!L2:L30,"D")</f>
        <v>0</v>
      </c>
      <c r="D79" s="443" t="str">
        <f>IFERROR(__xludf.DUMMYFUNCTION("TRANSPOSE(FILTER('IGCSE 1C'!B:B, 'IGCSE 1C'!L:L=""D""))"),"#N/A")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1C'!L2:L30,"C")</f>
        <v>2</v>
      </c>
      <c r="D80" s="443" t="str">
        <f>IFERROR(__xludf.DUMMYFUNCTION("TRANSPOSE(FILTER('IGCSE 1C'!B:B, 'IGCSE 1C'!L:L=""C""))"),"Bwalya Chanda")</f>
        <v>Bwalya Chanda</v>
      </c>
      <c r="E80" s="209" t="str">
        <f>IFERROR(__xludf.DUMMYFUNCTION("""COMPUTED_VALUE"""),"Mulambo Mweemba")</f>
        <v>Mulambo Mweemba</v>
      </c>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1C'!L2:L30,"B")</f>
        <v>3</v>
      </c>
      <c r="D81" s="443" t="str">
        <f>IFERROR(__xludf.DUMMYFUNCTION("TRANSPOSE(FILTER('IGCSE 1C'!B:B, 'IGCSE 1C'!L:L=""B""))"),"Philani Lungu")</f>
        <v>Philani Lungu</v>
      </c>
      <c r="E81" s="209" t="str">
        <f>IFERROR(__xludf.DUMMYFUNCTION("""COMPUTED_VALUE"""),"Israel Phiri")</f>
        <v>Israel Phiri</v>
      </c>
      <c r="F81" s="209" t="str">
        <f>IFERROR(__xludf.DUMMYFUNCTION("""COMPUTED_VALUE"""),"Lwiito Sikapoto")</f>
        <v>Lwiito Sikapoto</v>
      </c>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1C'!L2:L30,"A")</f>
        <v>1</v>
      </c>
      <c r="D82" s="443" t="str">
        <f>IFERROR(__xludf.DUMMYFUNCTION("TRANSPOSE(FILTER('IGCSE 1C'!B:B, 'IGCSE 1C'!L:L=""A""))"),"Rayan Khazaal")</f>
        <v>Rayan Khazaal</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1C'!L2:L30,"A~*")</f>
        <v>0</v>
      </c>
      <c r="D83" s="443" t="str">
        <f>IFERROR(__xludf.DUMMYFUNCTION("TRANSPOSE(FILTER('IGCSE 1C'!B:B, 'IGCSE 1C'!L:L=""A*""))"),"#N/A")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1C'!V2:V30,"U")</f>
        <v>18</v>
      </c>
      <c r="D85" s="442" t="str">
        <f>IFERROR(__xludf.DUMMYFUNCTION("TRANSPOSE(FILTER('IGCSE 1C'!B:B, 'IGCSE 1C'!V:V=""U""))"),"Bwalya Chanda")</f>
        <v>Bwalya Chanda</v>
      </c>
      <c r="E85" s="209" t="str">
        <f>IFERROR(__xludf.DUMMYFUNCTION("""COMPUTED_VALUE"""),"Chubo Kabende")</f>
        <v>Chubo Kabende</v>
      </c>
      <c r="F85" s="209" t="str">
        <f>IFERROR(__xludf.DUMMYFUNCTION("""COMPUTED_VALUE"""),"Joshua Kateka")</f>
        <v>Joshua Kateka</v>
      </c>
      <c r="G85" s="209" t="str">
        <f>IFERROR(__xludf.DUMMYFUNCTION("""COMPUTED_VALUE"""),"Philani Lungu")</f>
        <v>Philani Lungu</v>
      </c>
      <c r="H85" s="209" t="str">
        <f>IFERROR(__xludf.DUMMYFUNCTION("""COMPUTED_VALUE"""),"Tapewa Malama")</f>
        <v>Tapewa Malama</v>
      </c>
      <c r="I85" s="209" t="str">
        <f>IFERROR(__xludf.DUMMYFUNCTION("""COMPUTED_VALUE"""),"Kunda Alfred Malijani")</f>
        <v>Kunda Alfred Malijani</v>
      </c>
      <c r="J85" s="209" t="str">
        <f>IFERROR(__xludf.DUMMYFUNCTION("""COMPUTED_VALUE"""),"Mali Mestry")</f>
        <v>Mali Mestry</v>
      </c>
      <c r="K85" s="209" t="str">
        <f>IFERROR(__xludf.DUMMYFUNCTION("""COMPUTED_VALUE"""),"Zenani Mulikita")</f>
        <v>Zenani Mulikita</v>
      </c>
      <c r="L85" s="209" t="str">
        <f>IFERROR(__xludf.DUMMYFUNCTION("""COMPUTED_VALUE"""),"Sahil Munshi")</f>
        <v>Sahil Munshi</v>
      </c>
      <c r="M85" s="209" t="str">
        <f>IFERROR(__xludf.DUMMYFUNCTION("""COMPUTED_VALUE"""),"Mulambo Mweemba")</f>
        <v>Mulambo Mweemba</v>
      </c>
      <c r="N85" s="209" t="str">
        <f>IFERROR(__xludf.DUMMYFUNCTION("""COMPUTED_VALUE"""),"Israel Phiri")</f>
        <v>Israel Phiri</v>
      </c>
      <c r="O85" s="209" t="str">
        <f>IFERROR(__xludf.DUMMYFUNCTION("""COMPUTED_VALUE"""),"Alexander Sakala")</f>
        <v>Alexander Sakala</v>
      </c>
      <c r="P85" s="209" t="str">
        <f>IFERROR(__xludf.DUMMYFUNCTION("""COMPUTED_VALUE"""),"Lwiito Sikapoto")</f>
        <v>Lwiito Sikapoto</v>
      </c>
      <c r="Q85" s="209" t="str">
        <f>IFERROR(__xludf.DUMMYFUNCTION("""COMPUTED_VALUE"""),"Rudo Simbayi")</f>
        <v>Rudo Simbayi</v>
      </c>
      <c r="R85" s="209" t="str">
        <f>IFERROR(__xludf.DUMMYFUNCTION("""COMPUTED_VALUE"""),"Nsenthaka Soko")</f>
        <v>Nsenthaka Soko</v>
      </c>
      <c r="S85" s="209"/>
      <c r="T85" s="209"/>
      <c r="U85" s="209"/>
      <c r="V85" s="209"/>
      <c r="W85" s="209"/>
      <c r="X85" s="209"/>
      <c r="Y85" s="209"/>
      <c r="Z85" s="209"/>
      <c r="AA85" s="209"/>
    </row>
    <row r="86">
      <c r="A86" s="441"/>
      <c r="B86" s="440" t="s">
        <v>142</v>
      </c>
      <c r="C86" s="440">
        <f>COUNTIF('IGCSE 1C'!V2:V30,"G")</f>
        <v>0</v>
      </c>
      <c r="D86" s="443" t="str">
        <f>IFERROR(__xludf.DUMMYFUNCTION("TRANSPOSE(FILTER('IGCSE 1C'!B:B, 'IGCSE 1C'!V:V=""G""))"),"#N/A")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1C'!V2:V30,"F")</f>
        <v>0</v>
      </c>
      <c r="D87" s="443" t="str">
        <f>IFERROR(__xludf.DUMMYFUNCTION("TRANSPOSE(FILTER('IGCSE 1C'!B:B, 'IGCSE 1C'!V:V=""F""))"),"#N/A")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1C'!V2:V30,"E")</f>
        <v>2</v>
      </c>
      <c r="D88" s="443" t="str">
        <f>IFERROR(__xludf.DUMMYFUNCTION("TRANSPOSE(FILTER('IGCSE 1C'!B:B, 'IGCSE 1C'!V:V=""E""))"),"Rayan Khazaal")</f>
        <v>Rayan Khazaal</v>
      </c>
      <c r="E88" s="209" t="str">
        <f>IFERROR(__xludf.DUMMYFUNCTION("""COMPUTED_VALUE"""),"Carmen- Grace Mare")</f>
        <v>Carmen- Grace Mare</v>
      </c>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1C'!V2:V30,"D")</f>
        <v>0</v>
      </c>
      <c r="D89" s="443" t="str">
        <f>IFERROR(__xludf.DUMMYFUNCTION("TRANSPOSE(FILTER('IGCSE 1C'!B:B, 'IGCSE 1C'!V:V=""D""))"),"#N/A")</f>
        <v>#N/A</v>
      </c>
      <c r="E89" s="209"/>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1C'!V2:V30,"C")</f>
        <v>0</v>
      </c>
      <c r="D90" s="443" t="str">
        <f>IFERROR(__xludf.DUMMYFUNCTION("TRANSPOSE(FILTER('IGCSE 1C'!B:B, 'IGCSE 1C'!V:V=""C""))"),"#N/A")</f>
        <v>#N/A</v>
      </c>
      <c r="E90" s="209"/>
      <c r="F90" s="209"/>
      <c r="G90" s="209"/>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1C'!V2:V30,"B")</f>
        <v>0</v>
      </c>
      <c r="D91" s="443" t="str">
        <f>IFERROR(__xludf.DUMMYFUNCTION("TRANSPOSE(FILTER('IGCSE 1C'!B:B, 'IGCSE 1C'!V:V=""B""))"),"#N/A")</f>
        <v>#N/A</v>
      </c>
      <c r="E91" s="209"/>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1C'!V2:V30,"A")</f>
        <v>0</v>
      </c>
      <c r="D92" s="443" t="str">
        <f>IFERROR(__xludf.DUMMYFUNCTION("TRANSPOSE(FILTER('IGCSE 1C'!B:B, 'IGCSE 1C'!V:V=""A""))"),"#N/A")</f>
        <v>#N/A</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1C'!V2:V30,"A~*")</f>
        <v>0</v>
      </c>
      <c r="D93" s="443" t="str">
        <f>IFERROR(__xludf.DUMMYFUNCTION("TRANSPOSE(FILTER('IGCSE 1C'!B:B, 'IGCSE 1C'!V:V=""A*""))"),"#N/A")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1C'!P2:P30,"U")</f>
        <v>3</v>
      </c>
      <c r="D95" s="442" t="str">
        <f>IFERROR(__xludf.DUMMYFUNCTION("TRANSPOSE(FILTER('IGCSE 1C'!B:B, 'IGCSE 1C'!P:P=""U""))"),"")</f>
        <v/>
      </c>
      <c r="E95" s="209"/>
      <c r="F95" s="209"/>
      <c r="G95" s="209"/>
      <c r="H95" s="209"/>
      <c r="I95" s="209"/>
      <c r="J95" s="209"/>
      <c r="K95" s="209"/>
      <c r="L95" s="209"/>
      <c r="M95" s="209"/>
      <c r="N95" s="209"/>
      <c r="O95" s="209"/>
      <c r="P95" s="209"/>
      <c r="Q95" s="209"/>
      <c r="R95" s="209"/>
      <c r="S95" s="209"/>
      <c r="T95" s="209"/>
      <c r="U95" s="209"/>
      <c r="V95" s="209"/>
      <c r="W95" s="209"/>
      <c r="X95" s="209"/>
      <c r="Y95" s="209"/>
      <c r="Z95" s="209"/>
      <c r="AA95" s="209"/>
    </row>
    <row r="96">
      <c r="A96" s="441"/>
      <c r="B96" s="440" t="s">
        <v>142</v>
      </c>
      <c r="C96" s="440">
        <f>COUNTIF('IGCSE 1C'!P2:P30,"G")</f>
        <v>0</v>
      </c>
      <c r="D96" s="443" t="str">
        <f>IFERROR(__xludf.DUMMYFUNCTION("TRANSPOSE(FILTER('IGCSE 1C'!B:B, 'IGCSE 1C'!P:P=""G""))"),"#N/A")</f>
        <v>#N/A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1C'!P2:P30,"F")</f>
        <v>0</v>
      </c>
      <c r="D97" s="443" t="str">
        <f>IFERROR(__xludf.DUMMYFUNCTION("TRANSPOSE(FILTER('IGCSE 1C'!B:B, 'IGCSE 1C'!P:P=""F""))"),"#N/A")</f>
        <v>#N/A</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1C'!P2:P30,"E")</f>
        <v>0</v>
      </c>
      <c r="D98" s="443" t="str">
        <f>IFERROR(__xludf.DUMMYFUNCTION("TRANSPOSE(FILTER('IGCSE 1C'!B:B, 'IGCSE 1C'!P:P=""E""))"),"#N/A")</f>
        <v>#N/A</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1C'!P2:P30,"D")</f>
        <v>1</v>
      </c>
      <c r="D99" s="443" t="str">
        <f>IFERROR(__xludf.DUMMYFUNCTION("TRANSPOSE(FILTER('IGCSE 1C'!B:B, 'IGCSE 1C'!P:P=""D""))"),"Chubo Kabende")</f>
        <v>Chubo Kabende</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1C'!P2:P30,"C")</f>
        <v>7</v>
      </c>
      <c r="D100" s="443" t="str">
        <f>IFERROR(__xludf.DUMMYFUNCTION("TRANSPOSE(FILTER('IGCSE 1C'!B:B, 'IGCSE 1C'!P:P=""C""))"),"Philani Lungu")</f>
        <v>Philani Lungu</v>
      </c>
      <c r="E100" s="209" t="str">
        <f>IFERROR(__xludf.DUMMYFUNCTION("""COMPUTED_VALUE"""),"Kunda Alfred Malijani")</f>
        <v>Kunda Alfred Malijani</v>
      </c>
      <c r="F100" s="209" t="str">
        <f>IFERROR(__xludf.DUMMYFUNCTION("""COMPUTED_VALUE"""),"Mali Mestry")</f>
        <v>Mali Mestry</v>
      </c>
      <c r="G100" s="209" t="str">
        <f>IFERROR(__xludf.DUMMYFUNCTION("""COMPUTED_VALUE"""),"Sahil Munshi")</f>
        <v>Sahil Munshi</v>
      </c>
      <c r="H100" s="209" t="str">
        <f>IFERROR(__xludf.DUMMYFUNCTION("""COMPUTED_VALUE"""),"Mulambo Mweemba")</f>
        <v>Mulambo Mweemba</v>
      </c>
      <c r="I100" s="209" t="str">
        <f>IFERROR(__xludf.DUMMYFUNCTION("""COMPUTED_VALUE"""),"Lwiito Sikapoto")</f>
        <v>Lwiito Sikapoto</v>
      </c>
      <c r="J100" s="209" t="str">
        <f>IFERROR(__xludf.DUMMYFUNCTION("""COMPUTED_VALUE"""),"Rudo Simbayi")</f>
        <v>Rudo Simbayi</v>
      </c>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1C'!P2:P30,"B")</f>
        <v>4</v>
      </c>
      <c r="D101" s="443" t="str">
        <f>IFERROR(__xludf.DUMMYFUNCTION("TRANSPOSE(FILTER('IGCSE 1C'!B:B, 'IGCSE 1C'!P:P=""B""))"),"Bwalya Chanda")</f>
        <v>Bwalya Chanda</v>
      </c>
      <c r="E101" s="209" t="str">
        <f>IFERROR(__xludf.DUMMYFUNCTION("""COMPUTED_VALUE"""),"Joshua Kateka")</f>
        <v>Joshua Kateka</v>
      </c>
      <c r="F101" s="209" t="str">
        <f>IFERROR(__xludf.DUMMYFUNCTION("""COMPUTED_VALUE"""),"Carmen- Grace Mare")</f>
        <v>Carmen- Grace Mare</v>
      </c>
      <c r="G101" s="209" t="str">
        <f>IFERROR(__xludf.DUMMYFUNCTION("""COMPUTED_VALUE"""),"Israel Phiri")</f>
        <v>Israel Phiri</v>
      </c>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1C'!P2:P30,"A")</f>
        <v>4</v>
      </c>
      <c r="D102" s="443" t="str">
        <f>IFERROR(__xludf.DUMMYFUNCTION("TRANSPOSE(FILTER('IGCSE 1C'!B:B, 'IGCSE 1C'!P:P=""A""))"),"Rayan Khazaal")</f>
        <v>Rayan Khazaal</v>
      </c>
      <c r="E102" s="209" t="str">
        <f>IFERROR(__xludf.DUMMYFUNCTION("""COMPUTED_VALUE"""),"Tapewa Malama")</f>
        <v>Tapewa Malama</v>
      </c>
      <c r="F102" s="209" t="str">
        <f>IFERROR(__xludf.DUMMYFUNCTION("""COMPUTED_VALUE"""),"Alexander Sakala")</f>
        <v>Alexander Sakala</v>
      </c>
      <c r="G102" s="209" t="str">
        <f>IFERROR(__xludf.DUMMYFUNCTION("""COMPUTED_VALUE"""),"Nsenthaka Soko")</f>
        <v>Nsenthaka Soko</v>
      </c>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1C'!P2:P30,"A~*")</f>
        <v>1</v>
      </c>
      <c r="D103" s="443" t="str">
        <f>IFERROR(__xludf.DUMMYFUNCTION("TRANSPOSE(FILTER('IGCSE 1C'!B:B, 'IGCSE 1C'!P:P=""A*""))"),"Zenani Mulikita")</f>
        <v>Zenani Mulikita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52</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2A'!D2:D22,"U")</f>
        <v>3</v>
      </c>
      <c r="D4" s="209" t="str">
        <f>IFERROR(__xludf.DUMMYFUNCTION("TRANSPOSE(FILTER('IGCSE 2A'!B:B, 'IGCSE 2A'!D:D=""U""))"),"Choolwe Mizinga")</f>
        <v>Choolwe Mizinga</v>
      </c>
      <c r="E4" s="209" t="str">
        <f>IFERROR(__xludf.DUMMYFUNCTION("""COMPUTED_VALUE"""),"Nandipa Moyo")</f>
        <v>Nandipa Moyo</v>
      </c>
      <c r="F4" s="209" t="str">
        <f>IFERROR(__xludf.DUMMYFUNCTION("""COMPUTED_VALUE"""),"Chanozya Ng'ambi")</f>
        <v>Chanozya Ng'ambi</v>
      </c>
      <c r="G4" s="209" t="str">
        <f>IFERROR(__xludf.DUMMYFUNCTION("""COMPUTED_VALUE"""),"Jay Hawjm")</f>
        <v>Jay Hawjm</v>
      </c>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2A'!D2:D22,"G")</f>
        <v>1</v>
      </c>
      <c r="D5" s="209" t="str">
        <f>IFERROR(__xludf.DUMMYFUNCTION("TRANSPOSE(FILTER('IGCSE 2A'!B:B, 'IGCSE 2A'!D:D=""G""))"),"Daniel Emmanuel Rumsey")</f>
        <v>Daniel Emmanuel Rumsey</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2A'!D2:D22,"F")</f>
        <v>5</v>
      </c>
      <c r="D6" s="209" t="str">
        <f>IFERROR(__xludf.DUMMYFUNCTION("TRANSPOSE(FILTER('IGCSE 2A'!B:B, 'IGCSE 2A'!D:D=""F""))"),"Bulayo Chikopela")</f>
        <v>Bulayo Chikopela</v>
      </c>
      <c r="E6" s="209" t="str">
        <f>IFERROR(__xludf.DUMMYFUNCTION("""COMPUTED_VALUE"""),"Mutambwa Chizebuka")</f>
        <v>Mutambwa Chizebuka</v>
      </c>
      <c r="F6" s="209" t="str">
        <f>IFERROR(__xludf.DUMMYFUNCTION("""COMPUTED_VALUE"""),"Kesso Paulina Dakwa")</f>
        <v>Kesso Paulina Dakwa</v>
      </c>
      <c r="G6" s="209" t="str">
        <f>IFERROR(__xludf.DUMMYFUNCTION("""COMPUTED_VALUE"""),"Thandiwe christina Hiwa")</f>
        <v>Thandiwe christina Hiwa</v>
      </c>
      <c r="H6" s="209" t="str">
        <f>IFERROR(__xludf.DUMMYFUNCTION("""COMPUTED_VALUE"""),"Aseel Kaedbey")</f>
        <v>Aseel Kaedbey</v>
      </c>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2A'!D2:D22,"E")</f>
        <v>6</v>
      </c>
      <c r="D7" s="209" t="str">
        <f>IFERROR(__xludf.DUMMYFUNCTION("TRANSPOSE(FILTER('IGCSE 2A'!B:B, 'IGCSE 2A'!D:D=""E""))"),"Stephanie Rose Bwalya")</f>
        <v>Stephanie Rose Bwalya</v>
      </c>
      <c r="E7" s="209" t="str">
        <f>IFERROR(__xludf.DUMMYFUNCTION("""COMPUTED_VALUE"""),"Luyando Hamulumbu")</f>
        <v>Luyando Hamulumbu</v>
      </c>
      <c r="F7" s="209" t="str">
        <f>IFERROR(__xludf.DUMMYFUNCTION("""COMPUTED_VALUE"""),"Rutendo Mazhandu")</f>
        <v>Rutendo Mazhandu</v>
      </c>
      <c r="G7" s="209" t="str">
        <f>IFERROR(__xludf.DUMMYFUNCTION("""COMPUTED_VALUE"""),"Gerald Mpande")</f>
        <v>Gerald Mpande</v>
      </c>
      <c r="H7" s="209" t="str">
        <f>IFERROR(__xludf.DUMMYFUNCTION("""COMPUTED_VALUE"""),"Ayanda Chama Mwansa")</f>
        <v>Ayanda Chama Mwansa</v>
      </c>
      <c r="I7" s="209" t="str">
        <f>IFERROR(__xludf.DUMMYFUNCTION("""COMPUTED_VALUE"""),"Lwiindi Siakabeya")</f>
        <v>Lwiindi Siakabeya</v>
      </c>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2A'!D2:D22,"D")</f>
        <v>6</v>
      </c>
      <c r="D8" s="209" t="str">
        <f>IFERROR(__xludf.DUMMYFUNCTION("TRANSPOSE(FILTER('IGCSE 2A'!B:B, 'IGCSE 2A'!D:D=""D""))"),"Ira Arieri Aori")</f>
        <v>Ira Arieri Aori</v>
      </c>
      <c r="E8" s="209" t="str">
        <f>IFERROR(__xludf.DUMMYFUNCTION("""COMPUTED_VALUE"""),"Aayesha Bhatti")</f>
        <v>Aayesha Bhatti</v>
      </c>
      <c r="F8" s="209" t="str">
        <f>IFERROR(__xludf.DUMMYFUNCTION("""COMPUTED_VALUE"""),"Laurddy Yav Chansa")</f>
        <v>Laurddy Yav Chansa</v>
      </c>
      <c r="G8" s="209" t="str">
        <f>IFERROR(__xludf.DUMMYFUNCTION("""COMPUTED_VALUE"""),"Samuel Chikaka")</f>
        <v>Samuel Chikaka</v>
      </c>
      <c r="H8" s="209" t="str">
        <f>IFERROR(__xludf.DUMMYFUNCTION("""COMPUTED_VALUE"""),"Joanna Kashoka")</f>
        <v>Joanna Kashoka</v>
      </c>
      <c r="I8" s="209" t="str">
        <f>IFERROR(__xludf.DUMMYFUNCTION("""COMPUTED_VALUE"""),"Esha Shenny")</f>
        <v>Esha Shenny</v>
      </c>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COUNTIF('IGCSE 2A'!D2:D22,"C")</f>
        <v>0</v>
      </c>
      <c r="D9" s="209" t="str">
        <f>IFERROR(__xludf.DUMMYFUNCTION("TRANSPOSE(FILTER('IGCSE 2A'!B:B, 'IGCSE 2A'!D:D=""C""))"),"Arthur Jonah Malenji")</f>
        <v>Arthur Jonah Malenji</v>
      </c>
      <c r="E9" s="209"/>
      <c r="F9" s="209"/>
      <c r="G9" s="209"/>
      <c r="H9" s="209"/>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2A'!D22:DB1000,"B")</f>
        <v>0</v>
      </c>
      <c r="D10" s="209" t="str">
        <f>IFERROR(__xludf.DUMMYFUNCTION("TRANSPOSE(FILTER('IGCSE 2A'!B:B, 'IGCSE 2A'!D:D=""B""))"),"#N/A")</f>
        <v>#N/A</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2A'!D2:D22,"A")</f>
        <v>0</v>
      </c>
      <c r="D11" s="209" t="str">
        <f>IFERROR(__xludf.DUMMYFUNCTION("TRANSPOSE(FILTER('IGCSE 2A'!B:B, 'IGCSE 2A'!D:D=""A""))"),"#N/A")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2A'!D2:D22,"A~*")</f>
        <v>0</v>
      </c>
      <c r="D12" s="209" t="str">
        <f>IFERROR(__xludf.DUMMYFUNCTION("TRANSPOSE(FILTER('IGCSE 2A'!B:B, 'IGCSE 2A'!D:D=""A*""))"),"#N/A")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2A'!F2:F22,"U")</f>
        <v>0</v>
      </c>
      <c r="D15" s="209" t="str">
        <f>IFERROR(__xludf.DUMMYFUNCTION("TRANSPOSE(FILTER('IGCSE 2A'!B:B, 'IGCSE 2A'!F:F=""U""))"),"")</f>
        <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2A'!F2:F22,"G")</f>
        <v>3</v>
      </c>
      <c r="D16" s="209" t="str">
        <f>IFERROR(__xludf.DUMMYFUNCTION("TRANSPOSE(FILTER('IGCSE 2A'!B:B, 'IGCSE 2A'!F:F=""G""))"),"Samuel Chikaka")</f>
        <v>Samuel Chikaka</v>
      </c>
      <c r="E16" s="209" t="str">
        <f>IFERROR(__xludf.DUMMYFUNCTION("""COMPUTED_VALUE"""),"Mutambwa Chizebuka")</f>
        <v>Mutambwa Chizebuka</v>
      </c>
      <c r="F16" s="209" t="str">
        <f>IFERROR(__xludf.DUMMYFUNCTION("""COMPUTED_VALUE"""),"Chanozya Ng'ambi")</f>
        <v>Chanozya Ng'ambi</v>
      </c>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2A'!F2:F22,"F")</f>
        <v>5</v>
      </c>
      <c r="D17" s="209" t="str">
        <f>IFERROR(__xludf.DUMMYFUNCTION("TRANSPOSE(FILTER('IGCSE 2A'!B:B, 'IGCSE 2A'!F:F=""F""))"),"Bulayo Chikopela")</f>
        <v>Bulayo Chikopela</v>
      </c>
      <c r="E17" s="209" t="str">
        <f>IFERROR(__xludf.DUMMYFUNCTION("""COMPUTED_VALUE"""),"Kesso Paulina Dakwa")</f>
        <v>Kesso Paulina Dakwa</v>
      </c>
      <c r="F17" s="209" t="str">
        <f>IFERROR(__xludf.DUMMYFUNCTION("""COMPUTED_VALUE"""),"Thandiwe christina Hiwa")</f>
        <v>Thandiwe christina Hiwa</v>
      </c>
      <c r="G17" s="209" t="str">
        <f>IFERROR(__xludf.DUMMYFUNCTION("""COMPUTED_VALUE"""),"Nandipa Moyo")</f>
        <v>Nandipa Moyo</v>
      </c>
      <c r="H17" s="209" t="str">
        <f>IFERROR(__xludf.DUMMYFUNCTION("""COMPUTED_VALUE"""),"Daniel Emmanuel Rumsey")</f>
        <v>Daniel Emmanuel Rumsey</v>
      </c>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2A'!F2:F22,"E")</f>
        <v>0</v>
      </c>
      <c r="D18" s="209" t="str">
        <f>IFERROR(__xludf.DUMMYFUNCTION("TRANSPOSE(FILTER('IGCSE 2A'!B:B, 'IGCSE 2A'!F:F=""E""))"),"#N/A")</f>
        <v>#N/A</v>
      </c>
      <c r="E18" s="209"/>
      <c r="F18" s="209"/>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2A'!F2:F22,"D")</f>
        <v>5</v>
      </c>
      <c r="D19" s="209" t="str">
        <f>IFERROR(__xludf.DUMMYFUNCTION("TRANSPOSE(FILTER('IGCSE 2A'!B:B, 'IGCSE 2A'!F:F=""D""))"),"Ira Arieri Aori")</f>
        <v>Ira Arieri Aori</v>
      </c>
      <c r="E19" s="209" t="str">
        <f>IFERROR(__xludf.DUMMYFUNCTION("""COMPUTED_VALUE"""),"Laurddy Yav Chansa")</f>
        <v>Laurddy Yav Chansa</v>
      </c>
      <c r="F19" s="209" t="str">
        <f>IFERROR(__xludf.DUMMYFUNCTION("""COMPUTED_VALUE"""),"Luyando Hamulumbu")</f>
        <v>Luyando Hamulumbu</v>
      </c>
      <c r="G19" s="209" t="str">
        <f>IFERROR(__xludf.DUMMYFUNCTION("""COMPUTED_VALUE"""),"Joanna Kashoka")</f>
        <v>Joanna Kashoka</v>
      </c>
      <c r="H19" s="209" t="str">
        <f>IFERROR(__xludf.DUMMYFUNCTION("""COMPUTED_VALUE"""),"Gerald Mpande")</f>
        <v>Gerald Mpande</v>
      </c>
      <c r="I19" s="209" t="str">
        <f>IFERROR(__xludf.DUMMYFUNCTION("""COMPUTED_VALUE"""),"Jay Hawjm")</f>
        <v>Jay Hawjm</v>
      </c>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2A'!F2:F22,"C")</f>
        <v>5</v>
      </c>
      <c r="D20" s="209" t="str">
        <f>IFERROR(__xludf.DUMMYFUNCTION("TRANSPOSE(FILTER('IGCSE 2A'!B:B, 'IGCSE 2A'!F:F=""C""))"),"Aayesha Bhatti")</f>
        <v>Aayesha Bhatti</v>
      </c>
      <c r="E20" s="209" t="str">
        <f>IFERROR(__xludf.DUMMYFUNCTION("""COMPUTED_VALUE"""),"Rutendo Mazhandu")</f>
        <v>Rutendo Mazhandu</v>
      </c>
      <c r="F20" s="209" t="str">
        <f>IFERROR(__xludf.DUMMYFUNCTION("""COMPUTED_VALUE"""),"Choolwe Mizinga")</f>
        <v>Choolwe Mizinga</v>
      </c>
      <c r="G20" s="209" t="str">
        <f>IFERROR(__xludf.DUMMYFUNCTION("""COMPUTED_VALUE"""),"Esha Shenny")</f>
        <v>Esha Shenny</v>
      </c>
      <c r="H20" s="209" t="str">
        <f>IFERROR(__xludf.DUMMYFUNCTION("""COMPUTED_VALUE"""),"Lwiindi Siakabeya")</f>
        <v>Lwiindi Siakabeya</v>
      </c>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2A'!F2:F22,"B")</f>
        <v>2</v>
      </c>
      <c r="D21" s="209" t="str">
        <f>IFERROR(__xludf.DUMMYFUNCTION("TRANSPOSE(FILTER('IGCSE 2A'!B:B, 'IGCSE 2A'!F:F=""B""))"),"Stephanie Rose Bwalya")</f>
        <v>Stephanie Rose Bwalya</v>
      </c>
      <c r="E21" s="209" t="str">
        <f>IFERROR(__xludf.DUMMYFUNCTION("""COMPUTED_VALUE"""),"Ayanda Chama Mwansa")</f>
        <v>Ayanda Chama Mwansa</v>
      </c>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2A'!F2:F22,"A")</f>
        <v>1</v>
      </c>
      <c r="D22" s="209" t="str">
        <f>IFERROR(__xludf.DUMMYFUNCTION("TRANSPOSE(FILTER('IGCSE 2A'!B:B, 'IGCSE 2A'!F:F=""A""))"),"Aseel Kaedbey")</f>
        <v>Aseel Kaedbey</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2A'!F2:F22,"A~*")</f>
        <v>0</v>
      </c>
      <c r="D23" s="209" t="str">
        <f>IFERROR(__xludf.DUMMYFUNCTION("TRANSPOSE(FILTER('IGCSE 2A'!B:B, 'IGCSE 2A'!F:F=""A*""))"),"Arthur Jonah Malenji")</f>
        <v>Arthur Jonah Malenji</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2A'!H2:H30,"U")</f>
        <v>10</v>
      </c>
      <c r="D25" s="442" t="str">
        <f>IFERROR(__xludf.DUMMYFUNCTION("TRANSPOSE(FILTER('IGCSE 2A'!B:B, 'IGCSE 2A'!H:H=""U""))"),"Aayesha Bhatti")</f>
        <v>Aayesha Bhatti</v>
      </c>
      <c r="E25" s="209" t="str">
        <f>IFERROR(__xludf.DUMMYFUNCTION("""COMPUTED_VALUE"""),"Samuel Chikaka")</f>
        <v>Samuel Chikaka</v>
      </c>
      <c r="F25" s="209" t="str">
        <f>IFERROR(__xludf.DUMMYFUNCTION("""COMPUTED_VALUE"""),"Esha Shenny")</f>
        <v>Esha Shenny</v>
      </c>
      <c r="G25" s="209" t="str">
        <f>IFERROR(__xludf.DUMMYFUNCTION("""COMPUTED_VALUE"""),"Jay Hawjm")</f>
        <v>Jay Hawjm</v>
      </c>
      <c r="H25" s="209"/>
      <c r="I25" s="209"/>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COUNTIF('IGCSE 2A'!H2:H30,"G")</f>
        <v>0</v>
      </c>
      <c r="D26" s="443" t="str">
        <f>IFERROR(__xludf.DUMMYFUNCTION("TRANSPOSE(FILTER('IGCSE 2A'!B:B, 'IGCSE 2A'!H:H=""G""))"),"#N/A")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2A'!H2:H30,"F")</f>
        <v>3</v>
      </c>
      <c r="D27" s="443" t="str">
        <f>IFERROR(__xludf.DUMMYFUNCTION("TRANSPOSE(FILTER('IGCSE 2A'!B:B, 'IGCSE 2A'!H:H=""F""))"),"Thandiwe christina Hiwa")</f>
        <v>Thandiwe christina Hiwa</v>
      </c>
      <c r="E27" s="209" t="str">
        <f>IFERROR(__xludf.DUMMYFUNCTION("""COMPUTED_VALUE"""),"Nandipa Moyo")</f>
        <v>Nandipa Moyo</v>
      </c>
      <c r="F27" s="209" t="str">
        <f>IFERROR(__xludf.DUMMYFUNCTION("""COMPUTED_VALUE"""),"Chanozya Ng'ambi")</f>
        <v>Chanozya Ng'ambi</v>
      </c>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2A'!H2:H30,"E")</f>
        <v>2</v>
      </c>
      <c r="D28" s="443" t="str">
        <f>IFERROR(__xludf.DUMMYFUNCTION("TRANSPOSE(FILTER('IGCSE 2A'!B:B, 'IGCSE 2A'!H:H=""E""))"),"Mutambwa Chizebuka")</f>
        <v>Mutambwa Chizebuka</v>
      </c>
      <c r="E28" s="209" t="str">
        <f>IFERROR(__xludf.DUMMYFUNCTION("""COMPUTED_VALUE"""),"Kesso Paulina Dakwa")</f>
        <v>Kesso Paulina Dakwa</v>
      </c>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2A'!H2:H30,"D")</f>
        <v>6</v>
      </c>
      <c r="D29" s="443" t="str">
        <f>IFERROR(__xludf.DUMMYFUNCTION("TRANSPOSE(FILTER('IGCSE 2A'!B:B, 'IGCSE 2A'!H:H=""D""))"),"Bulayo Chikopela")</f>
        <v>Bulayo Chikopela</v>
      </c>
      <c r="E29" s="209" t="str">
        <f>IFERROR(__xludf.DUMMYFUNCTION("""COMPUTED_VALUE"""),"Joanna Kashoka")</f>
        <v>Joanna Kashoka</v>
      </c>
      <c r="F29" s="209" t="str">
        <f>IFERROR(__xludf.DUMMYFUNCTION("""COMPUTED_VALUE"""),"Rutendo Mazhandu")</f>
        <v>Rutendo Mazhandu</v>
      </c>
      <c r="G29" s="209" t="str">
        <f>IFERROR(__xludf.DUMMYFUNCTION("""COMPUTED_VALUE"""),"Gerald Mpande")</f>
        <v>Gerald Mpande</v>
      </c>
      <c r="H29" s="209" t="str">
        <f>IFERROR(__xludf.DUMMYFUNCTION("""COMPUTED_VALUE"""),"Daniel Emmanuel Rumsey")</f>
        <v>Daniel Emmanuel Rumsey</v>
      </c>
      <c r="I29" s="209" t="str">
        <f>IFERROR(__xludf.DUMMYFUNCTION("""COMPUTED_VALUE"""),"Lwiindi Siakabeya")</f>
        <v>Lwiindi Siakabeya</v>
      </c>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2A'!H2:H30,"C")</f>
        <v>4</v>
      </c>
      <c r="D30" s="443" t="str">
        <f>IFERROR(__xludf.DUMMYFUNCTION("TRANSPOSE(FILTER('IGCSE 2A'!B:B, 'IGCSE 2A'!H:H=""C""))"),"Ira Arieri Aori")</f>
        <v>Ira Arieri Aori</v>
      </c>
      <c r="E30" s="209" t="str">
        <f>IFERROR(__xludf.DUMMYFUNCTION("""COMPUTED_VALUE"""),"Luyando Hamulumbu")</f>
        <v>Luyando Hamulumbu</v>
      </c>
      <c r="F30" s="209" t="str">
        <f>IFERROR(__xludf.DUMMYFUNCTION("""COMPUTED_VALUE"""),"Aseel Kaedbey")</f>
        <v>Aseel Kaedbey</v>
      </c>
      <c r="G30" s="209" t="str">
        <f>IFERROR(__xludf.DUMMYFUNCTION("""COMPUTED_VALUE"""),"Ayanda Chama Mwansa")</f>
        <v>Ayanda Chama Mwansa</v>
      </c>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2A'!H2:H30,"B")</f>
        <v>2</v>
      </c>
      <c r="D31" s="443" t="str">
        <f>IFERROR(__xludf.DUMMYFUNCTION("TRANSPOSE(FILTER('IGCSE 2A'!B:B, 'IGCSE 2A'!H:H=""B""))"),"Stephanie Rose Bwalya")</f>
        <v>Stephanie Rose Bwalya</v>
      </c>
      <c r="E31" s="209" t="str">
        <f>IFERROR(__xludf.DUMMYFUNCTION("""COMPUTED_VALUE"""),"Laurddy Yav Chansa")</f>
        <v>Laurddy Yav Chansa</v>
      </c>
      <c r="F31" s="209"/>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COUNTIF('IGCSE 2A'!H2:H30,"A")</f>
        <v>1</v>
      </c>
      <c r="D32" s="443" t="str">
        <f>IFERROR(__xludf.DUMMYFUNCTION("TRANSPOSE(FILTER('IGCSE 2A'!B:B, 'IGCSE 2A'!H:H=""A""))"),"Choolwe Mizinga")</f>
        <v>Choolwe Mizinga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2A'!H2:H30,"A~*")</f>
        <v>1</v>
      </c>
      <c r="D33" s="443" t="str">
        <f>IFERROR(__xludf.DUMMYFUNCTION("TRANSPOSE(FILTER('IGCSE 2A'!B:B, 'IGCSE 2A'!H:H=""A*""))"),"Arthur Jonah Malenji")</f>
        <v>Arthur Jonah Malenji</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2A'!J2:J30,"U")</f>
        <v>9</v>
      </c>
      <c r="D35" s="442" t="str">
        <f>IFERROR(__xludf.DUMMYFUNCTION("TRANSPOSE(FILTER('IGCSE 2A'!B:B, 'IGCSE 2A'!J:J=""U""))"),"Samuel Chikaka")</f>
        <v>Samuel Chikaka</v>
      </c>
      <c r="E35" s="209" t="str">
        <f>IFERROR(__xludf.DUMMYFUNCTION("""COMPUTED_VALUE"""),"Nandipa Moyo")</f>
        <v>Nandipa Moyo</v>
      </c>
      <c r="F35" s="209" t="str">
        <f>IFERROR(__xludf.DUMMYFUNCTION("""COMPUTED_VALUE"""),"Jay Hawjm")</f>
        <v>Jay Hawjm</v>
      </c>
      <c r="G35" s="209"/>
      <c r="H35" s="209"/>
      <c r="I35" s="209"/>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COUNTIF('IGCSE 2A'!J2:J30,"G")</f>
        <v>0</v>
      </c>
      <c r="D36" s="443" t="str">
        <f>IFERROR(__xludf.DUMMYFUNCTION("TRANSPOSE(FILTER('IGCSE 2A'!B:B, 'IGCSE 2A'!J:J=""G""))"),"#N/A")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2A'!J2:J30,"F")</f>
        <v>2</v>
      </c>
      <c r="D37" s="443" t="str">
        <f>IFERROR(__xludf.DUMMYFUNCTION("TRANSPOSE(FILTER('IGCSE 2A'!B:B, 'IGCSE 2A'!J:J=""F""))"),"Mutambwa Chizebuka")</f>
        <v>Mutambwa Chizebuka</v>
      </c>
      <c r="E37" s="209" t="str">
        <f>IFERROR(__xludf.DUMMYFUNCTION("""COMPUTED_VALUE"""),"Chanozya Ng'ambi")</f>
        <v>Chanozya Ng'ambi</v>
      </c>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2A'!J2:J30,"E")</f>
        <v>0</v>
      </c>
      <c r="D38" s="443" t="str">
        <f>IFERROR(__xludf.DUMMYFUNCTION("TRANSPOSE(FILTER('IGCSE 2A'!B:B, 'IGCSE 2A'!J:J=""E""))"),"#N/A")</f>
        <v>#N/A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2A'!J2:J30,"D")</f>
        <v>5</v>
      </c>
      <c r="D39" s="443" t="str">
        <f>IFERROR(__xludf.DUMMYFUNCTION("TRANSPOSE(FILTER('IGCSE 2A'!B:B, 'IGCSE 2A'!J:J=""D""))"),"Aayesha Bhatti")</f>
        <v>Aayesha Bhatti</v>
      </c>
      <c r="E39" s="209" t="str">
        <f>IFERROR(__xludf.DUMMYFUNCTION("""COMPUTED_VALUE"""),"Kesso Paulina Dakwa")</f>
        <v>Kesso Paulina Dakwa</v>
      </c>
      <c r="F39" s="209" t="str">
        <f>IFERROR(__xludf.DUMMYFUNCTION("""COMPUTED_VALUE"""),"Thandiwe christina Hiwa")</f>
        <v>Thandiwe christina Hiwa</v>
      </c>
      <c r="G39" s="209" t="str">
        <f>IFERROR(__xludf.DUMMYFUNCTION("""COMPUTED_VALUE"""),"Rutendo Mazhandu")</f>
        <v>Rutendo Mazhandu</v>
      </c>
      <c r="H39" s="209" t="str">
        <f>IFERROR(__xludf.DUMMYFUNCTION("""COMPUTED_VALUE"""),"Daniel Emmanuel Rumsey")</f>
        <v>Daniel Emmanuel Rumsey</v>
      </c>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2A'!J2:J30,"C")</f>
        <v>5</v>
      </c>
      <c r="D40" s="443" t="str">
        <f>IFERROR(__xludf.DUMMYFUNCTION("TRANSPOSE(FILTER('IGCSE 2A'!B:B, 'IGCSE 2A'!J:J=""C""))"),"Bulayo Chikopela")</f>
        <v>Bulayo Chikopela</v>
      </c>
      <c r="E40" s="209" t="str">
        <f>IFERROR(__xludf.DUMMYFUNCTION("""COMPUTED_VALUE"""),"Luyando Hamulumbu")</f>
        <v>Luyando Hamulumbu</v>
      </c>
      <c r="F40" s="209" t="str">
        <f>IFERROR(__xludf.DUMMYFUNCTION("""COMPUTED_VALUE"""),"Gerald Mpande")</f>
        <v>Gerald Mpande</v>
      </c>
      <c r="G40" s="209" t="str">
        <f>IFERROR(__xludf.DUMMYFUNCTION("""COMPUTED_VALUE"""),"Ayanda Chama Mwansa")</f>
        <v>Ayanda Chama Mwansa</v>
      </c>
      <c r="H40" s="209" t="str">
        <f>IFERROR(__xludf.DUMMYFUNCTION("""COMPUTED_VALUE"""),"Lwiindi Siakabeya")</f>
        <v>Lwiindi Siakabeya</v>
      </c>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2A'!J2:J30,"B")</f>
        <v>3</v>
      </c>
      <c r="D41" s="443" t="str">
        <f>IFERROR(__xludf.DUMMYFUNCTION("TRANSPOSE(FILTER('IGCSE 2A'!B:B, 'IGCSE 2A'!J:J=""B""))"),"Stephanie Rose Bwalya")</f>
        <v>Stephanie Rose Bwalya</v>
      </c>
      <c r="E41" s="209" t="str">
        <f>IFERROR(__xludf.DUMMYFUNCTION("""COMPUTED_VALUE"""),"Joanna Kashoka")</f>
        <v>Joanna Kashoka</v>
      </c>
      <c r="F41" s="209" t="str">
        <f>IFERROR(__xludf.DUMMYFUNCTION("""COMPUTED_VALUE"""),"Choolwe Mizinga")</f>
        <v>Choolwe Mizinga</v>
      </c>
      <c r="G41" s="209"/>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2A'!J2:J30,"A")</f>
        <v>5</v>
      </c>
      <c r="D42" s="443" t="str">
        <f>IFERROR(__xludf.DUMMYFUNCTION("TRANSPOSE(FILTER('IGCSE 2A'!B:B, 'IGCSE 2A'!J:J=""A""))"),"Ira Arieri Aori")</f>
        <v>Ira Arieri Aori</v>
      </c>
      <c r="E42" s="209" t="str">
        <f>IFERROR(__xludf.DUMMYFUNCTION("""COMPUTED_VALUE"""),"Laurddy Yav Chansa")</f>
        <v>Laurddy Yav Chansa</v>
      </c>
      <c r="F42" s="209" t="str">
        <f>IFERROR(__xludf.DUMMYFUNCTION("""COMPUTED_VALUE"""),"Aseel Kaedbey")</f>
        <v>Aseel Kaedbey</v>
      </c>
      <c r="G42" s="209" t="str">
        <f>IFERROR(__xludf.DUMMYFUNCTION("""COMPUTED_VALUE"""),"Esha Shenny")</f>
        <v>Esha Shenny</v>
      </c>
      <c r="H42" s="209" t="str">
        <f>IFERROR(__xludf.DUMMYFUNCTION("""COMPUTED_VALUE"""),"Arthur Jonah Malenji")</f>
        <v>Arthur Jonah Malenji</v>
      </c>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2A'!J2:J30,"A~*")</f>
        <v>0</v>
      </c>
      <c r="D43" s="443" t="str">
        <f>IFERROR(__xludf.DUMMYFUNCTION("TRANSPOSE(FILTER('IGCSE 2A'!B:B, 'IGCSE 2A'!J:J=""A*""))"),"#N/A")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2A'!T2:T30,"U")</f>
        <v>13</v>
      </c>
      <c r="D45" s="442" t="str">
        <f>IFERROR(__xludf.DUMMYFUNCTION("TRANSPOSE(FILTER('IGCSE 2A'!B:B, 'IGCSE 2A'!T:T=""U""))"),"Laurddy Yav Chansa")</f>
        <v>Laurddy Yav Chansa</v>
      </c>
      <c r="E45" s="209" t="str">
        <f>IFERROR(__xludf.DUMMYFUNCTION("""COMPUTED_VALUE"""),"Samuel Chikaka")</f>
        <v>Samuel Chikaka</v>
      </c>
      <c r="F45" s="209" t="str">
        <f>IFERROR(__xludf.DUMMYFUNCTION("""COMPUTED_VALUE"""),"Kesso Paulina Dakwa")</f>
        <v>Kesso Paulina Dakwa</v>
      </c>
      <c r="G45" s="209" t="str">
        <f>IFERROR(__xludf.DUMMYFUNCTION("""COMPUTED_VALUE"""),"Thandiwe christina Hiwa")</f>
        <v>Thandiwe christina Hiwa</v>
      </c>
      <c r="H45" s="209" t="str">
        <f>IFERROR(__xludf.DUMMYFUNCTION("""COMPUTED_VALUE"""),"Nandipa Moyo")</f>
        <v>Nandipa Moyo</v>
      </c>
      <c r="I45" s="209" t="str">
        <f>IFERROR(__xludf.DUMMYFUNCTION("""COMPUTED_VALUE"""),"Esha Shenny")</f>
        <v>Esha Shenny</v>
      </c>
      <c r="J45" s="209" t="str">
        <f>IFERROR(__xludf.DUMMYFUNCTION("""COMPUTED_VALUE"""),"Jay Hawjm")</f>
        <v>Jay Hawjm</v>
      </c>
      <c r="K45" s="209"/>
      <c r="L45" s="209"/>
      <c r="M45" s="209"/>
      <c r="N45" s="209"/>
      <c r="O45" s="209"/>
      <c r="P45" s="209"/>
      <c r="Q45" s="209"/>
      <c r="R45" s="209"/>
      <c r="S45" s="209"/>
      <c r="T45" s="209"/>
      <c r="U45" s="209"/>
      <c r="V45" s="209"/>
      <c r="W45" s="209"/>
      <c r="X45" s="209"/>
      <c r="Y45" s="209"/>
      <c r="Z45" s="209"/>
      <c r="AA45" s="209"/>
    </row>
    <row r="46">
      <c r="A46" s="441"/>
      <c r="B46" s="440" t="s">
        <v>142</v>
      </c>
      <c r="C46" s="440">
        <f>COUNTIF('IGCSE 2A'!T2:T30,"G")</f>
        <v>0</v>
      </c>
      <c r="D46" s="443" t="str">
        <f>IFERROR(__xludf.DUMMYFUNCTION("TRANSPOSE(FILTER('IGCSE 2A'!B:B, 'IGCSE 2A'!T:T=""G""))"),"#N/A")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2A'!T2:T30,"F")</f>
        <v>3</v>
      </c>
      <c r="D47" s="443" t="str">
        <f>IFERROR(__xludf.DUMMYFUNCTION("TRANSPOSE(FILTER('IGCSE 2A'!B:B, 'IGCSE 2A'!T:T=""F""))"),"Mutambwa Chizebuka")</f>
        <v>Mutambwa Chizebuka</v>
      </c>
      <c r="E47" s="209" t="str">
        <f>IFERROR(__xludf.DUMMYFUNCTION("""COMPUTED_VALUE"""),"Chanozya Ng'ambi")</f>
        <v>Chanozya Ng'ambi</v>
      </c>
      <c r="F47" s="209" t="str">
        <f>IFERROR(__xludf.DUMMYFUNCTION("""COMPUTED_VALUE"""),"Daniel Emmanuel Rumsey")</f>
        <v>Daniel Emmanuel Rumsey</v>
      </c>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2A'!T2:T30,"E")</f>
        <v>0</v>
      </c>
      <c r="D48" s="443" t="str">
        <f>IFERROR(__xludf.DUMMYFUNCTION("TRANSPOSE(FILTER('IGCSE 2A'!B:B, 'IGCSE 2A'!T:T=""E""))"),"#N/A")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2A'!T2:T30,"D")</f>
        <v>5</v>
      </c>
      <c r="D49" s="443" t="str">
        <f>IFERROR(__xludf.DUMMYFUNCTION("TRANSPOSE(FILTER('IGCSE 2A'!B:B, 'IGCSE 2A'!T:T=""D""))"),"Bulayo Chikopela")</f>
        <v>Bulayo Chikopela</v>
      </c>
      <c r="E49" s="209" t="str">
        <f>IFERROR(__xludf.DUMMYFUNCTION("""COMPUTED_VALUE"""),"Joanna Kashoka")</f>
        <v>Joanna Kashoka</v>
      </c>
      <c r="F49" s="209" t="str">
        <f>IFERROR(__xludf.DUMMYFUNCTION("""COMPUTED_VALUE"""),"Rutendo Mazhandu")</f>
        <v>Rutendo Mazhandu</v>
      </c>
      <c r="G49" s="209" t="str">
        <f>IFERROR(__xludf.DUMMYFUNCTION("""COMPUTED_VALUE"""),"Choolwe Mizinga")</f>
        <v>Choolwe Mizinga</v>
      </c>
      <c r="H49" s="209" t="str">
        <f>IFERROR(__xludf.DUMMYFUNCTION("""COMPUTED_VALUE"""),"Lwiindi Siakabeya")</f>
        <v>Lwiindi Siakabeya</v>
      </c>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2A'!T2:T30,"C")</f>
        <v>4</v>
      </c>
      <c r="D50" s="443" t="str">
        <f>IFERROR(__xludf.DUMMYFUNCTION("TRANSPOSE(FILTER('IGCSE 2A'!B:B, 'IGCSE 2A'!T:T=""C""))"),"Ira Arieri Aori")</f>
        <v>Ira Arieri Aori</v>
      </c>
      <c r="E50" s="209" t="str">
        <f>IFERROR(__xludf.DUMMYFUNCTION("""COMPUTED_VALUE"""),"Stephanie Rose Bwalya")</f>
        <v>Stephanie Rose Bwalya</v>
      </c>
      <c r="F50" s="209" t="str">
        <f>IFERROR(__xludf.DUMMYFUNCTION("""COMPUTED_VALUE"""),"Gerald Mpande")</f>
        <v>Gerald Mpande</v>
      </c>
      <c r="G50" s="209" t="str">
        <f>IFERROR(__xludf.DUMMYFUNCTION("""COMPUTED_VALUE"""),"Ayanda Chama Mwansa")</f>
        <v>Ayanda Chama Mwansa</v>
      </c>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2A'!T2:T30,"B")</f>
        <v>3</v>
      </c>
      <c r="D51" s="443" t="str">
        <f>IFERROR(__xludf.DUMMYFUNCTION("TRANSPOSE(FILTER('IGCSE 2A'!B:B, 'IGCSE 2A'!T:T=""B""))"),"Aayesha Bhatti")</f>
        <v>Aayesha Bhatti</v>
      </c>
      <c r="E51" s="209" t="str">
        <f>IFERROR(__xludf.DUMMYFUNCTION("""COMPUTED_VALUE"""),"Luyando Hamulumbu")</f>
        <v>Luyando Hamulumbu</v>
      </c>
      <c r="F51" s="209" t="str">
        <f>IFERROR(__xludf.DUMMYFUNCTION("""COMPUTED_VALUE"""),"Aseel Kaedbey")</f>
        <v>Aseel Kaedbey</v>
      </c>
      <c r="G51" s="209"/>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2A'!T2:T30,"A")</f>
        <v>1</v>
      </c>
      <c r="D52" s="443" t="str">
        <f>IFERROR(__xludf.DUMMYFUNCTION("TRANSPOSE(FILTER('IGCSE 2A'!B:B, 'IGCSE 2A'!T:T=""A""))"),"Arthur Jonah Malenji")</f>
        <v>Arthur Jonah Malenji</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COUNTIF('IGCSE 2A'!T2:T30,"A~*")</f>
        <v>0</v>
      </c>
      <c r="D53" s="443" t="str">
        <f>IFERROR(__xludf.DUMMYFUNCTION("TRANSPOSE(FILTER('IGCSE 2A'!B:B, 'IGCSE 2A'!T:T=""A*""))"),"#N/A")</f>
        <v>#N/A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2A'!N2:N30,"U")</f>
        <v>26</v>
      </c>
      <c r="D55" s="442" t="str">
        <f>IFERROR(__xludf.DUMMYFUNCTION("TRANSPOSE(FILTER('IGCSE 2A'!B:B, 'IGCSE 2A'!N:N=""U""))"),"Ira Arieri Aori")</f>
        <v>Ira Arieri Aori</v>
      </c>
      <c r="E55" s="209" t="str">
        <f>IFERROR(__xludf.DUMMYFUNCTION("""COMPUTED_VALUE"""),"Stephanie Rose Bwalya")</f>
        <v>Stephanie Rose Bwalya</v>
      </c>
      <c r="F55" s="209" t="str">
        <f>IFERROR(__xludf.DUMMYFUNCTION("""COMPUTED_VALUE"""),"Laurddy Yav Chansa")</f>
        <v>Laurddy Yav Chansa</v>
      </c>
      <c r="G55" s="209" t="str">
        <f>IFERROR(__xludf.DUMMYFUNCTION("""COMPUTED_VALUE"""),"Bulayo Chikopela")</f>
        <v>Bulayo Chikopela</v>
      </c>
      <c r="H55" s="209" t="str">
        <f>IFERROR(__xludf.DUMMYFUNCTION("""COMPUTED_VALUE"""),"Mutambwa Chizebuka")</f>
        <v>Mutambwa Chizebuka</v>
      </c>
      <c r="I55" s="209" t="str">
        <f>IFERROR(__xludf.DUMMYFUNCTION("""COMPUTED_VALUE"""),"Kesso Paulina Dakwa")</f>
        <v>Kesso Paulina Dakwa</v>
      </c>
      <c r="J55" s="209" t="str">
        <f>IFERROR(__xludf.DUMMYFUNCTION("""COMPUTED_VALUE"""),"Luyando Hamulumbu")</f>
        <v>Luyando Hamulumbu</v>
      </c>
      <c r="K55" s="209" t="str">
        <f>IFERROR(__xludf.DUMMYFUNCTION("""COMPUTED_VALUE"""),"Thandiwe christina Hiwa")</f>
        <v>Thandiwe christina Hiwa</v>
      </c>
      <c r="L55" s="209" t="str">
        <f>IFERROR(__xludf.DUMMYFUNCTION("""COMPUTED_VALUE"""),"Aseel Kaedbey")</f>
        <v>Aseel Kaedbey</v>
      </c>
      <c r="M55" s="209" t="str">
        <f>IFERROR(__xludf.DUMMYFUNCTION("""COMPUTED_VALUE"""),"Joanna Kashoka")</f>
        <v>Joanna Kashoka</v>
      </c>
      <c r="N55" s="209" t="str">
        <f>IFERROR(__xludf.DUMMYFUNCTION("""COMPUTED_VALUE"""),"Rutendo Mazhandu")</f>
        <v>Rutendo Mazhandu</v>
      </c>
      <c r="O55" s="209" t="str">
        <f>IFERROR(__xludf.DUMMYFUNCTION("""COMPUTED_VALUE"""),"Choolwe Mizinga")</f>
        <v>Choolwe Mizinga</v>
      </c>
      <c r="P55" s="209" t="str">
        <f>IFERROR(__xludf.DUMMYFUNCTION("""COMPUTED_VALUE"""),"Nandipa Moyo")</f>
        <v>Nandipa Moyo</v>
      </c>
      <c r="Q55" s="209" t="str">
        <f>IFERROR(__xludf.DUMMYFUNCTION("""COMPUTED_VALUE"""),"Gerald Mpande")</f>
        <v>Gerald Mpande</v>
      </c>
      <c r="R55" s="209" t="str">
        <f>IFERROR(__xludf.DUMMYFUNCTION("""COMPUTED_VALUE"""),"Ayanda Chama Mwansa")</f>
        <v>Ayanda Chama Mwansa</v>
      </c>
      <c r="S55" s="209" t="str">
        <f>IFERROR(__xludf.DUMMYFUNCTION("""COMPUTED_VALUE"""),"Chanozya Ng'ambi")</f>
        <v>Chanozya Ng'ambi</v>
      </c>
      <c r="T55" s="209" t="str">
        <f>IFERROR(__xludf.DUMMYFUNCTION("""COMPUTED_VALUE"""),"Daniel Emmanuel Rumsey")</f>
        <v>Daniel Emmanuel Rumsey</v>
      </c>
      <c r="U55" s="209" t="str">
        <f>IFERROR(__xludf.DUMMYFUNCTION("""COMPUTED_VALUE"""),"Lwiindi Siakabeya")</f>
        <v>Lwiindi Siakabeya</v>
      </c>
      <c r="V55" s="209" t="str">
        <f>IFERROR(__xludf.DUMMYFUNCTION("""COMPUTED_VALUE"""),"Jay Hawjm")</f>
        <v>Jay Hawjm</v>
      </c>
      <c r="W55" s="209" t="str">
        <f>IFERROR(__xludf.DUMMYFUNCTION("""COMPUTED_VALUE"""),"Arthur Jonah Malenji")</f>
        <v>Arthur Jonah Malenji</v>
      </c>
      <c r="X55" s="209"/>
      <c r="Y55" s="209"/>
      <c r="Z55" s="209"/>
      <c r="AA55" s="209"/>
      <c r="AB55" s="444"/>
      <c r="AC55" s="444"/>
    </row>
    <row r="56">
      <c r="A56" s="441"/>
      <c r="B56" s="440" t="s">
        <v>142</v>
      </c>
      <c r="C56" s="440">
        <f>COUNTIF('IGCSE 2A'!N2:N30,"G")</f>
        <v>0</v>
      </c>
      <c r="D56" s="443" t="str">
        <f>IFERROR(__xludf.DUMMYFUNCTION("TRANSPOSE(FILTER('IGCSE 2A'!B:B, 'IGCSE 2A'!N:N=""G""))"),"#N/A")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2A'!N2:N30,"F")</f>
        <v>2</v>
      </c>
      <c r="D57" s="443" t="str">
        <f>IFERROR(__xludf.DUMMYFUNCTION("TRANSPOSE(FILTER('IGCSE 2A'!B:B, 'IGCSE 2A'!N:N=""F""))"),"Aayesha Bhatti")</f>
        <v>Aayesha Bhatti</v>
      </c>
      <c r="E57" s="209" t="str">
        <f>IFERROR(__xludf.DUMMYFUNCTION("""COMPUTED_VALUE"""),"Samuel Chikaka")</f>
        <v>Samuel Chikaka</v>
      </c>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2A'!N2:N30,"E")</f>
        <v>0</v>
      </c>
      <c r="D58" s="443" t="str">
        <f>IFERROR(__xludf.DUMMYFUNCTION("TRANSPOSE(FILTER('IGCSE 2A'!B:B, 'IGCSE 2A'!N:N=""E""))"),"#N/A")</f>
        <v>#N/A</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COUNTIF('IGCSE 2A'!N2:N30,"D")</f>
        <v>0</v>
      </c>
      <c r="D59" s="443" t="str">
        <f>IFERROR(__xludf.DUMMYFUNCTION("TRANSPOSE(FILTER('IGCSE 2A'!B:B, 'IGCSE 2A'!N:N=""D""))"),"#N/A")</f>
        <v>#N/A</v>
      </c>
      <c r="E59" s="209"/>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2A'!N2:N30,"C")</f>
        <v>1</v>
      </c>
      <c r="D60" s="443" t="str">
        <f>IFERROR(__xludf.DUMMYFUNCTION("TRANSPOSE(FILTER('IGCSE 2A'!B:B, 'IGCSE 2A'!N:N=""C""))"),"Esha Shenny")</f>
        <v>Esha Shenny</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2A'!N2:N30,"B")</f>
        <v>0</v>
      </c>
      <c r="D61" s="443" t="str">
        <f>IFERROR(__xludf.DUMMYFUNCTION("TRANSPOSE(FILTER('IGCSE 2A'!B:B, 'IGCSE 2A'!N:N=""B""))"),"#N/A")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2A'!N2:N30,"A")</f>
        <v>0</v>
      </c>
      <c r="D62" s="443" t="str">
        <f>IFERROR(__xludf.DUMMYFUNCTION("TRANSPOSE(FILTER('IGCSE 2A'!B:B, 'IGCSE 2A'!N:N=""A""))"),"#N/A")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2A'!N2:N30,"A~*")</f>
        <v>0</v>
      </c>
      <c r="D63" s="443" t="str">
        <f>IFERROR(__xludf.DUMMYFUNCTION("TRANSPOSE(FILTER('IGCSE 2A'!B:B, 'IGCSE 2A'!N:N=""A*""))"),"#N/A")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2A'!R2:R30,"U")</f>
        <v>18</v>
      </c>
      <c r="D65" s="442" t="str">
        <f>IFERROR(__xludf.DUMMYFUNCTION("TRANSPOSE(FILTER('IGCSE 2A'!B:B, 'IGCSE 2A'!R:R=""U""))"),"Stephanie Rose Bwalya")</f>
        <v>Stephanie Rose Bwalya</v>
      </c>
      <c r="E65" s="209" t="str">
        <f>IFERROR(__xludf.DUMMYFUNCTION("""COMPUTED_VALUE"""),"Bulayo Chikopela")</f>
        <v>Bulayo Chikopela</v>
      </c>
      <c r="F65" s="209" t="str">
        <f>IFERROR(__xludf.DUMMYFUNCTION("""COMPUTED_VALUE"""),"Kesso Paulina Dakwa")</f>
        <v>Kesso Paulina Dakwa</v>
      </c>
      <c r="G65" s="209" t="str">
        <f>IFERROR(__xludf.DUMMYFUNCTION("""COMPUTED_VALUE"""),"Luyando Hamulumbu")</f>
        <v>Luyando Hamulumbu</v>
      </c>
      <c r="H65" s="209" t="str">
        <f>IFERROR(__xludf.DUMMYFUNCTION("""COMPUTED_VALUE"""),"Thandiwe christina Hiwa")</f>
        <v>Thandiwe christina Hiwa</v>
      </c>
      <c r="I65" s="209" t="str">
        <f>IFERROR(__xludf.DUMMYFUNCTION("""COMPUTED_VALUE"""),"Joanna Kashoka")</f>
        <v>Joanna Kashoka</v>
      </c>
      <c r="J65" s="209" t="str">
        <f>IFERROR(__xludf.DUMMYFUNCTION("""COMPUTED_VALUE"""),"Rutendo Mazhandu")</f>
        <v>Rutendo Mazhandu</v>
      </c>
      <c r="K65" s="209" t="str">
        <f>IFERROR(__xludf.DUMMYFUNCTION("""COMPUTED_VALUE"""),"Choolwe Mizinga")</f>
        <v>Choolwe Mizinga</v>
      </c>
      <c r="L65" s="209" t="str">
        <f>IFERROR(__xludf.DUMMYFUNCTION("""COMPUTED_VALUE"""),"Nandipa Moyo")</f>
        <v>Nandipa Moyo</v>
      </c>
      <c r="M65" s="209" t="str">
        <f>IFERROR(__xludf.DUMMYFUNCTION("""COMPUTED_VALUE"""),"Gerald Mpande")</f>
        <v>Gerald Mpande</v>
      </c>
      <c r="N65" s="209" t="str">
        <f>IFERROR(__xludf.DUMMYFUNCTION("""COMPUTED_VALUE"""),"Daniel Emmanuel Rumsey")</f>
        <v>Daniel Emmanuel Rumsey</v>
      </c>
      <c r="O65" s="209" t="str">
        <f>IFERROR(__xludf.DUMMYFUNCTION("""COMPUTED_VALUE"""),"Jay Hawjm")</f>
        <v>Jay Hawjm</v>
      </c>
      <c r="P65" s="209"/>
      <c r="Q65" s="209"/>
      <c r="R65" s="209"/>
      <c r="S65" s="209"/>
      <c r="T65" s="209"/>
      <c r="U65" s="209"/>
      <c r="V65" s="209"/>
      <c r="W65" s="209"/>
      <c r="X65" s="209"/>
      <c r="Y65" s="209"/>
      <c r="Z65" s="209"/>
      <c r="AA65" s="209"/>
    </row>
    <row r="66">
      <c r="A66" s="441"/>
      <c r="B66" s="440" t="s">
        <v>142</v>
      </c>
      <c r="C66" s="440">
        <f>COUNTIF('IGCSE 2A'!R2:R30,"G")</f>
        <v>1</v>
      </c>
      <c r="D66" s="443" t="str">
        <f>IFERROR(__xludf.DUMMYFUNCTION("TRANSPOSE(FILTER('IGCSE 2A'!B:B, 'IGCSE 2A'!R:R=""G""))"),"Aayesha Bhatti")</f>
        <v>Aayesha Bhatti</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2A'!R2:R30,"F")</f>
        <v>1</v>
      </c>
      <c r="D67" s="443" t="str">
        <f>IFERROR(__xludf.DUMMYFUNCTION("TRANSPOSE(FILTER('IGCSE 2A'!B:B, 'IGCSE 2A'!R:R=""F""))"),"Chanozya Ng'ambi")</f>
        <v>Chanozya Ng'ambi</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2A'!R2:R30,"E")</f>
        <v>1</v>
      </c>
      <c r="D68" s="443" t="str">
        <f>IFERROR(__xludf.DUMMYFUNCTION("TRANSPOSE(FILTER('IGCSE 2A'!B:B, 'IGCSE 2A'!R:R=""E""))"),"Samuel Chikaka")</f>
        <v>Samuel Chikaka</v>
      </c>
      <c r="E68" s="209"/>
      <c r="F68" s="209"/>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2A'!R2:R30,"D")</f>
        <v>3</v>
      </c>
      <c r="D69" s="443" t="str">
        <f>IFERROR(__xludf.DUMMYFUNCTION("TRANSPOSE(FILTER('IGCSE 2A'!B:B, 'IGCSE 2A'!R:R=""D""))"),"Mutambwa Chizebuka")</f>
        <v>Mutambwa Chizebuka</v>
      </c>
      <c r="E69" s="209" t="str">
        <f>IFERROR(__xludf.DUMMYFUNCTION("""COMPUTED_VALUE"""),"Ayanda Chama Mwansa")</f>
        <v>Ayanda Chama Mwansa</v>
      </c>
      <c r="F69" s="209" t="str">
        <f>IFERROR(__xludf.DUMMYFUNCTION("""COMPUTED_VALUE"""),"Lwiindi Siakabeya")</f>
        <v>Lwiindi Siakabeya</v>
      </c>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2A'!R2:R30,"C")</f>
        <v>3</v>
      </c>
      <c r="D70" s="443" t="str">
        <f>IFERROR(__xludf.DUMMYFUNCTION("TRANSPOSE(FILTER('IGCSE 2A'!B:B, 'IGCSE 2A'!R:R=""C""))"),"Ira Arieri Aori")</f>
        <v>Ira Arieri Aori</v>
      </c>
      <c r="E70" s="209" t="str">
        <f>IFERROR(__xludf.DUMMYFUNCTION("""COMPUTED_VALUE"""),"Laurddy Yav Chansa")</f>
        <v>Laurddy Yav Chansa</v>
      </c>
      <c r="F70" s="209" t="str">
        <f>IFERROR(__xludf.DUMMYFUNCTION("""COMPUTED_VALUE"""),"Aseel Kaedbey")</f>
        <v>Aseel Kaedbey</v>
      </c>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2A'!R2:R30,"B")</f>
        <v>1</v>
      </c>
      <c r="D71" s="443" t="str">
        <f>IFERROR(__xludf.DUMMYFUNCTION("TRANSPOSE(FILTER('IGCSE 2A'!B:B, 'IGCSE 2A'!R:R=""B""))"),"Esha Shenny")</f>
        <v>Esha Shenny</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2A'!R2:R30,"A")</f>
        <v>1</v>
      </c>
      <c r="D72" s="443" t="str">
        <f>IFERROR(__xludf.DUMMYFUNCTION("TRANSPOSE(FILTER('IGCSE 2A'!B:B, 'IGCSE 2A'!R:R=""A""))"),"Arthur Jonah Malenji")</f>
        <v>Arthur Jonah Malenji</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2A'!R2:R30,"A~*")</f>
        <v>0</v>
      </c>
      <c r="D73" s="443" t="str">
        <f>IFERROR(__xludf.DUMMYFUNCTION("TRANSPOSE(FILTER('IGCSE 2A'!B:B, 'IGCSE 2A'!R:R=""A*""))"),"#N/A")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2A'!L2:L30,"U")</f>
        <v>26</v>
      </c>
      <c r="D75" s="442" t="str">
        <f>IFERROR(__xludf.DUMMYFUNCTION("TRANSPOSE(FILTER('IGCSE 2A'!B:B, 'IGCSE 2A'!L:L=""U""))"),"Ira Arieri Aori")</f>
        <v>Ira Arieri Aori</v>
      </c>
      <c r="E75" s="209" t="str">
        <f>IFERROR(__xludf.DUMMYFUNCTION("""COMPUTED_VALUE"""),"Aayesha Bhatti")</f>
        <v>Aayesha Bhatti</v>
      </c>
      <c r="F75" s="209" t="str">
        <f>IFERROR(__xludf.DUMMYFUNCTION("""COMPUTED_VALUE"""),"Stephanie Rose Bwalya")</f>
        <v>Stephanie Rose Bwalya</v>
      </c>
      <c r="G75" s="209" t="str">
        <f>IFERROR(__xludf.DUMMYFUNCTION("""COMPUTED_VALUE"""),"Bulayo Chikopela")</f>
        <v>Bulayo Chikopela</v>
      </c>
      <c r="H75" s="209" t="str">
        <f>IFERROR(__xludf.DUMMYFUNCTION("""COMPUTED_VALUE"""),"Mutambwa Chizebuka")</f>
        <v>Mutambwa Chizebuka</v>
      </c>
      <c r="I75" s="209" t="str">
        <f>IFERROR(__xludf.DUMMYFUNCTION("""COMPUTED_VALUE"""),"Kesso Paulina Dakwa")</f>
        <v>Kesso Paulina Dakwa</v>
      </c>
      <c r="J75" s="209" t="str">
        <f>IFERROR(__xludf.DUMMYFUNCTION("""COMPUTED_VALUE"""),"Luyando Hamulumbu")</f>
        <v>Luyando Hamulumbu</v>
      </c>
      <c r="K75" s="209" t="str">
        <f>IFERROR(__xludf.DUMMYFUNCTION("""COMPUTED_VALUE"""),"Thandiwe christina Hiwa")</f>
        <v>Thandiwe christina Hiwa</v>
      </c>
      <c r="L75" s="209" t="str">
        <f>IFERROR(__xludf.DUMMYFUNCTION("""COMPUTED_VALUE"""),"Aseel Kaedbey")</f>
        <v>Aseel Kaedbey</v>
      </c>
      <c r="M75" s="209" t="str">
        <f>IFERROR(__xludf.DUMMYFUNCTION("""COMPUTED_VALUE"""),"Joanna Kashoka")</f>
        <v>Joanna Kashoka</v>
      </c>
      <c r="N75" s="209" t="str">
        <f>IFERROR(__xludf.DUMMYFUNCTION("""COMPUTED_VALUE"""),"Rutendo Mazhandu")</f>
        <v>Rutendo Mazhandu</v>
      </c>
      <c r="O75" s="209" t="str">
        <f>IFERROR(__xludf.DUMMYFUNCTION("""COMPUTED_VALUE"""),"Choolwe Mizinga")</f>
        <v>Choolwe Mizinga</v>
      </c>
      <c r="P75" s="209" t="str">
        <f>IFERROR(__xludf.DUMMYFUNCTION("""COMPUTED_VALUE"""),"Nandipa Moyo")</f>
        <v>Nandipa Moyo</v>
      </c>
      <c r="Q75" s="209" t="str">
        <f>IFERROR(__xludf.DUMMYFUNCTION("""COMPUTED_VALUE"""),"Gerald Mpande")</f>
        <v>Gerald Mpande</v>
      </c>
      <c r="R75" s="209" t="str">
        <f>IFERROR(__xludf.DUMMYFUNCTION("""COMPUTED_VALUE"""),"Ayanda Chama Mwansa")</f>
        <v>Ayanda Chama Mwansa</v>
      </c>
      <c r="S75" s="209" t="str">
        <f>IFERROR(__xludf.DUMMYFUNCTION("""COMPUTED_VALUE"""),"Chanozya Ng'ambi")</f>
        <v>Chanozya Ng'ambi</v>
      </c>
      <c r="T75" s="209" t="str">
        <f>IFERROR(__xludf.DUMMYFUNCTION("""COMPUTED_VALUE"""),"Daniel Emmanuel Rumsey")</f>
        <v>Daniel Emmanuel Rumsey</v>
      </c>
      <c r="U75" s="209" t="str">
        <f>IFERROR(__xludf.DUMMYFUNCTION("""COMPUTED_VALUE"""),"Lwiindi Siakabeya")</f>
        <v>Lwiindi Siakabeya</v>
      </c>
      <c r="V75" s="209" t="str">
        <f>IFERROR(__xludf.DUMMYFUNCTION("""COMPUTED_VALUE"""),"Jay Hawjm")</f>
        <v>Jay Hawjm</v>
      </c>
      <c r="W75" s="209" t="str">
        <f>IFERROR(__xludf.DUMMYFUNCTION("""COMPUTED_VALUE"""),"Arthur Jonah Malenji")</f>
        <v>Arthur Jonah Malenji</v>
      </c>
      <c r="X75" s="209"/>
      <c r="Y75" s="209"/>
      <c r="Z75" s="209"/>
      <c r="AA75" s="209"/>
      <c r="AB75" s="444"/>
      <c r="AC75" s="444"/>
    </row>
    <row r="76">
      <c r="A76" s="441"/>
      <c r="B76" s="440" t="s">
        <v>142</v>
      </c>
      <c r="C76" s="440">
        <f>COUNTIF('IGCSE 2A'!L2:L30,"G")</f>
        <v>0</v>
      </c>
      <c r="D76" s="443" t="str">
        <f>IFERROR(__xludf.DUMMYFUNCTION("TRANSPOSE(FILTER('IGCSE 2A'!B:B, 'IGCSE 2A'!L:L=""G""))"),"#N/A")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2A'!L2:L30,"F")</f>
        <v>0</v>
      </c>
      <c r="D77" s="443" t="str">
        <f>IFERROR(__xludf.DUMMYFUNCTION("TRANSPOSE(FILTER('IGCSE 2A'!B:B, 'IGCSE 2A'!L:L=""F""))"),"#N/A")</f>
        <v>#N/A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2A'!L2:L30,"E")</f>
        <v>1</v>
      </c>
      <c r="D78" s="443" t="str">
        <f>IFERROR(__xludf.DUMMYFUNCTION("TRANSPOSE(FILTER('IGCSE 2A'!B:B, 'IGCSE 2A'!L:L=""E""))"),"Samuel Chikaka")</f>
        <v>Samuel Chikaka</v>
      </c>
      <c r="E78" s="209"/>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2A'!L2:L30,"D")</f>
        <v>0</v>
      </c>
      <c r="D79" s="443" t="str">
        <f>IFERROR(__xludf.DUMMYFUNCTION("TRANSPOSE(FILTER('IGCSE 2A'!B:B, 'IGCSE 2A'!L:L=""D""))"),"#N/A")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2A'!L2:L30,"C")</f>
        <v>0</v>
      </c>
      <c r="D80" s="443" t="str">
        <f>IFERROR(__xludf.DUMMYFUNCTION("TRANSPOSE(FILTER('IGCSE 2A'!B:B, 'IGCSE 2A'!L:L=""C""))"),"#N/A")</f>
        <v>#N/A</v>
      </c>
      <c r="E80" s="209"/>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2A'!L2:L30,"B")</f>
        <v>2</v>
      </c>
      <c r="D81" s="443" t="str">
        <f>IFERROR(__xludf.DUMMYFUNCTION("TRANSPOSE(FILTER('IGCSE 2A'!B:B, 'IGCSE 2A'!L:L=""B""))"),"Laurddy Yav Chansa")</f>
        <v>Laurddy Yav Chansa</v>
      </c>
      <c r="E81" s="209" t="str">
        <f>IFERROR(__xludf.DUMMYFUNCTION("""COMPUTED_VALUE"""),"Esha Shenny")</f>
        <v>Esha Shenny</v>
      </c>
      <c r="F81" s="209"/>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2A'!L2:L30,"A")</f>
        <v>0</v>
      </c>
      <c r="D82" s="443" t="str">
        <f>IFERROR(__xludf.DUMMYFUNCTION("TRANSPOSE(FILTER('IGCSE 2A'!B:B, 'IGCSE 2A'!L:L=""A""))"),"#N/A")</f>
        <v>#N/A</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2A'!L2:L30,"A~*")</f>
        <v>0</v>
      </c>
      <c r="D83" s="443" t="str">
        <f>IFERROR(__xludf.DUMMYFUNCTION("TRANSPOSE(FILTER('IGCSE 2A'!B:B, 'IGCSE 2A'!L:L=""A*""))"),"#N/A")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2A'!V2:V30,"U")</f>
        <v>19</v>
      </c>
      <c r="D85" s="442" t="str">
        <f>IFERROR(__xludf.DUMMYFUNCTION("TRANSPOSE(FILTER('IGCSE 2A'!B:B, 'IGCSE 2A'!V:V=""U""))"),"Ira Arieri Aori")</f>
        <v>Ira Arieri Aori</v>
      </c>
      <c r="E85" s="209" t="str">
        <f>IFERROR(__xludf.DUMMYFUNCTION("""COMPUTED_VALUE"""),"Aayesha Bhatti")</f>
        <v>Aayesha Bhatti</v>
      </c>
      <c r="F85" s="209" t="str">
        <f>IFERROR(__xludf.DUMMYFUNCTION("""COMPUTED_VALUE"""),"Laurddy Yav Chansa")</f>
        <v>Laurddy Yav Chansa</v>
      </c>
      <c r="G85" s="209" t="str">
        <f>IFERROR(__xludf.DUMMYFUNCTION("""COMPUTED_VALUE"""),"Samuel Chikaka")</f>
        <v>Samuel Chikaka</v>
      </c>
      <c r="H85" s="209" t="str">
        <f>IFERROR(__xludf.DUMMYFUNCTION("""COMPUTED_VALUE"""),"Mutambwa Chizebuka")</f>
        <v>Mutambwa Chizebuka</v>
      </c>
      <c r="I85" s="209" t="str">
        <f>IFERROR(__xludf.DUMMYFUNCTION("""COMPUTED_VALUE"""),"Aseel Kaedbey")</f>
        <v>Aseel Kaedbey</v>
      </c>
      <c r="J85" s="209" t="str">
        <f>IFERROR(__xludf.DUMMYFUNCTION("""COMPUTED_VALUE"""),"Joanna Kashoka")</f>
        <v>Joanna Kashoka</v>
      </c>
      <c r="K85" s="209" t="str">
        <f>IFERROR(__xludf.DUMMYFUNCTION("""COMPUTED_VALUE"""),"Ayanda Chama Mwansa")</f>
        <v>Ayanda Chama Mwansa</v>
      </c>
      <c r="L85" s="209" t="str">
        <f>IFERROR(__xludf.DUMMYFUNCTION("""COMPUTED_VALUE"""),"Chanozya Ng'ambi")</f>
        <v>Chanozya Ng'ambi</v>
      </c>
      <c r="M85" s="209" t="str">
        <f>IFERROR(__xludf.DUMMYFUNCTION("""COMPUTED_VALUE"""),"Esha Shenny")</f>
        <v>Esha Shenny</v>
      </c>
      <c r="N85" s="209" t="str">
        <f>IFERROR(__xludf.DUMMYFUNCTION("""COMPUTED_VALUE"""),"Lwiindi Siakabeya")</f>
        <v>Lwiindi Siakabeya</v>
      </c>
      <c r="O85" s="209" t="str">
        <f>IFERROR(__xludf.DUMMYFUNCTION("""COMPUTED_VALUE"""),"Jay Hawjm")</f>
        <v>Jay Hawjm</v>
      </c>
      <c r="P85" s="209" t="str">
        <f>IFERROR(__xludf.DUMMYFUNCTION("""COMPUTED_VALUE"""),"Arthur Jonah Malenji")</f>
        <v>Arthur Jonah Malenji</v>
      </c>
      <c r="Q85" s="209"/>
      <c r="R85" s="209"/>
      <c r="S85" s="209"/>
      <c r="T85" s="209"/>
      <c r="U85" s="209"/>
      <c r="V85" s="209"/>
      <c r="W85" s="209"/>
      <c r="X85" s="209"/>
      <c r="Y85" s="209"/>
      <c r="Z85" s="209"/>
      <c r="AA85" s="209"/>
    </row>
    <row r="86">
      <c r="A86" s="441"/>
      <c r="B86" s="440" t="s">
        <v>142</v>
      </c>
      <c r="C86" s="440">
        <f>COUNTIF('IGCSE 2A'!V2:V30,"G")</f>
        <v>0</v>
      </c>
      <c r="D86" s="443" t="str">
        <f>IFERROR(__xludf.DUMMYFUNCTION("TRANSPOSE(FILTER('IGCSE 2A'!B:B, 'IGCSE 2A'!V:V=""G""))"),"#N/A")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2A'!V2:V30,"F")</f>
        <v>1</v>
      </c>
      <c r="D87" s="443" t="str">
        <f>IFERROR(__xludf.DUMMYFUNCTION("TRANSPOSE(FILTER('IGCSE 2A'!B:B, 'IGCSE 2A'!V:V=""F""))"),"Thandiwe christina Hiwa")</f>
        <v>Thandiwe christina Hiwa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2A'!V2:V30,"E")</f>
        <v>2</v>
      </c>
      <c r="D88" s="443" t="str">
        <f>IFERROR(__xludf.DUMMYFUNCTION("TRANSPOSE(FILTER('IGCSE 2A'!B:B, 'IGCSE 2A'!V:V=""E""))"),"Bulayo Chikopela")</f>
        <v>Bulayo Chikopela</v>
      </c>
      <c r="E88" s="209" t="str">
        <f>IFERROR(__xludf.DUMMYFUNCTION("""COMPUTED_VALUE"""),"Daniel Emmanuel Rumsey")</f>
        <v>Daniel Emmanuel Rumsey</v>
      </c>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2A'!V2:V30,"D")</f>
        <v>1</v>
      </c>
      <c r="D89" s="443" t="str">
        <f>IFERROR(__xludf.DUMMYFUNCTION("TRANSPOSE(FILTER('IGCSE 2A'!B:B, 'IGCSE 2A'!V:V=""D""))"),"Kesso Paulina Dakwa")</f>
        <v>Kesso Paulina Dakwa</v>
      </c>
      <c r="E89" s="209"/>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2A'!V2:V30,"C")</f>
        <v>1</v>
      </c>
      <c r="D90" s="443" t="str">
        <f>IFERROR(__xludf.DUMMYFUNCTION("TRANSPOSE(FILTER('IGCSE 2A'!B:B, 'IGCSE 2A'!V:V=""C""))"),"Nandipa Moyo")</f>
        <v>Nandipa Moyo</v>
      </c>
      <c r="E90" s="209"/>
      <c r="F90" s="209"/>
      <c r="G90" s="209"/>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2A'!V2:V30,"B")</f>
        <v>3</v>
      </c>
      <c r="D91" s="443" t="str">
        <f>IFERROR(__xludf.DUMMYFUNCTION("TRANSPOSE(FILTER('IGCSE 2A'!B:B, 'IGCSE 2A'!V:V=""B""))"),"Stephanie Rose Bwalya")</f>
        <v>Stephanie Rose Bwalya</v>
      </c>
      <c r="E91" s="209" t="str">
        <f>IFERROR(__xludf.DUMMYFUNCTION("""COMPUTED_VALUE"""),"Luyando Hamulumbu")</f>
        <v>Luyando Hamulumbu</v>
      </c>
      <c r="F91" s="209" t="str">
        <f>IFERROR(__xludf.DUMMYFUNCTION("""COMPUTED_VALUE"""),"Gerald Mpande")</f>
        <v>Gerald Mpande</v>
      </c>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2A'!V2:V30,"A")</f>
        <v>2</v>
      </c>
      <c r="D92" s="443" t="str">
        <f>IFERROR(__xludf.DUMMYFUNCTION("TRANSPOSE(FILTER('IGCSE 2A'!B:B, 'IGCSE 2A'!V:V=""A""))"),"Rutendo Mazhandu")</f>
        <v>Rutendo Mazhandu</v>
      </c>
      <c r="E92" s="209" t="str">
        <f>IFERROR(__xludf.DUMMYFUNCTION("""COMPUTED_VALUE"""),"Choolwe Mizinga")</f>
        <v>Choolwe Mizinga</v>
      </c>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2A'!V2:V30,"A~*")</f>
        <v>0</v>
      </c>
      <c r="D93" s="443" t="str">
        <f>IFERROR(__xludf.DUMMYFUNCTION("TRANSPOSE(FILTER('IGCSE 2A'!B:B, 'IGCSE 2A'!V:V=""A*""))"),"#N/A")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2A'!P2:P30,"U")</f>
        <v>29</v>
      </c>
      <c r="D95" s="442" t="str">
        <f>IFERROR(__xludf.DUMMYFUNCTION("TRANSPOSE(FILTER('IGCSE 2A'!B:B, 'IGCSE 2A'!P:P=""U""))"),"Ira Arieri Aori")</f>
        <v>Ira Arieri Aori</v>
      </c>
      <c r="E95" s="209" t="str">
        <f>IFERROR(__xludf.DUMMYFUNCTION("""COMPUTED_VALUE"""),"Aayesha Bhatti")</f>
        <v>Aayesha Bhatti</v>
      </c>
      <c r="F95" s="209" t="str">
        <f>IFERROR(__xludf.DUMMYFUNCTION("""COMPUTED_VALUE"""),"Stephanie Rose Bwalya")</f>
        <v>Stephanie Rose Bwalya</v>
      </c>
      <c r="G95" s="209" t="str">
        <f>IFERROR(__xludf.DUMMYFUNCTION("""COMPUTED_VALUE"""),"Laurddy Yav Chansa")</f>
        <v>Laurddy Yav Chansa</v>
      </c>
      <c r="H95" s="209" t="str">
        <f>IFERROR(__xludf.DUMMYFUNCTION("""COMPUTED_VALUE"""),"Samuel Chikaka")</f>
        <v>Samuel Chikaka</v>
      </c>
      <c r="I95" s="209" t="str">
        <f>IFERROR(__xludf.DUMMYFUNCTION("""COMPUTED_VALUE"""),"Bulayo Chikopela")</f>
        <v>Bulayo Chikopela</v>
      </c>
      <c r="J95" s="209" t="str">
        <f>IFERROR(__xludf.DUMMYFUNCTION("""COMPUTED_VALUE"""),"Mutambwa Chizebuka")</f>
        <v>Mutambwa Chizebuka</v>
      </c>
      <c r="K95" s="209" t="str">
        <f>IFERROR(__xludf.DUMMYFUNCTION("""COMPUTED_VALUE"""),"Kesso Paulina Dakwa")</f>
        <v>Kesso Paulina Dakwa</v>
      </c>
      <c r="L95" s="209" t="str">
        <f>IFERROR(__xludf.DUMMYFUNCTION("""COMPUTED_VALUE"""),"Luyando Hamulumbu")</f>
        <v>Luyando Hamulumbu</v>
      </c>
      <c r="M95" s="209" t="str">
        <f>IFERROR(__xludf.DUMMYFUNCTION("""COMPUTED_VALUE"""),"Thandiwe christina Hiwa")</f>
        <v>Thandiwe christina Hiwa</v>
      </c>
      <c r="N95" s="209" t="str">
        <f>IFERROR(__xludf.DUMMYFUNCTION("""COMPUTED_VALUE"""),"Aseel Kaedbey")</f>
        <v>Aseel Kaedbey</v>
      </c>
      <c r="O95" s="209" t="str">
        <f>IFERROR(__xludf.DUMMYFUNCTION("""COMPUTED_VALUE"""),"Joanna Kashoka")</f>
        <v>Joanna Kashoka</v>
      </c>
      <c r="P95" s="209" t="str">
        <f>IFERROR(__xludf.DUMMYFUNCTION("""COMPUTED_VALUE"""),"Rutendo Mazhandu")</f>
        <v>Rutendo Mazhandu</v>
      </c>
      <c r="Q95" s="209" t="str">
        <f>IFERROR(__xludf.DUMMYFUNCTION("""COMPUTED_VALUE"""),"Choolwe Mizinga")</f>
        <v>Choolwe Mizinga</v>
      </c>
      <c r="R95" s="209" t="str">
        <f>IFERROR(__xludf.DUMMYFUNCTION("""COMPUTED_VALUE"""),"Nandipa Moyo")</f>
        <v>Nandipa Moyo</v>
      </c>
      <c r="S95" s="209" t="str">
        <f>IFERROR(__xludf.DUMMYFUNCTION("""COMPUTED_VALUE"""),"Gerald Mpande")</f>
        <v>Gerald Mpande</v>
      </c>
      <c r="T95" s="209" t="str">
        <f>IFERROR(__xludf.DUMMYFUNCTION("""COMPUTED_VALUE"""),"Ayanda Chama Mwansa")</f>
        <v>Ayanda Chama Mwansa</v>
      </c>
      <c r="U95" s="209" t="str">
        <f>IFERROR(__xludf.DUMMYFUNCTION("""COMPUTED_VALUE"""),"Chanozya Ng'ambi")</f>
        <v>Chanozya Ng'ambi</v>
      </c>
      <c r="V95" s="209" t="str">
        <f>IFERROR(__xludf.DUMMYFUNCTION("""COMPUTED_VALUE"""),"Daniel Emmanuel Rumsey")</f>
        <v>Daniel Emmanuel Rumsey</v>
      </c>
      <c r="W95" s="209" t="str">
        <f>IFERROR(__xludf.DUMMYFUNCTION("""COMPUTED_VALUE"""),"Esha Shenny")</f>
        <v>Esha Shenny</v>
      </c>
      <c r="X95" s="209" t="str">
        <f>IFERROR(__xludf.DUMMYFUNCTION("""COMPUTED_VALUE"""),"Lwiindi Siakabeya")</f>
        <v>Lwiindi Siakabeya</v>
      </c>
      <c r="Y95" s="209" t="str">
        <f>IFERROR(__xludf.DUMMYFUNCTION("""COMPUTED_VALUE"""),"Jay Hawjm")</f>
        <v>Jay Hawjm</v>
      </c>
      <c r="Z95" s="209" t="str">
        <f>IFERROR(__xludf.DUMMYFUNCTION("""COMPUTED_VALUE"""),"Arthur Jonah Malenji")</f>
        <v>Arthur Jonah Malenji</v>
      </c>
      <c r="AA95" s="209"/>
      <c r="AB95" s="444"/>
      <c r="AC95" s="444"/>
      <c r="AD95" s="444"/>
      <c r="AE95" s="444"/>
      <c r="AF95" s="444"/>
    </row>
    <row r="96">
      <c r="A96" s="441"/>
      <c r="B96" s="440" t="s">
        <v>142</v>
      </c>
      <c r="C96" s="440">
        <f>COUNTIF('IGCSE 2A'!P2:P30,"G")</f>
        <v>0</v>
      </c>
      <c r="D96" s="443" t="str">
        <f>IFERROR(__xludf.DUMMYFUNCTION("TRANSPOSE(FILTER('IGCSE 2A'!B:B, 'IGCSE 2A'!P:P=""G""))"),"#N/A")</f>
        <v>#N/A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2A'!P2:P30,"F")</f>
        <v>0</v>
      </c>
      <c r="D97" s="443" t="str">
        <f>IFERROR(__xludf.DUMMYFUNCTION("TRANSPOSE(FILTER('IGCSE 2A'!B:B, 'IGCSE 2A'!P:P=""F""))"),"#N/A")</f>
        <v>#N/A</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2A'!P2:P30,"E")</f>
        <v>0</v>
      </c>
      <c r="D98" s="443" t="str">
        <f>IFERROR(__xludf.DUMMYFUNCTION("TRANSPOSE(FILTER('IGCSE 2A'!B:B, 'IGCSE 2A'!P:P=""E""))"),"#N/A")</f>
        <v>#N/A</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2A'!P2:P30,"D")</f>
        <v>0</v>
      </c>
      <c r="D99" s="443" t="str">
        <f>IFERROR(__xludf.DUMMYFUNCTION("TRANSPOSE(FILTER('IGCSE 2A'!B:B, 'IGCSE 2A'!P:P=""D""))"),"#N/A")</f>
        <v>#N/A</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2A'!P2:P30,"C")</f>
        <v>0</v>
      </c>
      <c r="D100" s="443" t="str">
        <f>IFERROR(__xludf.DUMMYFUNCTION("TRANSPOSE(FILTER('IGCSE 2A'!B:B, 'IGCSE 2A'!P:P=""C""))"),"#N/A")</f>
        <v>#N/A</v>
      </c>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2A'!P2:P30,"B")</f>
        <v>0</v>
      </c>
      <c r="D101" s="443" t="str">
        <f>IFERROR(__xludf.DUMMYFUNCTION("TRANSPOSE(FILTER('IGCSE 2A'!B:B, 'IGCSE 2A'!P:P=""B""))"),"#N/A")</f>
        <v>#N/A</v>
      </c>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2A'!P2:P30,"A")</f>
        <v>0</v>
      </c>
      <c r="D102" s="443" t="str">
        <f>IFERROR(__xludf.DUMMYFUNCTION("TRANSPOSE(FILTER('IGCSE 2A'!B:B, 'IGCSE 2A'!P:P=""A""))"),"#N/A")</f>
        <v>#N/A</v>
      </c>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2A'!P2:P30,"A~*")</f>
        <v>0</v>
      </c>
      <c r="D103" s="443" t="str">
        <f>IFERROR(__xludf.DUMMYFUNCTION("TRANSPOSE(FILTER('IGCSE 2A'!B:B, 'IGCSE 2A'!P:P=""A*""))"),"#N/A")</f>
        <v>#N/A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fitToHeight="0" cellComments="atEnd" orientation="landscape"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53</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2B'!D2:D22,"U")</f>
        <v>1</v>
      </c>
      <c r="D4" s="209" t="str">
        <f>IFERROR(__xludf.DUMMYFUNCTION("TRANSPOSE(FILTER('IGCSE 2B'!B:B, 'IGCSE 2B'!D:D=""U""))"),"")</f>
        <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2B'!D2:D22,"G")</f>
        <v>1</v>
      </c>
      <c r="D5" s="209" t="str">
        <f>IFERROR(__xludf.DUMMYFUNCTION("TRANSPOSE(FILTER('IGCSE 2B'!B:B, 'IGCSE 2B'!D:D=""G""))"),"Ackim Mwale")</f>
        <v>Ackim Mwale</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2B'!D2:D22,"F")</f>
        <v>6</v>
      </c>
      <c r="D6" s="209" t="str">
        <f>IFERROR(__xludf.DUMMYFUNCTION("TRANSPOSE(FILTER('IGCSE 2B'!B:B, 'IGCSE 2B'!D:D=""F""))"),"Musama Chamunda")</f>
        <v>Musama Chamunda</v>
      </c>
      <c r="E6" s="209" t="str">
        <f>IFERROR(__xludf.DUMMYFUNCTION("""COMPUTED_VALUE"""),"Kapungwe Kabali")</f>
        <v>Kapungwe Kabali</v>
      </c>
      <c r="F6" s="209" t="str">
        <f>IFERROR(__xludf.DUMMYFUNCTION("""COMPUTED_VALUE"""),"Pious Ngoma")</f>
        <v>Pious Ngoma</v>
      </c>
      <c r="G6" s="209" t="str">
        <f>IFERROR(__xludf.DUMMYFUNCTION("""COMPUTED_VALUE"""),"Roland Tom Zebron Temba")</f>
        <v>Roland Tom Zebron Temba</v>
      </c>
      <c r="H6" s="209" t="str">
        <f>IFERROR(__xludf.DUMMYFUNCTION("""COMPUTED_VALUE"""),"Nandipa Moyo")</f>
        <v>Nandipa Moyo</v>
      </c>
      <c r="I6" s="209" t="str">
        <f>IFERROR(__xludf.DUMMYFUNCTION("""COMPUTED_VALUE"""),"Nour Rassalan")</f>
        <v>Nour Rassalan</v>
      </c>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2B'!D2:D22,"E")</f>
        <v>2</v>
      </c>
      <c r="D7" s="209" t="str">
        <f>IFERROR(__xludf.DUMMYFUNCTION("TRANSPOSE(FILTER('IGCSE 2B'!B:B, 'IGCSE 2B'!D:D=""E""))"),"Harry Kanobana")</f>
        <v>Harry Kanobana</v>
      </c>
      <c r="E7" s="209" t="str">
        <f>IFERROR(__xludf.DUMMYFUNCTION("""COMPUTED_VALUE"""),"Nerbet Katambo")</f>
        <v>Nerbet Katambo</v>
      </c>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2B'!D2:D22,"D")</f>
        <v>0</v>
      </c>
      <c r="D8" s="209" t="str">
        <f>IFERROR(__xludf.DUMMYFUNCTION("TRANSPOSE(FILTER('IGCSE 2B'!B:B, 'IGCSE 2B'!D:D=""D""))"),"#N/A")</f>
        <v>#N/A</v>
      </c>
      <c r="E8" s="209"/>
      <c r="F8" s="209"/>
      <c r="G8" s="209"/>
      <c r="H8" s="209"/>
      <c r="I8" s="209"/>
      <c r="J8" s="209"/>
      <c r="K8" s="209"/>
      <c r="L8" s="209"/>
      <c r="M8" s="209"/>
      <c r="N8" s="209"/>
      <c r="O8" s="209"/>
      <c r="P8" s="209"/>
      <c r="Q8" s="209"/>
      <c r="R8" s="209"/>
      <c r="S8" s="209"/>
      <c r="T8" s="209"/>
      <c r="U8" s="209"/>
      <c r="V8" s="209"/>
      <c r="W8" s="209"/>
      <c r="X8" s="209"/>
      <c r="Y8" s="209"/>
      <c r="Z8" s="209"/>
      <c r="AA8" s="209"/>
    </row>
    <row r="9" ht="20.25" customHeight="1">
      <c r="A9" s="441"/>
      <c r="B9" s="440" t="s">
        <v>90</v>
      </c>
      <c r="C9" s="440">
        <f>COUNTIF('IGCSE 2B'!D2:D22,"C")</f>
        <v>0</v>
      </c>
      <c r="D9" s="209" t="str">
        <f>IFERROR(__xludf.DUMMYFUNCTION("TRANSPOSE(FILTER('IGCSE 2B'!B:B, 'IGCSE 2B'!D:D=""C""))"),"#N/A")</f>
        <v>#N/A</v>
      </c>
      <c r="E9" s="209"/>
      <c r="F9" s="209"/>
      <c r="G9" s="209"/>
      <c r="H9" s="209"/>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2B'!D22:DB1000,"B")</f>
        <v>0</v>
      </c>
      <c r="D10" s="209" t="str">
        <f>IFERROR(__xludf.DUMMYFUNCTION("TRANSPOSE(FILTER('IGCSE 2B'!B:B, 'IGCSE 2B'!D:D=""B""))"),"#N/A")</f>
        <v>#N/A</v>
      </c>
      <c r="E10" s="209"/>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2B'!D2:D22,"A")</f>
        <v>0</v>
      </c>
      <c r="D11" s="209" t="str">
        <f>IFERROR(__xludf.DUMMYFUNCTION("TRANSPOSE(FILTER('IGCSE 2B'!B:B, 'IGCSE 2B'!D:D=""A""))"),"#N/A")</f>
        <v>#N/A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2B'!D2:D22,"A~*")</f>
        <v>0</v>
      </c>
      <c r="D12" s="209" t="str">
        <f>IFERROR(__xludf.DUMMYFUNCTION("TRANSPOSE(FILTER('IGCSE 2B'!B:B, 'IGCSE 2B'!D:D=""A*""))"),"#N/A")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2B'!F2:F22,"U")</f>
        <v>2</v>
      </c>
      <c r="D15" s="209" t="str">
        <f>IFERROR(__xludf.DUMMYFUNCTION("TRANSPOSE(FILTER('IGCSE 2B'!B:B, 'IGCSE 2B'!F:F=""U""))"),"Pious Ngoma")</f>
        <v>Pious Ngoma</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2B'!F2:F22,"G")</f>
        <v>0</v>
      </c>
      <c r="D16" s="209" t="str">
        <f>IFERROR(__xludf.DUMMYFUNCTION("TRANSPOSE(FILTER('IGCSE 2B'!B:B, 'IGCSE 2B'!F:F=""G""))"),"#N/A")</f>
        <v>#N/A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2B'!F2:F22,"F")</f>
        <v>6</v>
      </c>
      <c r="D17" s="209" t="str">
        <f>IFERROR(__xludf.DUMMYFUNCTION("TRANSPOSE(FILTER('IGCSE 2B'!B:B, 'IGCSE 2B'!F:F=""F""))"),"Musama Chamunda")</f>
        <v>Musama Chamunda</v>
      </c>
      <c r="E17" s="209" t="str">
        <f>IFERROR(__xludf.DUMMYFUNCTION("""COMPUTED_VALUE"""),"Ackim Mwale")</f>
        <v>Ackim Mwale</v>
      </c>
      <c r="F17" s="209" t="str">
        <f>IFERROR(__xludf.DUMMYFUNCTION("""COMPUTED_VALUE"""),"Nerbet Katambo")</f>
        <v>Nerbet Katambo</v>
      </c>
      <c r="G17" s="209" t="str">
        <f>IFERROR(__xludf.DUMMYFUNCTION("""COMPUTED_VALUE"""),"Roland Tom Zebron Temba")</f>
        <v>Roland Tom Zebron Temba</v>
      </c>
      <c r="H17" s="209" t="str">
        <f>IFERROR(__xludf.DUMMYFUNCTION("""COMPUTED_VALUE"""),"Nandipa Moyo")</f>
        <v>Nandipa Moyo</v>
      </c>
      <c r="I17" s="209" t="str">
        <f>IFERROR(__xludf.DUMMYFUNCTION("""COMPUTED_VALUE"""),"Nour Rassalan")</f>
        <v>Nour Rassalan</v>
      </c>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2B'!F2:F22,"E")</f>
        <v>1</v>
      </c>
      <c r="D18" s="209" t="str">
        <f>IFERROR(__xludf.DUMMYFUNCTION("TRANSPOSE(FILTER('IGCSE 2B'!B:B, 'IGCSE 2B'!F:F=""E""))"),"Harry Kanobana")</f>
        <v>Harry Kanobana</v>
      </c>
      <c r="E18" s="209"/>
      <c r="F18" s="209"/>
      <c r="G18" s="209"/>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2B'!F2:F22,"D")</f>
        <v>0</v>
      </c>
      <c r="D19" s="209" t="str">
        <f>IFERROR(__xludf.DUMMYFUNCTION("TRANSPOSE(FILTER('IGCSE 2B'!B:B, 'IGCSE 2B'!F:F=""D""))"),"#N/A")</f>
        <v>#N/A</v>
      </c>
      <c r="E19" s="209"/>
      <c r="F19" s="209"/>
      <c r="G19" s="209"/>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2B'!F2:F22,"C")</f>
        <v>0</v>
      </c>
      <c r="D20" s="209" t="str">
        <f>IFERROR(__xludf.DUMMYFUNCTION("TRANSPOSE(FILTER('IGCSE 2B'!B:B, 'IGCSE 2B'!F:F=""C""))"),"#N/A")</f>
        <v>#N/A</v>
      </c>
      <c r="E20" s="209"/>
      <c r="F20" s="209"/>
      <c r="G20" s="209"/>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2B'!F2:F22,"B")</f>
        <v>0</v>
      </c>
      <c r="D21" s="209" t="str">
        <f>IFERROR(__xludf.DUMMYFUNCTION("TRANSPOSE(FILTER('IGCSE 2B'!B:B, 'IGCSE 2B'!F:F=""B""))"),"#N/A")</f>
        <v>#N/A</v>
      </c>
      <c r="E21" s="209"/>
      <c r="F21" s="209"/>
      <c r="G21" s="209"/>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2B'!F2:F22,"A")</f>
        <v>1</v>
      </c>
      <c r="D22" s="209" t="str">
        <f>IFERROR(__xludf.DUMMYFUNCTION("TRANSPOSE(FILTER('IGCSE 2B'!B:B, 'IGCSE 2B'!F:F=""A""))"),"Kapungwe Kabali")</f>
        <v>Kapungwe Kabali</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2B'!F2:F22,"A~*")</f>
        <v>0</v>
      </c>
      <c r="D23" s="209" t="str">
        <f>IFERROR(__xludf.DUMMYFUNCTION("TRANSPOSE(FILTER('IGCSE 2B'!B:B, 'IGCSE 2B'!F:F=""A*""))"),"#N/A")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2B'!H2:H30,"U")</f>
        <v>7</v>
      </c>
      <c r="D25" s="442" t="str">
        <f>IFERROR(__xludf.DUMMYFUNCTION("TRANSPOSE(FILTER('IGCSE 2B'!B:B, 'IGCSE 2B'!H:H=""U""))"),"Kapungwe Kabali")</f>
        <v>Kapungwe Kabali</v>
      </c>
      <c r="E25" s="209" t="str">
        <f>IFERROR(__xludf.DUMMYFUNCTION("""COMPUTED_VALUE"""),"Harry Kanobana")</f>
        <v>Harry Kanobana</v>
      </c>
      <c r="F25" s="209" t="str">
        <f>IFERROR(__xludf.DUMMYFUNCTION("""COMPUTED_VALUE"""),"Ackim Mwale")</f>
        <v>Ackim Mwale</v>
      </c>
      <c r="G25" s="209" t="str">
        <f>IFERROR(__xludf.DUMMYFUNCTION("""COMPUTED_VALUE"""),"Pious Ngoma")</f>
        <v>Pious Ngoma</v>
      </c>
      <c r="H25" s="209" t="str">
        <f>IFERROR(__xludf.DUMMYFUNCTION("""COMPUTED_VALUE"""),"Nerbet Katambo")</f>
        <v>Nerbet Katambo</v>
      </c>
      <c r="I25" s="209" t="str">
        <f>IFERROR(__xludf.DUMMYFUNCTION("""COMPUTED_VALUE"""),"Nour Rassalan")</f>
        <v>Nour Rassalan</v>
      </c>
      <c r="J25" s="209"/>
      <c r="K25" s="209"/>
      <c r="L25" s="209"/>
      <c r="M25" s="209"/>
      <c r="N25" s="209"/>
      <c r="O25" s="209"/>
      <c r="P25" s="209"/>
      <c r="Q25" s="209"/>
      <c r="R25" s="209"/>
      <c r="S25" s="209"/>
      <c r="T25" s="209"/>
      <c r="U25" s="209"/>
      <c r="V25" s="209"/>
      <c r="W25" s="209"/>
      <c r="X25" s="209"/>
      <c r="Y25" s="209"/>
      <c r="Z25" s="209"/>
      <c r="AA25" s="209"/>
    </row>
    <row r="26">
      <c r="A26" s="441"/>
      <c r="B26" s="440" t="s">
        <v>142</v>
      </c>
      <c r="C26" s="440">
        <f>COUNTIF('IGCSE 2B'!H2:H30,"G")</f>
        <v>0</v>
      </c>
      <c r="D26" s="443" t="str">
        <f>IFERROR(__xludf.DUMMYFUNCTION("TRANSPOSE(FILTER('IGCSE 2B'!B:B, 'IGCSE 2B'!H:H=""G""))"),"#N/A")</f>
        <v>#N/A</v>
      </c>
      <c r="E26" s="209"/>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2B'!H2:H30,"F")</f>
        <v>1</v>
      </c>
      <c r="D27" s="443" t="str">
        <f>IFERROR(__xludf.DUMMYFUNCTION("TRANSPOSE(FILTER('IGCSE 2B'!B:B, 'IGCSE 2B'!H:H=""F""))"),"Nandipa Moyo")</f>
        <v>Nandipa Moyo</v>
      </c>
      <c r="E27" s="209"/>
      <c r="F27" s="209"/>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2B'!H2:H30,"E")</f>
        <v>1</v>
      </c>
      <c r="D28" s="443" t="str">
        <f>IFERROR(__xludf.DUMMYFUNCTION("TRANSPOSE(FILTER('IGCSE 2B'!B:B, 'IGCSE 2B'!H:H=""E""))"),"Musama Chamunda")</f>
        <v>Musama Chamunda</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2B'!H2:H30,"D")</f>
        <v>1</v>
      </c>
      <c r="D29" s="443" t="str">
        <f>IFERROR(__xludf.DUMMYFUNCTION("TRANSPOSE(FILTER('IGCSE 2B'!B:B, 'IGCSE 2B'!H:H=""D""))"),"Roland Tom Zebron Temba")</f>
        <v>Roland Tom Zebron Temba</v>
      </c>
      <c r="E29" s="209"/>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2B'!H2:H30,"C")</f>
        <v>0</v>
      </c>
      <c r="D30" s="443" t="str">
        <f>IFERROR(__xludf.DUMMYFUNCTION("TRANSPOSE(FILTER('IGCSE 2B'!B:B, 'IGCSE 2B'!H:H=""C""))"),"#N/A")</f>
        <v>#N/A</v>
      </c>
      <c r="E30" s="209"/>
      <c r="F30" s="209"/>
      <c r="G30" s="209"/>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2B'!H2:H30,"B")</f>
        <v>0</v>
      </c>
      <c r="D31" s="443" t="str">
        <f>IFERROR(__xludf.DUMMYFUNCTION("TRANSPOSE(FILTER('IGCSE 2B'!B:B, 'IGCSE 2B'!H:H=""B""))"),"#N/A")</f>
        <v>#N/A</v>
      </c>
      <c r="E31" s="209"/>
      <c r="F31" s="209"/>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COUNTIF('IGCSE 2B'!H2:H30,"A")</f>
        <v>0</v>
      </c>
      <c r="D32" s="443" t="str">
        <f>IFERROR(__xludf.DUMMYFUNCTION("TRANSPOSE(FILTER('IGCSE 2B'!B:B, 'IGCSE 2B'!H:H=""A""))"),"#N/A")</f>
        <v>#N/A</v>
      </c>
      <c r="E32" s="209"/>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2B'!H2:H30,"A~*")</f>
        <v>0</v>
      </c>
      <c r="D33" s="443" t="str">
        <f>IFERROR(__xludf.DUMMYFUNCTION("TRANSPOSE(FILTER('IGCSE 2B'!B:B, 'IGCSE 2B'!H:H=""A*""))"),"#N/A")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2B'!J2:J30,"U")</f>
        <v>7</v>
      </c>
      <c r="D35" s="442" t="str">
        <f>IFERROR(__xludf.DUMMYFUNCTION("TRANSPOSE(FILTER('IGCSE 2B'!B:B, 'IGCSE 2B'!J:J=""U""))"),"Harry Kanobana")</f>
        <v>Harry Kanobana</v>
      </c>
      <c r="E35" s="209" t="str">
        <f>IFERROR(__xludf.DUMMYFUNCTION("""COMPUTED_VALUE"""),"Ackim Mwale")</f>
        <v>Ackim Mwale</v>
      </c>
      <c r="F35" s="209" t="str">
        <f>IFERROR(__xludf.DUMMYFUNCTION("""COMPUTED_VALUE"""),"Pious Ngoma")</f>
        <v>Pious Ngoma</v>
      </c>
      <c r="G35" s="209" t="str">
        <f>IFERROR(__xludf.DUMMYFUNCTION("""COMPUTED_VALUE"""),"Nerbet Katambo")</f>
        <v>Nerbet Katambo</v>
      </c>
      <c r="H35" s="209" t="str">
        <f>IFERROR(__xludf.DUMMYFUNCTION("""COMPUTED_VALUE"""),"Nandipa Moyo")</f>
        <v>Nandipa Moyo</v>
      </c>
      <c r="I35" s="209" t="str">
        <f>IFERROR(__xludf.DUMMYFUNCTION("""COMPUTED_VALUE"""),"Nour Rassalan")</f>
        <v>Nour Rassalan</v>
      </c>
      <c r="J35" s="209"/>
      <c r="K35" s="209"/>
      <c r="L35" s="209"/>
      <c r="M35" s="209"/>
      <c r="N35" s="209"/>
      <c r="O35" s="209"/>
      <c r="P35" s="209"/>
      <c r="Q35" s="209"/>
      <c r="R35" s="209"/>
      <c r="S35" s="209"/>
      <c r="T35" s="209"/>
      <c r="U35" s="209"/>
      <c r="V35" s="209"/>
      <c r="W35" s="209"/>
      <c r="X35" s="209"/>
      <c r="Y35" s="209"/>
      <c r="Z35" s="209"/>
      <c r="AA35" s="209"/>
    </row>
    <row r="36">
      <c r="A36" s="441"/>
      <c r="B36" s="440" t="s">
        <v>142</v>
      </c>
      <c r="C36" s="440">
        <f>COUNTIF('IGCSE 2B'!J2:J30,"G")</f>
        <v>0</v>
      </c>
      <c r="D36" s="443" t="str">
        <f>IFERROR(__xludf.DUMMYFUNCTION("TRANSPOSE(FILTER('IGCSE 2B'!B:B, 'IGCSE 2B'!J:J=""G""))"),"#N/A")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2B'!J2:J30,"F")</f>
        <v>1</v>
      </c>
      <c r="D37" s="443" t="str">
        <f>IFERROR(__xludf.DUMMYFUNCTION("TRANSPOSE(FILTER('IGCSE 2B'!B:B, 'IGCSE 2B'!J:J=""F""))"),"Roland Tom Zebron Temba")</f>
        <v>Roland Tom Zebron Temba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2B'!J2:J30,"E")</f>
        <v>1</v>
      </c>
      <c r="D38" s="443" t="str">
        <f>IFERROR(__xludf.DUMMYFUNCTION("TRANSPOSE(FILTER('IGCSE 2B'!B:B, 'IGCSE 2B'!J:J=""E""))"),"Musama Chamunda")</f>
        <v>Musama Chamunda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2B'!J2:J30,"D")</f>
        <v>1</v>
      </c>
      <c r="D39" s="443" t="str">
        <f>IFERROR(__xludf.DUMMYFUNCTION("TRANSPOSE(FILTER('IGCSE 2B'!B:B, 'IGCSE 2B'!J:J=""D""))"),"Kapungwe Kabali")</f>
        <v>Kapungwe Kabali</v>
      </c>
      <c r="E39" s="209"/>
      <c r="F39" s="209"/>
      <c r="G39" s="209"/>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2B'!J2:J30,"C")</f>
        <v>0</v>
      </c>
      <c r="D40" s="443" t="str">
        <f>IFERROR(__xludf.DUMMYFUNCTION("TRANSPOSE(FILTER('IGCSE 2B'!B:B, 'IGCSE 2B'!J:J=""C""))"),"#N/A")</f>
        <v>#N/A</v>
      </c>
      <c r="E40" s="209"/>
      <c r="F40" s="209"/>
      <c r="G40" s="209"/>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2B'!J2:J30,"B")</f>
        <v>0</v>
      </c>
      <c r="D41" s="443" t="str">
        <f>IFERROR(__xludf.DUMMYFUNCTION("TRANSPOSE(FILTER('IGCSE 2B'!B:B, 'IGCSE 2B'!J:J=""B""))"),"#N/A")</f>
        <v>#N/A</v>
      </c>
      <c r="E41" s="209"/>
      <c r="F41" s="209"/>
      <c r="G41" s="209"/>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2B'!J2:J30,"A")</f>
        <v>0</v>
      </c>
      <c r="D42" s="443" t="str">
        <f>IFERROR(__xludf.DUMMYFUNCTION("TRANSPOSE(FILTER('IGCSE 2B'!B:B, 'IGCSE 2B'!J:J=""A""))"),"#N/A")</f>
        <v>#N/A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2B'!J2:J30,"A~*")</f>
        <v>0</v>
      </c>
      <c r="D43" s="443" t="str">
        <f>IFERROR(__xludf.DUMMYFUNCTION("TRANSPOSE(FILTER('IGCSE 2B'!B:B, 'IGCSE 2B'!J:J=""A*""))"),"#N/A")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2B'!T2:T30,"U")</f>
        <v>8</v>
      </c>
      <c r="D45" s="442" t="str">
        <f>IFERROR(__xludf.DUMMYFUNCTION("TRANSPOSE(FILTER('IGCSE 2B'!B:B, 'IGCSE 2B'!T:T=""U""))"),"Kapungwe Kabali")</f>
        <v>Kapungwe Kabali</v>
      </c>
      <c r="E45" s="209" t="str">
        <f>IFERROR(__xludf.DUMMYFUNCTION("""COMPUTED_VALUE"""),"Harry Kanobana")</f>
        <v>Harry Kanobana</v>
      </c>
      <c r="F45" s="209" t="str">
        <f>IFERROR(__xludf.DUMMYFUNCTION("""COMPUTED_VALUE"""),"Ackim Mwale")</f>
        <v>Ackim Mwale</v>
      </c>
      <c r="G45" s="209" t="str">
        <f>IFERROR(__xludf.DUMMYFUNCTION("""COMPUTED_VALUE"""),"Pious Ngoma")</f>
        <v>Pious Ngoma</v>
      </c>
      <c r="H45" s="209" t="str">
        <f>IFERROR(__xludf.DUMMYFUNCTION("""COMPUTED_VALUE"""),"Nerbet Katambo")</f>
        <v>Nerbet Katambo</v>
      </c>
      <c r="I45" s="209" t="str">
        <f>IFERROR(__xludf.DUMMYFUNCTION("""COMPUTED_VALUE"""),"Nandipa Moyo")</f>
        <v>Nandipa Moyo</v>
      </c>
      <c r="J45" s="209" t="str">
        <f>IFERROR(__xludf.DUMMYFUNCTION("""COMPUTED_VALUE"""),"Nour Rassalan")</f>
        <v>Nour Rassalan</v>
      </c>
      <c r="K45" s="209"/>
      <c r="L45" s="209"/>
      <c r="M45" s="209"/>
      <c r="N45" s="209"/>
      <c r="O45" s="209"/>
      <c r="P45" s="209"/>
      <c r="Q45" s="209"/>
      <c r="R45" s="209"/>
      <c r="S45" s="209"/>
      <c r="T45" s="209"/>
      <c r="U45" s="209"/>
      <c r="V45" s="209"/>
      <c r="W45" s="209"/>
      <c r="X45" s="209"/>
      <c r="Y45" s="209"/>
      <c r="Z45" s="209"/>
      <c r="AA45" s="209"/>
    </row>
    <row r="46">
      <c r="A46" s="441"/>
      <c r="B46" s="440" t="s">
        <v>142</v>
      </c>
      <c r="C46" s="440">
        <f>COUNTIF('IGCSE 2B'!T2:T30,"G")</f>
        <v>0</v>
      </c>
      <c r="D46" s="443" t="str">
        <f>IFERROR(__xludf.DUMMYFUNCTION("TRANSPOSE(FILTER('IGCSE 2B'!B:B, 'IGCSE 2B'!T:T=""G""))"),"#N/A")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2B'!T2:T30,"F")</f>
        <v>1</v>
      </c>
      <c r="D47" s="443" t="str">
        <f>IFERROR(__xludf.DUMMYFUNCTION("TRANSPOSE(FILTER('IGCSE 2B'!B:B, 'IGCSE 2B'!T:T=""F""))"),"Musama Chamunda")</f>
        <v>Musama Chamunda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2B'!T2:T30,"E")</f>
        <v>0</v>
      </c>
      <c r="D48" s="443" t="str">
        <f>IFERROR(__xludf.DUMMYFUNCTION("TRANSPOSE(FILTER('IGCSE 2B'!B:B, 'IGCSE 2B'!T:T=""E""))"),"#N/A")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2B'!T2:T30,"D")</f>
        <v>1</v>
      </c>
      <c r="D49" s="443" t="str">
        <f>IFERROR(__xludf.DUMMYFUNCTION("TRANSPOSE(FILTER('IGCSE 2B'!B:B, 'IGCSE 2B'!T:T=""D""))"),"Roland Tom Zebron Temba")</f>
        <v>Roland Tom Zebron Temba</v>
      </c>
      <c r="E49" s="209"/>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2B'!T2:T30,"C")</f>
        <v>0</v>
      </c>
      <c r="D50" s="443" t="str">
        <f>IFERROR(__xludf.DUMMYFUNCTION("TRANSPOSE(FILTER('IGCSE 2B'!B:B, 'IGCSE 2B'!T:T=""C""))"),"#N/A")</f>
        <v>#N/A</v>
      </c>
      <c r="E50" s="209"/>
      <c r="F50" s="209"/>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2B'!T2:T30,"B")</f>
        <v>0</v>
      </c>
      <c r="D51" s="443" t="str">
        <f>IFERROR(__xludf.DUMMYFUNCTION("TRANSPOSE(FILTER('IGCSE 2B'!B:B, 'IGCSE 2B'!T:T=""B""))"),"#N/A")</f>
        <v>#N/A</v>
      </c>
      <c r="E51" s="209"/>
      <c r="F51" s="209"/>
      <c r="G51" s="209"/>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2B'!T2:T30,"A")</f>
        <v>0</v>
      </c>
      <c r="D52" s="443" t="str">
        <f>IFERROR(__xludf.DUMMYFUNCTION("TRANSPOSE(FILTER('IGCSE 2B'!B:B, 'IGCSE 2B'!T:T=""A""))"),"#N/A")</f>
        <v>#N/A</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COUNTIF('IGCSE 2B'!T2:T30,"A~*")</f>
        <v>0</v>
      </c>
      <c r="D53" s="443" t="str">
        <f>IFERROR(__xludf.DUMMYFUNCTION("TRANSPOSE(FILTER('IGCSE 2B'!B:B, 'IGCSE 2B'!T:T=""A*""))"),"#N/A")</f>
        <v>#N/A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2B'!N2:N30,"U")</f>
        <v>7</v>
      </c>
      <c r="D55" s="442" t="str">
        <f>IFERROR(__xludf.DUMMYFUNCTION("TRANSPOSE(FILTER('IGCSE 2B'!B:B, 'IGCSE 2B'!N:N=""U""))"),"Musama Chamunda")</f>
        <v>Musama Chamunda</v>
      </c>
      <c r="E55" s="209" t="str">
        <f>IFERROR(__xludf.DUMMYFUNCTION("""COMPUTED_VALUE"""),"Ackim Mwale")</f>
        <v>Ackim Mwale</v>
      </c>
      <c r="F55" s="209" t="str">
        <f>IFERROR(__xludf.DUMMYFUNCTION("""COMPUTED_VALUE"""),"Nerbet Katambo")</f>
        <v>Nerbet Katambo</v>
      </c>
      <c r="G55" s="209" t="str">
        <f>IFERROR(__xludf.DUMMYFUNCTION("""COMPUTED_VALUE"""),"Roland Tom Zebron Temba")</f>
        <v>Roland Tom Zebron Temba</v>
      </c>
      <c r="H55" s="209" t="str">
        <f>IFERROR(__xludf.DUMMYFUNCTION("""COMPUTED_VALUE"""),"Nandipa Moyo")</f>
        <v>Nandipa Moyo</v>
      </c>
      <c r="I55" s="209" t="str">
        <f>IFERROR(__xludf.DUMMYFUNCTION("""COMPUTED_VALUE"""),"Nour Rassalan")</f>
        <v>Nour Rassalan</v>
      </c>
      <c r="J55" s="209"/>
      <c r="K55" s="209"/>
      <c r="L55" s="209"/>
      <c r="M55" s="209"/>
      <c r="N55" s="209"/>
      <c r="O55" s="209"/>
      <c r="P55" s="209"/>
      <c r="Q55" s="209"/>
      <c r="R55" s="209"/>
      <c r="S55" s="209"/>
      <c r="T55" s="209"/>
      <c r="U55" s="209"/>
      <c r="V55" s="209"/>
      <c r="W55" s="209"/>
      <c r="X55" s="209"/>
      <c r="Y55" s="209"/>
      <c r="Z55" s="209"/>
      <c r="AA55" s="209"/>
    </row>
    <row r="56">
      <c r="A56" s="441"/>
      <c r="B56" s="440" t="s">
        <v>142</v>
      </c>
      <c r="C56" s="440">
        <f>COUNTIF('IGCSE 2B'!N2:N30,"G")</f>
        <v>0</v>
      </c>
      <c r="D56" s="443" t="str">
        <f>IFERROR(__xludf.DUMMYFUNCTION("TRANSPOSE(FILTER('IGCSE 2B'!B:B, 'IGCSE 2B'!N:N=""G""))"),"#N/A")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2B'!N2:N30,"F")</f>
        <v>1</v>
      </c>
      <c r="D57" s="443" t="str">
        <f>IFERROR(__xludf.DUMMYFUNCTION("TRANSPOSE(FILTER('IGCSE 2B'!B:B, 'IGCSE 2B'!N:N=""F""))"),"Pious Ngoma")</f>
        <v>Pious Ngoma</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2B'!N2:N30,"E")</f>
        <v>1</v>
      </c>
      <c r="D58" s="443" t="str">
        <f>IFERROR(__xludf.DUMMYFUNCTION("TRANSPOSE(FILTER('IGCSE 2B'!B:B, 'IGCSE 2B'!N:N=""E""))"),"Harry Kanobana")</f>
        <v>Harry Kanobana</v>
      </c>
      <c r="E58" s="209"/>
      <c r="F58" s="209"/>
      <c r="G58" s="209"/>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COUNTIF('IGCSE 2B'!N2:N30,"D")</f>
        <v>1</v>
      </c>
      <c r="D59" s="443" t="str">
        <f>IFERROR(__xludf.DUMMYFUNCTION("TRANSPOSE(FILTER('IGCSE 2B'!B:B, 'IGCSE 2B'!N:N=""D""))"),"Kapungwe Kabali")</f>
        <v>Kapungwe Kabali</v>
      </c>
      <c r="E59" s="209"/>
      <c r="F59" s="209"/>
      <c r="G59" s="209"/>
      <c r="H59" s="209"/>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2B'!N2:N30,"C")</f>
        <v>0</v>
      </c>
      <c r="D60" s="443" t="str">
        <f>IFERROR(__xludf.DUMMYFUNCTION("TRANSPOSE(FILTER('IGCSE 2B'!B:B, 'IGCSE 2B'!N:N=""C""))"),"#N/A")</f>
        <v>#N/A</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2B'!N2:N30,"B")</f>
        <v>0</v>
      </c>
      <c r="D61" s="443" t="str">
        <f>IFERROR(__xludf.DUMMYFUNCTION("TRANSPOSE(FILTER('IGCSE 2B'!B:B, 'IGCSE 2B'!N:N=""B""))"),"#N/A")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2B'!N2:N30,"A")</f>
        <v>0</v>
      </c>
      <c r="D62" s="443" t="str">
        <f>IFERROR(__xludf.DUMMYFUNCTION("TRANSPOSE(FILTER('IGCSE 2B'!B:B, 'IGCSE 2B'!N:N=""A""))"),"#N/A")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2B'!N2:N30,"A~*")</f>
        <v>0</v>
      </c>
      <c r="D63" s="443" t="str">
        <f>IFERROR(__xludf.DUMMYFUNCTION("TRANSPOSE(FILTER('IGCSE 2B'!B:B, 'IGCSE 2B'!N:N=""A*""))"),"#N/A")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2B'!R2:R30,"U")</f>
        <v>5</v>
      </c>
      <c r="D65" s="442" t="str">
        <f>IFERROR(__xludf.DUMMYFUNCTION("TRANSPOSE(FILTER('IGCSE 2B'!B:B, 'IGCSE 2B'!R:R=""U""))"),"Musama Chamunda")</f>
        <v>Musama Chamunda</v>
      </c>
      <c r="E65" s="209" t="str">
        <f>IFERROR(__xludf.DUMMYFUNCTION("""COMPUTED_VALUE"""),"Nerbet Katambo")</f>
        <v>Nerbet Katambo</v>
      </c>
      <c r="F65" s="209" t="str">
        <f>IFERROR(__xludf.DUMMYFUNCTION("""COMPUTED_VALUE"""),"Nandipa Moyo")</f>
        <v>Nandipa Moyo</v>
      </c>
      <c r="G65" s="209" t="str">
        <f>IFERROR(__xludf.DUMMYFUNCTION("""COMPUTED_VALUE"""),"Nour Rassalan")</f>
        <v>Nour Rassalan</v>
      </c>
      <c r="H65" s="209"/>
      <c r="I65" s="209"/>
      <c r="J65" s="209"/>
      <c r="K65" s="209"/>
      <c r="L65" s="209"/>
      <c r="M65" s="209"/>
      <c r="N65" s="209"/>
      <c r="O65" s="209"/>
      <c r="P65" s="209"/>
      <c r="Q65" s="209"/>
      <c r="R65" s="209"/>
      <c r="S65" s="209"/>
      <c r="T65" s="209"/>
      <c r="U65" s="209"/>
      <c r="V65" s="209"/>
      <c r="W65" s="209"/>
      <c r="X65" s="209"/>
      <c r="Y65" s="209"/>
      <c r="Z65" s="209"/>
      <c r="AA65" s="209"/>
    </row>
    <row r="66">
      <c r="A66" s="441"/>
      <c r="B66" s="440" t="s">
        <v>142</v>
      </c>
      <c r="C66" s="440">
        <f>COUNTIF('IGCSE 2B'!R2:R30,"G")</f>
        <v>0</v>
      </c>
      <c r="D66" s="443" t="str">
        <f>IFERROR(__xludf.DUMMYFUNCTION("TRANSPOSE(FILTER('IGCSE 2B'!B:B, 'IGCSE 2B'!R:R=""G""))"),"#N/A")</f>
        <v>#N/A</v>
      </c>
      <c r="E66" s="209"/>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2B'!R2:R30,"F")</f>
        <v>1</v>
      </c>
      <c r="D67" s="443" t="str">
        <f>IFERROR(__xludf.DUMMYFUNCTION("TRANSPOSE(FILTER('IGCSE 2B'!B:B, 'IGCSE 2B'!R:R=""F""))"),"Ackim Mwale")</f>
        <v>Ackim Mwale</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2B'!R2:R30,"E")</f>
        <v>3</v>
      </c>
      <c r="D68" s="443" t="str">
        <f>IFERROR(__xludf.DUMMYFUNCTION("TRANSPOSE(FILTER('IGCSE 2B'!B:B, 'IGCSE 2B'!R:R=""E""))"),"Kapungwe Kabali")</f>
        <v>Kapungwe Kabali</v>
      </c>
      <c r="E68" s="209" t="str">
        <f>IFERROR(__xludf.DUMMYFUNCTION("""COMPUTED_VALUE"""),"Harry Kanobana")</f>
        <v>Harry Kanobana</v>
      </c>
      <c r="F68" s="209" t="str">
        <f>IFERROR(__xludf.DUMMYFUNCTION("""COMPUTED_VALUE"""),"Roland Tom Zebron Temba")</f>
        <v>Roland Tom Zebron Temba</v>
      </c>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2B'!R2:R30,"D")</f>
        <v>1</v>
      </c>
      <c r="D69" s="443" t="str">
        <f>IFERROR(__xludf.DUMMYFUNCTION("TRANSPOSE(FILTER('IGCSE 2B'!B:B, 'IGCSE 2B'!R:R=""D""))"),"Pious Ngoma")</f>
        <v>Pious Ngoma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2B'!R2:R30,"C")</f>
        <v>0</v>
      </c>
      <c r="D70" s="443" t="str">
        <f>IFERROR(__xludf.DUMMYFUNCTION("TRANSPOSE(FILTER('IGCSE 2B'!B:B, 'IGCSE 2B'!R:R=""C""))"),"#N/A")</f>
        <v>#N/A</v>
      </c>
      <c r="E70" s="209"/>
      <c r="F70" s="209"/>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2B'!R2:R30,"B")</f>
        <v>0</v>
      </c>
      <c r="D71" s="443" t="str">
        <f>IFERROR(__xludf.DUMMYFUNCTION("TRANSPOSE(FILTER('IGCSE 2B'!B:B, 'IGCSE 2B'!R:R=""B""))"),"#N/A")</f>
        <v>#N/A</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2B'!R2:R30,"A")</f>
        <v>0</v>
      </c>
      <c r="D72" s="443" t="str">
        <f>IFERROR(__xludf.DUMMYFUNCTION("TRANSPOSE(FILTER('IGCSE 2B'!B:B, 'IGCSE 2B'!R:R=""A""))"),"#N/A")</f>
        <v>#N/A</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2B'!R2:R30,"A~*")</f>
        <v>0</v>
      </c>
      <c r="D73" s="443" t="str">
        <f>IFERROR(__xludf.DUMMYFUNCTION("TRANSPOSE(FILTER('IGCSE 2B'!B:B, 'IGCSE 2B'!R:R=""A*""))"),"#N/A")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2B'!L2:L30,"U")</f>
        <v>3</v>
      </c>
      <c r="D75" s="442" t="str">
        <f>IFERROR(__xludf.DUMMYFUNCTION("TRANSPOSE(FILTER('IGCSE 2B'!B:B, 'IGCSE 2B'!L:L=""U""))"),"Musama Chamunda")</f>
        <v>Musama Chamunda</v>
      </c>
      <c r="E75" s="209" t="str">
        <f>IFERROR(__xludf.DUMMYFUNCTION("""COMPUTED_VALUE"""),"Roland Tom Zebron Temba")</f>
        <v>Roland Tom Zebron Temba</v>
      </c>
      <c r="F75" s="209"/>
      <c r="G75" s="209"/>
      <c r="H75" s="209"/>
      <c r="I75" s="209"/>
      <c r="J75" s="209"/>
      <c r="K75" s="209"/>
      <c r="L75" s="209"/>
      <c r="M75" s="209"/>
      <c r="N75" s="209"/>
      <c r="O75" s="209"/>
      <c r="P75" s="209"/>
      <c r="Q75" s="209"/>
      <c r="R75" s="209"/>
      <c r="S75" s="209"/>
      <c r="T75" s="209"/>
      <c r="U75" s="209"/>
      <c r="V75" s="209"/>
      <c r="W75" s="209"/>
      <c r="X75" s="209"/>
      <c r="Y75" s="209"/>
      <c r="Z75" s="209"/>
      <c r="AA75" s="209"/>
    </row>
    <row r="76">
      <c r="A76" s="441"/>
      <c r="B76" s="440" t="s">
        <v>142</v>
      </c>
      <c r="C76" s="440">
        <f>COUNTIF('IGCSE 2B'!L2:L30,"G")</f>
        <v>1</v>
      </c>
      <c r="D76" s="443" t="str">
        <f>IFERROR(__xludf.DUMMYFUNCTION("TRANSPOSE(FILTER('IGCSE 2B'!B:B, 'IGCSE 2B'!L:L=""G""))"),"Ackim Mwale")</f>
        <v>Ackim Mwale</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2B'!L2:L30,"F")</f>
        <v>2</v>
      </c>
      <c r="D77" s="443" t="str">
        <f>IFERROR(__xludf.DUMMYFUNCTION("TRANSPOSE(FILTER('IGCSE 2B'!B:B, 'IGCSE 2B'!L:L=""F""))"),"Pious Ngoma")</f>
        <v>Pious Ngoma</v>
      </c>
      <c r="E77" s="209" t="str">
        <f>IFERROR(__xludf.DUMMYFUNCTION("""COMPUTED_VALUE"""),"Nandipa Moyo")</f>
        <v>Nandipa Moyo</v>
      </c>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2B'!L2:L30,"E")</f>
        <v>2</v>
      </c>
      <c r="D78" s="443" t="str">
        <f>IFERROR(__xludf.DUMMYFUNCTION("TRANSPOSE(FILTER('IGCSE 2B'!B:B, 'IGCSE 2B'!L:L=""E""))"),"Harry Kanobana")</f>
        <v>Harry Kanobana</v>
      </c>
      <c r="E78" s="209" t="str">
        <f>IFERROR(__xludf.DUMMYFUNCTION("""COMPUTED_VALUE"""),"Nerbet Katambo")</f>
        <v>Nerbet Katambo</v>
      </c>
      <c r="F78" s="209"/>
      <c r="G78" s="209"/>
      <c r="H78" s="209"/>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2B'!L2:L30,"D")</f>
        <v>0</v>
      </c>
      <c r="D79" s="443" t="str">
        <f>IFERROR(__xludf.DUMMYFUNCTION("TRANSPOSE(FILTER('IGCSE 2B'!B:B, 'IGCSE 2B'!L:L=""D""))"),"#N/A")</f>
        <v>#N/A</v>
      </c>
      <c r="E79" s="209"/>
      <c r="F79" s="209"/>
      <c r="G79" s="209"/>
      <c r="H79" s="209"/>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2B'!L2:L30,"C")</f>
        <v>2</v>
      </c>
      <c r="D80" s="443" t="str">
        <f>IFERROR(__xludf.DUMMYFUNCTION("TRANSPOSE(FILTER('IGCSE 2B'!B:B, 'IGCSE 2B'!L:L=""C""))"),"Kapungwe Kabali")</f>
        <v>Kapungwe Kabali</v>
      </c>
      <c r="E80" s="209" t="str">
        <f>IFERROR(__xludf.DUMMYFUNCTION("""COMPUTED_VALUE"""),"Nour Rassalan")</f>
        <v>Nour Rassalan</v>
      </c>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2B'!L2:L30,"B")</f>
        <v>0</v>
      </c>
      <c r="D81" s="443" t="str">
        <f>IFERROR(__xludf.DUMMYFUNCTION("TRANSPOSE(FILTER('IGCSE 2B'!B:B, 'IGCSE 2B'!L:L=""B""))"),"#N/A")</f>
        <v>#N/A</v>
      </c>
      <c r="E81" s="209"/>
      <c r="F81" s="209"/>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2B'!L2:L30,"A")</f>
        <v>0</v>
      </c>
      <c r="D82" s="443" t="str">
        <f>IFERROR(__xludf.DUMMYFUNCTION("TRANSPOSE(FILTER('IGCSE 2B'!B:B, 'IGCSE 2B'!L:L=""A""))"),"#N/A")</f>
        <v>#N/A</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2B'!L2:L30,"A~*")</f>
        <v>0</v>
      </c>
      <c r="D83" s="443" t="str">
        <f>IFERROR(__xludf.DUMMYFUNCTION("TRANSPOSE(FILTER('IGCSE 2B'!B:B, 'IGCSE 2B'!L:L=""A*""))"),"#N/A")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2B'!V2:V30,"U")</f>
        <v>6</v>
      </c>
      <c r="D85" s="442" t="str">
        <f>IFERROR(__xludf.DUMMYFUNCTION("TRANSPOSE(FILTER('IGCSE 2B'!B:B, 'IGCSE 2B'!V:V=""U""))"),"Kapungwe Kabali")</f>
        <v>Kapungwe Kabali</v>
      </c>
      <c r="E85" s="209" t="str">
        <f>IFERROR(__xludf.DUMMYFUNCTION("""COMPUTED_VALUE"""),"Harry Kanobana")</f>
        <v>Harry Kanobana</v>
      </c>
      <c r="F85" s="209" t="str">
        <f>IFERROR(__xludf.DUMMYFUNCTION("""COMPUTED_VALUE"""),"Ackim Mwale")</f>
        <v>Ackim Mwale</v>
      </c>
      <c r="G85" s="209" t="str">
        <f>IFERROR(__xludf.DUMMYFUNCTION("""COMPUTED_VALUE"""),"Pious Ngoma")</f>
        <v>Pious Ngoma</v>
      </c>
      <c r="H85" s="209" t="str">
        <f>IFERROR(__xludf.DUMMYFUNCTION("""COMPUTED_VALUE"""),"Roland Tom Zebron Temba")</f>
        <v>Roland Tom Zebron Temba</v>
      </c>
      <c r="I85" s="209"/>
      <c r="J85" s="209"/>
      <c r="K85" s="209"/>
      <c r="L85" s="209"/>
      <c r="M85" s="209"/>
      <c r="N85" s="209"/>
      <c r="O85" s="209"/>
      <c r="P85" s="209"/>
      <c r="Q85" s="209"/>
      <c r="R85" s="209"/>
      <c r="S85" s="209"/>
      <c r="T85" s="209"/>
      <c r="U85" s="209"/>
      <c r="V85" s="209"/>
      <c r="W85" s="209"/>
      <c r="X85" s="209"/>
      <c r="Y85" s="209"/>
      <c r="Z85" s="209"/>
      <c r="AA85" s="209"/>
    </row>
    <row r="86">
      <c r="A86" s="441"/>
      <c r="B86" s="440" t="s">
        <v>142</v>
      </c>
      <c r="C86" s="440">
        <f>COUNTIF('IGCSE 2B'!V2:V30,"G")</f>
        <v>0</v>
      </c>
      <c r="D86" s="443" t="str">
        <f>IFERROR(__xludf.DUMMYFUNCTION("TRANSPOSE(FILTER('IGCSE 2B'!B:B, 'IGCSE 2B'!V:V=""G""))"),"#N/A")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2B'!V2:V30,"F")</f>
        <v>0</v>
      </c>
      <c r="D87" s="443" t="str">
        <f>IFERROR(__xludf.DUMMYFUNCTION("TRANSPOSE(FILTER('IGCSE 2B'!B:B, 'IGCSE 2B'!V:V=""F""))"),"#N/A")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2B'!V2:V30,"E")</f>
        <v>0</v>
      </c>
      <c r="D88" s="443" t="str">
        <f>IFERROR(__xludf.DUMMYFUNCTION("TRANSPOSE(FILTER('IGCSE 2B'!B:B, 'IGCSE 2B'!V:V=""E""))"),"#N/A")</f>
        <v>#N/A</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2B'!V2:V30,"D")</f>
        <v>2</v>
      </c>
      <c r="D89" s="443" t="str">
        <f>IFERROR(__xludf.DUMMYFUNCTION("TRANSPOSE(FILTER('IGCSE 2B'!B:B, 'IGCSE 2B'!V:V=""D""))"),"Musama Chamunda")</f>
        <v>Musama Chamunda</v>
      </c>
      <c r="E89" s="209" t="str">
        <f>IFERROR(__xludf.DUMMYFUNCTION("""COMPUTED_VALUE"""),"Nerbet Katambo")</f>
        <v>Nerbet Katambo</v>
      </c>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2B'!V2:V30,"C")</f>
        <v>2</v>
      </c>
      <c r="D90" s="443" t="str">
        <f>IFERROR(__xludf.DUMMYFUNCTION("TRANSPOSE(FILTER('IGCSE 2B'!B:B, 'IGCSE 2B'!V:V=""C""))"),"Nandipa Moyo")</f>
        <v>Nandipa Moyo</v>
      </c>
      <c r="E90" s="209" t="str">
        <f>IFERROR(__xludf.DUMMYFUNCTION("""COMPUTED_VALUE"""),"Nour Rassalan")</f>
        <v>Nour Rassalan</v>
      </c>
      <c r="F90" s="209"/>
      <c r="G90" s="209"/>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2B'!V2:V30,"B")</f>
        <v>0</v>
      </c>
      <c r="D91" s="443" t="str">
        <f>IFERROR(__xludf.DUMMYFUNCTION("TRANSPOSE(FILTER('IGCSE 2B'!B:B, 'IGCSE 2B'!V:V=""B""))"),"#N/A")</f>
        <v>#N/A</v>
      </c>
      <c r="E91" s="209"/>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2B'!V2:V30,"A")</f>
        <v>0</v>
      </c>
      <c r="D92" s="443" t="str">
        <f>IFERROR(__xludf.DUMMYFUNCTION("TRANSPOSE(FILTER('IGCSE 2B'!B:B, 'IGCSE 2B'!V:V=""A""))"),"#N/A")</f>
        <v>#N/A</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2B'!V2:V30,"A~*")</f>
        <v>0</v>
      </c>
      <c r="D93" s="443" t="str">
        <f>IFERROR(__xludf.DUMMYFUNCTION("TRANSPOSE(FILTER('IGCSE 2B'!B:B, 'IGCSE 2B'!V:V=""A*""))"),"#N/A")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2B'!P2:P30,"U")</f>
        <v>10</v>
      </c>
      <c r="D95" s="442" t="str">
        <f>IFERROR(__xludf.DUMMYFUNCTION("TRANSPOSE(FILTER('IGCSE 2B'!B:B, 'IGCSE 2B'!P:P=""U""))"),"Musama Chamunda")</f>
        <v>Musama Chamunda</v>
      </c>
      <c r="E95" s="209" t="str">
        <f>IFERROR(__xludf.DUMMYFUNCTION("""COMPUTED_VALUE"""),"Kapungwe Kabali")</f>
        <v>Kapungwe Kabali</v>
      </c>
      <c r="F95" s="209" t="str">
        <f>IFERROR(__xludf.DUMMYFUNCTION("""COMPUTED_VALUE"""),"Harry Kanobana")</f>
        <v>Harry Kanobana</v>
      </c>
      <c r="G95" s="209" t="str">
        <f>IFERROR(__xludf.DUMMYFUNCTION("""COMPUTED_VALUE"""),"Ackim Mwale")</f>
        <v>Ackim Mwale</v>
      </c>
      <c r="H95" s="209" t="str">
        <f>IFERROR(__xludf.DUMMYFUNCTION("""COMPUTED_VALUE"""),"Pious Ngoma")</f>
        <v>Pious Ngoma</v>
      </c>
      <c r="I95" s="209" t="str">
        <f>IFERROR(__xludf.DUMMYFUNCTION("""COMPUTED_VALUE"""),"Nerbet Katambo")</f>
        <v>Nerbet Katambo</v>
      </c>
      <c r="J95" s="209" t="str">
        <f>IFERROR(__xludf.DUMMYFUNCTION("""COMPUTED_VALUE"""),"Roland Tom Zebron Temba")</f>
        <v>Roland Tom Zebron Temba</v>
      </c>
      <c r="K95" s="209" t="str">
        <f>IFERROR(__xludf.DUMMYFUNCTION("""COMPUTED_VALUE"""),"Nandipa Moyo")</f>
        <v>Nandipa Moyo</v>
      </c>
      <c r="L95" s="209" t="str">
        <f>IFERROR(__xludf.DUMMYFUNCTION("""COMPUTED_VALUE"""),"Nour Rassalan")</f>
        <v>Nour Rassalan</v>
      </c>
      <c r="M95" s="209"/>
      <c r="N95" s="209"/>
      <c r="O95" s="209"/>
      <c r="P95" s="209"/>
      <c r="Q95" s="209"/>
      <c r="R95" s="209"/>
      <c r="S95" s="209"/>
      <c r="T95" s="209"/>
      <c r="U95" s="209"/>
      <c r="V95" s="209"/>
      <c r="W95" s="209"/>
      <c r="X95" s="209"/>
      <c r="Y95" s="209"/>
      <c r="Z95" s="209"/>
      <c r="AA95" s="209"/>
    </row>
    <row r="96">
      <c r="A96" s="441"/>
      <c r="B96" s="440" t="s">
        <v>142</v>
      </c>
      <c r="C96" s="440">
        <f>COUNTIF('IGCSE 2B'!P2:P30,"G")</f>
        <v>0</v>
      </c>
      <c r="D96" s="443" t="str">
        <f>IFERROR(__xludf.DUMMYFUNCTION("TRANSPOSE(FILTER('IGCSE 2B'!B:B, 'IGCSE 2B'!P:P=""G""))"),"#N/A")</f>
        <v>#N/A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2B'!P2:P30,"F")</f>
        <v>0</v>
      </c>
      <c r="D97" s="443" t="str">
        <f>IFERROR(__xludf.DUMMYFUNCTION("TRANSPOSE(FILTER('IGCSE 2B'!B:B, 'IGCSE 2B'!P:P=""F""))"),"#N/A")</f>
        <v>#N/A</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2B'!P2:P30,"E")</f>
        <v>0</v>
      </c>
      <c r="D98" s="443" t="str">
        <f>IFERROR(__xludf.DUMMYFUNCTION("TRANSPOSE(FILTER('IGCSE 2B'!B:B, 'IGCSE 2B'!P:P=""E""))"),"#N/A")</f>
        <v>#N/A</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2B'!P2:P30,"D")</f>
        <v>0</v>
      </c>
      <c r="D99" s="443" t="str">
        <f>IFERROR(__xludf.DUMMYFUNCTION("TRANSPOSE(FILTER('IGCSE 2B'!B:B, 'IGCSE 2B'!P:P=""D""))"),"#N/A")</f>
        <v>#N/A</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2B'!P2:P30,"C")</f>
        <v>0</v>
      </c>
      <c r="D100" s="443" t="str">
        <f>IFERROR(__xludf.DUMMYFUNCTION("TRANSPOSE(FILTER('IGCSE 2B'!B:B, 'IGCSE 2B'!P:P=""C""))"),"#N/A")</f>
        <v>#N/A</v>
      </c>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2B'!P2:P30,"B")</f>
        <v>0</v>
      </c>
      <c r="D101" s="443" t="str">
        <f>IFERROR(__xludf.DUMMYFUNCTION("TRANSPOSE(FILTER('IGCSE 2B'!B:B, 'IGCSE 2B'!P:P=""B""))"),"#N/A")</f>
        <v>#N/A</v>
      </c>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2B'!P2:P30,"A")</f>
        <v>0</v>
      </c>
      <c r="D102" s="443" t="str">
        <f>IFERROR(__xludf.DUMMYFUNCTION("TRANSPOSE(FILTER('IGCSE 2B'!B:B, 'IGCSE 2B'!P:P=""A""))"),"#N/A")</f>
        <v>#N/A</v>
      </c>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2B'!P2:P30,"A~*")</f>
        <v>0</v>
      </c>
      <c r="D103" s="443" t="str">
        <f>IFERROR(__xludf.DUMMYFUNCTION("TRANSPOSE(FILTER('IGCSE 2B'!B:B, 'IGCSE 2B'!P:P=""A*""))"),"#N/A")</f>
        <v>#N/A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printOptions gridLines="1" horizontalCentered="1"/>
  <pageMargins bottom="0.75" footer="0.0" header="0.0" left="0.7" right="0.7" top="0.75"/>
  <pageSetup fitToHeight="0" cellComments="atEnd" orientation="landscape" pageOrder="overThenDown"/>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0"/>
    <col customWidth="1" min="3" max="3" width="16.75"/>
    <col customWidth="1" min="4" max="4" width="21.75"/>
    <col customWidth="1" min="5" max="5" width="16.13"/>
    <col customWidth="1" min="6" max="6" width="18.75"/>
    <col customWidth="1" min="7" max="7" width="13.25"/>
    <col customWidth="1" min="10" max="10" width="14.5"/>
  </cols>
  <sheetData>
    <row r="1">
      <c r="A1" s="439"/>
      <c r="B1" s="439"/>
      <c r="C1" s="439"/>
    </row>
    <row r="2">
      <c r="A2" s="439"/>
      <c r="B2" s="30" t="s">
        <v>54</v>
      </c>
    </row>
    <row r="3" ht="22.5" customHeight="1">
      <c r="A3" s="440" t="s">
        <v>621</v>
      </c>
      <c r="B3" s="440" t="s">
        <v>83</v>
      </c>
      <c r="C3" s="440" t="s">
        <v>677</v>
      </c>
      <c r="D3" s="209"/>
      <c r="E3" s="209"/>
      <c r="F3" s="209"/>
      <c r="G3" s="209"/>
      <c r="H3" s="209"/>
      <c r="I3" s="209"/>
      <c r="J3" s="209"/>
      <c r="K3" s="209"/>
      <c r="L3" s="209"/>
      <c r="M3" s="209"/>
      <c r="N3" s="209"/>
      <c r="O3" s="209"/>
      <c r="P3" s="209"/>
      <c r="Q3" s="209"/>
      <c r="R3" s="209"/>
      <c r="S3" s="209"/>
      <c r="T3" s="209"/>
      <c r="U3" s="209"/>
      <c r="V3" s="209"/>
      <c r="W3" s="209"/>
      <c r="X3" s="209"/>
      <c r="Y3" s="209"/>
      <c r="Z3" s="209"/>
      <c r="AA3" s="209"/>
    </row>
    <row r="4" ht="20.25" customHeight="1">
      <c r="A4" s="440" t="s">
        <v>393</v>
      </c>
      <c r="B4" s="440" t="s">
        <v>140</v>
      </c>
      <c r="C4" s="440">
        <f>COUNTIF('IGCSE 2C'!D2:D22,"U")</f>
        <v>1</v>
      </c>
      <c r="D4" s="209" t="str">
        <f>IFERROR(__xludf.DUMMYFUNCTION("TRANSPOSE(FILTER('IGCSE 2C'!B:B, 'IGCSE 2C'!D:D=""U""))"),"")</f>
        <v/>
      </c>
      <c r="E4" s="209"/>
      <c r="F4" s="209"/>
      <c r="G4" s="209"/>
      <c r="H4" s="209"/>
      <c r="I4" s="209"/>
      <c r="J4" s="209"/>
      <c r="K4" s="209"/>
      <c r="L4" s="209"/>
      <c r="M4" s="209"/>
      <c r="N4" s="209"/>
      <c r="O4" s="209"/>
      <c r="P4" s="209"/>
      <c r="Q4" s="209"/>
      <c r="R4" s="209"/>
      <c r="S4" s="209"/>
      <c r="T4" s="209"/>
      <c r="U4" s="209"/>
      <c r="V4" s="209"/>
      <c r="W4" s="209"/>
      <c r="X4" s="209"/>
      <c r="Y4" s="209"/>
      <c r="Z4" s="209"/>
      <c r="AA4" s="209"/>
    </row>
    <row r="5" ht="22.5" customHeight="1">
      <c r="A5" s="441"/>
      <c r="B5" s="440" t="s">
        <v>142</v>
      </c>
      <c r="C5" s="440">
        <f>COUNTIF('IGCSE 2C'!D2:D22,"G")</f>
        <v>1</v>
      </c>
      <c r="D5" s="209" t="str">
        <f>IFERROR(__xludf.DUMMYFUNCTION("TRANSPOSE(FILTER('IGCSE 2C'!B:B, 'IGCSE 2C'!D:D=""G""))"),"Anoushka Kutenha")</f>
        <v>Anoushka Kutenha</v>
      </c>
      <c r="E5" s="209"/>
      <c r="F5" s="209"/>
      <c r="G5" s="209"/>
      <c r="H5" s="209"/>
      <c r="I5" s="209"/>
      <c r="J5" s="209"/>
      <c r="K5" s="209"/>
      <c r="L5" s="209"/>
      <c r="M5" s="209"/>
      <c r="N5" s="209"/>
      <c r="O5" s="209"/>
      <c r="P5" s="209"/>
      <c r="Q5" s="209"/>
      <c r="R5" s="209"/>
      <c r="S5" s="209"/>
      <c r="T5" s="209"/>
      <c r="U5" s="209"/>
      <c r="V5" s="209"/>
      <c r="W5" s="209"/>
      <c r="X5" s="209"/>
      <c r="Y5" s="209"/>
      <c r="Z5" s="209"/>
      <c r="AA5" s="209"/>
    </row>
    <row r="6" ht="22.5" customHeight="1">
      <c r="A6" s="441"/>
      <c r="B6" s="440" t="s">
        <v>144</v>
      </c>
      <c r="C6" s="440">
        <f>COUNTIF('IGCSE 2C'!D2:D22,"F")</f>
        <v>2</v>
      </c>
      <c r="D6" s="209" t="str">
        <f>IFERROR(__xludf.DUMMYFUNCTION("TRANSPOSE(FILTER('IGCSE 2C'!B:B, 'IGCSE 2C'!D:D=""F""))"),"Ethan Mwansa")</f>
        <v>Ethan Mwansa</v>
      </c>
      <c r="E6" s="209" t="str">
        <f>IFERROR(__xludf.DUMMYFUNCTION("""COMPUTED_VALUE"""),"Houssien Seblini")</f>
        <v>Houssien Seblini</v>
      </c>
      <c r="F6" s="209"/>
      <c r="G6" s="209"/>
      <c r="H6" s="209"/>
      <c r="I6" s="209"/>
      <c r="J6" s="209"/>
      <c r="K6" s="209"/>
      <c r="L6" s="209"/>
      <c r="M6" s="209"/>
      <c r="N6" s="209"/>
      <c r="O6" s="209"/>
      <c r="P6" s="209"/>
      <c r="Q6" s="209"/>
      <c r="R6" s="209"/>
      <c r="S6" s="209"/>
      <c r="T6" s="209"/>
      <c r="U6" s="209"/>
      <c r="V6" s="209"/>
      <c r="W6" s="209"/>
      <c r="X6" s="209"/>
      <c r="Y6" s="209"/>
      <c r="Z6" s="209"/>
      <c r="AA6" s="209"/>
    </row>
    <row r="7" ht="21.75" customHeight="1">
      <c r="A7" s="441"/>
      <c r="B7" s="440" t="s">
        <v>146</v>
      </c>
      <c r="C7" s="440">
        <f>COUNTIF('IGCSE 2C'!D2:D22,"E")</f>
        <v>2</v>
      </c>
      <c r="D7" s="209" t="str">
        <f>IFERROR(__xludf.DUMMYFUNCTION("TRANSPOSE(FILTER('IGCSE 2C'!B:B, 'IGCSE 2C'!D:D=""E""))"),"Ibrahim Aadil")</f>
        <v>Ibrahim Aadil</v>
      </c>
      <c r="E7" s="209" t="str">
        <f>IFERROR(__xludf.DUMMYFUNCTION("""COMPUTED_VALUE"""),"Denise Mwape")</f>
        <v>Denise Mwape</v>
      </c>
      <c r="F7" s="209"/>
      <c r="G7" s="209"/>
      <c r="H7" s="209"/>
      <c r="I7" s="209"/>
      <c r="J7" s="209"/>
      <c r="K7" s="209"/>
      <c r="L7" s="209"/>
      <c r="M7" s="209"/>
      <c r="N7" s="209"/>
      <c r="O7" s="209"/>
      <c r="P7" s="209"/>
      <c r="Q7" s="209"/>
      <c r="R7" s="209"/>
      <c r="S7" s="209"/>
      <c r="T7" s="209"/>
      <c r="U7" s="209"/>
      <c r="V7" s="209"/>
      <c r="W7" s="209"/>
      <c r="X7" s="209"/>
      <c r="Y7" s="209"/>
      <c r="Z7" s="209"/>
      <c r="AA7" s="209"/>
    </row>
    <row r="8" ht="23.25" customHeight="1">
      <c r="A8" s="441"/>
      <c r="B8" s="440" t="s">
        <v>93</v>
      </c>
      <c r="C8" s="440">
        <f>COUNTIF('IGCSE 2C'!D2:D22,"D")</f>
        <v>8</v>
      </c>
      <c r="D8" s="209" t="str">
        <f>IFERROR(__xludf.DUMMYFUNCTION("TRANSPOSE(FILTER('IGCSE 2C'!B:B, 'IGCSE 2C'!D:D=""D""))"),"Ahmad Amin")</f>
        <v>Ahmad Amin</v>
      </c>
      <c r="E8" s="209" t="str">
        <f>IFERROR(__xludf.DUMMYFUNCTION("""COMPUTED_VALUE"""),"Tamika Bredt")</f>
        <v>Tamika Bredt</v>
      </c>
      <c r="F8" s="209" t="str">
        <f>IFERROR(__xludf.DUMMYFUNCTION("""COMPUTED_VALUE"""),"Justin Kapilikisha")</f>
        <v>Justin Kapilikisha</v>
      </c>
      <c r="G8" s="209" t="str">
        <f>IFERROR(__xludf.DUMMYFUNCTION("""COMPUTED_VALUE"""),"Tamika Mpho Kumwenda")</f>
        <v>Tamika Mpho Kumwenda</v>
      </c>
      <c r="H8" s="209" t="str">
        <f>IFERROR(__xludf.DUMMYFUNCTION("""COMPUTED_VALUE"""),"Victoria Lanyero")</f>
        <v>Victoria Lanyero</v>
      </c>
      <c r="I8" s="209" t="str">
        <f>IFERROR(__xludf.DUMMYFUNCTION("""COMPUTED_VALUE"""),"Jalal Ossaily")</f>
        <v>Jalal Ossaily</v>
      </c>
      <c r="J8" s="209" t="str">
        <f>IFERROR(__xludf.DUMMYFUNCTION("""COMPUTED_VALUE"""),"Fatima Patel")</f>
        <v>Fatima Patel</v>
      </c>
      <c r="K8" s="209" t="str">
        <f>IFERROR(__xludf.DUMMYFUNCTION("""COMPUTED_VALUE"""),"Choolwe Samboko")</f>
        <v>Choolwe Samboko</v>
      </c>
      <c r="L8" s="209"/>
      <c r="M8" s="209"/>
      <c r="N8" s="209"/>
      <c r="O8" s="209"/>
      <c r="P8" s="209"/>
      <c r="Q8" s="209"/>
      <c r="R8" s="209"/>
      <c r="S8" s="209"/>
      <c r="T8" s="209"/>
      <c r="U8" s="209"/>
      <c r="V8" s="209"/>
      <c r="W8" s="209"/>
      <c r="X8" s="209"/>
      <c r="Y8" s="209"/>
      <c r="Z8" s="209"/>
      <c r="AA8" s="209"/>
    </row>
    <row r="9" ht="20.25" customHeight="1">
      <c r="A9" s="441"/>
      <c r="B9" s="440" t="s">
        <v>90</v>
      </c>
      <c r="C9" s="440">
        <f>COUNTIF('IGCSE 2C'!D2:D22,"C")</f>
        <v>3</v>
      </c>
      <c r="D9" s="209" t="str">
        <f>IFERROR(__xludf.DUMMYFUNCTION("TRANSPOSE(FILTER('IGCSE 2C'!B:B, 'IGCSE 2C'!D:D=""C""))"),"Chibwe Chasaya")</f>
        <v>Chibwe Chasaya</v>
      </c>
      <c r="E9" s="209" t="str">
        <f>IFERROR(__xludf.DUMMYFUNCTION("""COMPUTED_VALUE"""),"Ahmad Hamir")</f>
        <v>Ahmad Hamir</v>
      </c>
      <c r="F9" s="209" t="str">
        <f>IFERROR(__xludf.DUMMYFUNCTION("""COMPUTED_VALUE"""),"Tapiwanashe Luwabelwa")</f>
        <v>Tapiwanashe Luwabelwa</v>
      </c>
      <c r="G9" s="209"/>
      <c r="H9" s="209"/>
      <c r="I9" s="209"/>
      <c r="J9" s="209"/>
      <c r="K9" s="209"/>
      <c r="L9" s="209"/>
      <c r="M9" s="209"/>
      <c r="N9" s="209"/>
      <c r="O9" s="209"/>
      <c r="P9" s="209"/>
      <c r="Q9" s="209"/>
      <c r="R9" s="209"/>
      <c r="S9" s="209"/>
      <c r="T9" s="209"/>
      <c r="U9" s="209"/>
      <c r="V9" s="209"/>
      <c r="W9" s="209"/>
      <c r="X9" s="209"/>
      <c r="Y9" s="209"/>
      <c r="Z9" s="209"/>
      <c r="AA9" s="209"/>
    </row>
    <row r="10" ht="24.0" customHeight="1">
      <c r="A10" s="441"/>
      <c r="B10" s="440" t="s">
        <v>87</v>
      </c>
      <c r="C10" s="440">
        <f>COUNTIF('IGCSE 2C'!D22:DB1000,"B")</f>
        <v>0</v>
      </c>
      <c r="D10" s="209" t="str">
        <f>IFERROR(__xludf.DUMMYFUNCTION("TRANSPOSE(FILTER('IGCSE 2C'!B:B, 'IGCSE 2C'!D:D=""B""))"),"Lukonde Chilufya")</f>
        <v>Lukonde Chilufya</v>
      </c>
      <c r="E10" s="209" t="str">
        <f>IFERROR(__xludf.DUMMYFUNCTION("""COMPUTED_VALUE"""),"Kelly Chungu")</f>
        <v>Kelly Chungu</v>
      </c>
      <c r="F10" s="209"/>
      <c r="G10" s="209"/>
      <c r="H10" s="209"/>
      <c r="I10" s="209"/>
      <c r="J10" s="209"/>
      <c r="K10" s="209"/>
      <c r="L10" s="209"/>
      <c r="M10" s="209"/>
      <c r="N10" s="209"/>
      <c r="O10" s="209"/>
      <c r="P10" s="209"/>
      <c r="Q10" s="209"/>
      <c r="R10" s="209"/>
      <c r="S10" s="209"/>
      <c r="T10" s="209"/>
      <c r="U10" s="209"/>
      <c r="V10" s="209"/>
      <c r="W10" s="209"/>
      <c r="X10" s="209"/>
      <c r="Y10" s="209"/>
      <c r="Z10" s="209"/>
      <c r="AA10" s="209"/>
    </row>
    <row r="11" ht="25.5" customHeight="1">
      <c r="A11" s="441"/>
      <c r="B11" s="440" t="s">
        <v>85</v>
      </c>
      <c r="C11" s="440">
        <f>COUNTIF('IGCSE 2C'!D2:D22,"A")</f>
        <v>1</v>
      </c>
      <c r="D11" s="209" t="str">
        <f>IFERROR(__xludf.DUMMYFUNCTION("TRANSPOSE(FILTER('IGCSE 2C'!B:B, 'IGCSE 2C'!D:D=""A""))"),"Nandeka Mwenda")</f>
        <v>Nandeka Mwenda</v>
      </c>
      <c r="E11" s="209"/>
      <c r="F11" s="209"/>
      <c r="G11" s="209"/>
      <c r="H11" s="209"/>
      <c r="I11" s="209"/>
      <c r="J11" s="209"/>
      <c r="K11" s="209"/>
      <c r="L11" s="209"/>
      <c r="M11" s="209"/>
      <c r="N11" s="209"/>
      <c r="O11" s="209"/>
      <c r="P11" s="209"/>
      <c r="Q11" s="209"/>
      <c r="R11" s="209"/>
      <c r="S11" s="209"/>
      <c r="T11" s="209"/>
      <c r="U11" s="209"/>
      <c r="V11" s="209"/>
      <c r="W11" s="209"/>
      <c r="X11" s="209"/>
      <c r="Y11" s="209"/>
      <c r="Z11" s="209"/>
      <c r="AA11" s="209"/>
    </row>
    <row r="12" ht="21.75" customHeight="1">
      <c r="A12" s="441"/>
      <c r="B12" s="440" t="s">
        <v>152</v>
      </c>
      <c r="C12" s="440">
        <f>COUNTIF('IGCSE 2C'!D2:D22,"A~*")</f>
        <v>0</v>
      </c>
      <c r="D12" s="209" t="str">
        <f>IFERROR(__xludf.DUMMYFUNCTION("TRANSPOSE(FILTER('IGCSE 2C'!B:B, 'IGCSE 2C'!D:D=""A*""))"),"#N/A")</f>
        <v>#N/A</v>
      </c>
      <c r="E12" s="209"/>
      <c r="F12" s="209"/>
      <c r="G12" s="209"/>
      <c r="H12" s="209"/>
      <c r="I12" s="209"/>
      <c r="J12" s="209"/>
      <c r="K12" s="209"/>
      <c r="L12" s="209"/>
      <c r="M12" s="209"/>
      <c r="N12" s="209"/>
      <c r="O12" s="209"/>
      <c r="P12" s="209"/>
      <c r="Q12" s="209"/>
      <c r="R12" s="209"/>
      <c r="S12" s="209"/>
      <c r="T12" s="209"/>
      <c r="U12" s="209"/>
      <c r="V12" s="209"/>
      <c r="W12" s="209"/>
      <c r="X12" s="209"/>
      <c r="Y12" s="209"/>
      <c r="Z12" s="209"/>
      <c r="AA12" s="209"/>
    </row>
    <row r="13" ht="25.5" customHeight="1">
      <c r="A13" s="441"/>
      <c r="B13" s="441"/>
      <c r="C13" s="441"/>
      <c r="D13" s="209"/>
      <c r="E13" s="209"/>
      <c r="F13" s="209"/>
      <c r="G13" s="209"/>
      <c r="H13" s="209"/>
      <c r="I13" s="209"/>
      <c r="J13" s="209"/>
      <c r="K13" s="209"/>
      <c r="L13" s="209"/>
      <c r="M13" s="209"/>
      <c r="N13" s="209"/>
      <c r="O13" s="209"/>
      <c r="P13" s="209"/>
      <c r="Q13" s="209"/>
      <c r="R13" s="209"/>
      <c r="S13" s="209"/>
      <c r="T13" s="209"/>
      <c r="U13" s="209"/>
      <c r="V13" s="209"/>
      <c r="W13" s="209"/>
      <c r="X13" s="209"/>
      <c r="Y13" s="209"/>
      <c r="Z13" s="209"/>
      <c r="AA13" s="209"/>
    </row>
    <row r="14" ht="23.25" customHeight="1">
      <c r="A14" s="440" t="s">
        <v>621</v>
      </c>
      <c r="B14" s="440" t="s">
        <v>83</v>
      </c>
      <c r="C14" s="440"/>
      <c r="D14" s="209"/>
      <c r="E14" s="209"/>
      <c r="F14" s="209"/>
      <c r="G14" s="209"/>
      <c r="H14" s="209"/>
      <c r="I14" s="209"/>
      <c r="J14" s="209"/>
      <c r="K14" s="209"/>
      <c r="L14" s="209"/>
      <c r="M14" s="209"/>
      <c r="N14" s="209"/>
      <c r="O14" s="209"/>
      <c r="P14" s="209"/>
      <c r="Q14" s="209"/>
      <c r="R14" s="209"/>
      <c r="S14" s="209"/>
      <c r="T14" s="209"/>
      <c r="U14" s="209"/>
      <c r="V14" s="209"/>
      <c r="W14" s="209"/>
      <c r="X14" s="209"/>
      <c r="Y14" s="209"/>
      <c r="Z14" s="209"/>
      <c r="AA14" s="209"/>
    </row>
    <row r="15" ht="21.75" customHeight="1">
      <c r="A15" s="440" t="s">
        <v>63</v>
      </c>
      <c r="B15" s="440" t="s">
        <v>140</v>
      </c>
      <c r="C15" s="440">
        <f>COUNTIF('IGCSE 2C'!F2:F22,"U")</f>
        <v>2</v>
      </c>
      <c r="D15" s="209" t="str">
        <f>IFERROR(__xludf.DUMMYFUNCTION("TRANSPOSE(FILTER('IGCSE 2C'!B:B, 'IGCSE 2C'!F:F=""U""))"),"Anoushka Kutenha")</f>
        <v>Anoushka Kutenha</v>
      </c>
      <c r="E15" s="209"/>
      <c r="F15" s="209"/>
      <c r="G15" s="209"/>
      <c r="H15" s="209"/>
      <c r="I15" s="209"/>
      <c r="J15" s="209"/>
      <c r="K15" s="209"/>
      <c r="L15" s="209"/>
      <c r="M15" s="209"/>
      <c r="N15" s="209"/>
      <c r="O15" s="209"/>
      <c r="P15" s="209"/>
      <c r="Q15" s="209"/>
      <c r="R15" s="209"/>
      <c r="S15" s="209"/>
      <c r="T15" s="209"/>
      <c r="U15" s="209"/>
      <c r="V15" s="209"/>
      <c r="W15" s="209"/>
      <c r="X15" s="209"/>
      <c r="Y15" s="209"/>
      <c r="Z15" s="209"/>
      <c r="AA15" s="209"/>
    </row>
    <row r="16">
      <c r="A16" s="441"/>
      <c r="B16" s="440" t="s">
        <v>142</v>
      </c>
      <c r="C16" s="440">
        <f>COUNTIF('IGCSE 2C'!F2:F22,"G")</f>
        <v>1</v>
      </c>
      <c r="D16" s="209" t="str">
        <f>IFERROR(__xludf.DUMMYFUNCTION("TRANSPOSE(FILTER('IGCSE 2C'!B:B, 'IGCSE 2C'!F:F=""G""))"),"Tamika Mpho Kumwenda")</f>
        <v>Tamika Mpho Kumwenda</v>
      </c>
      <c r="E16" s="209"/>
      <c r="F16" s="209"/>
      <c r="G16" s="209"/>
      <c r="H16" s="209"/>
      <c r="I16" s="209"/>
      <c r="J16" s="209"/>
      <c r="K16" s="209"/>
      <c r="L16" s="209"/>
      <c r="M16" s="209"/>
      <c r="N16" s="209"/>
      <c r="O16" s="209"/>
      <c r="P16" s="209"/>
      <c r="Q16" s="209"/>
      <c r="R16" s="209"/>
      <c r="S16" s="209"/>
      <c r="T16" s="209"/>
      <c r="U16" s="209"/>
      <c r="V16" s="209"/>
      <c r="W16" s="209"/>
      <c r="X16" s="209"/>
      <c r="Y16" s="209"/>
      <c r="Z16" s="209"/>
      <c r="AA16" s="209"/>
    </row>
    <row r="17">
      <c r="A17" s="441"/>
      <c r="B17" s="440" t="s">
        <v>144</v>
      </c>
      <c r="C17" s="440">
        <f>COUNTIF('IGCSE 2C'!F2:F22,"F")</f>
        <v>2</v>
      </c>
      <c r="D17" s="209" t="str">
        <f>IFERROR(__xludf.DUMMYFUNCTION("TRANSPOSE(FILTER('IGCSE 2C'!B:B, 'IGCSE 2C'!F:F=""F""))"),"Denise Mwape")</f>
        <v>Denise Mwape</v>
      </c>
      <c r="E17" s="209" t="str">
        <f>IFERROR(__xludf.DUMMYFUNCTION("""COMPUTED_VALUE"""),"Fatima Patel")</f>
        <v>Fatima Patel</v>
      </c>
      <c r="F17" s="209"/>
      <c r="G17" s="209"/>
      <c r="H17" s="209"/>
      <c r="I17" s="209"/>
      <c r="J17" s="209"/>
      <c r="K17" s="209"/>
      <c r="L17" s="209"/>
      <c r="M17" s="209"/>
      <c r="N17" s="209"/>
      <c r="O17" s="209"/>
      <c r="P17" s="209"/>
      <c r="Q17" s="209"/>
      <c r="R17" s="209"/>
      <c r="S17" s="209"/>
      <c r="T17" s="209"/>
      <c r="U17" s="209"/>
      <c r="V17" s="209"/>
      <c r="W17" s="209"/>
      <c r="X17" s="209"/>
      <c r="Y17" s="209"/>
      <c r="Z17" s="209"/>
      <c r="AA17" s="209"/>
    </row>
    <row r="18">
      <c r="A18" s="441"/>
      <c r="B18" s="440" t="s">
        <v>146</v>
      </c>
      <c r="C18" s="440">
        <f>COUNTIF('IGCSE 2C'!F2:F22,"E")</f>
        <v>4</v>
      </c>
      <c r="D18" s="209" t="str">
        <f>IFERROR(__xludf.DUMMYFUNCTION("TRANSPOSE(FILTER('IGCSE 2C'!B:B, 'IGCSE 2C'!F:F=""E""))"),"Tamika Bredt")</f>
        <v>Tamika Bredt</v>
      </c>
      <c r="E18" s="209" t="str">
        <f>IFERROR(__xludf.DUMMYFUNCTION("""COMPUTED_VALUE"""),"Chibwe Chasaya")</f>
        <v>Chibwe Chasaya</v>
      </c>
      <c r="F18" s="209" t="str">
        <f>IFERROR(__xludf.DUMMYFUNCTION("""COMPUTED_VALUE"""),"Justin Kapilikisha")</f>
        <v>Justin Kapilikisha</v>
      </c>
      <c r="G18" s="209" t="str">
        <f>IFERROR(__xludf.DUMMYFUNCTION("""COMPUTED_VALUE"""),"Nandeka Mwenda")</f>
        <v>Nandeka Mwenda</v>
      </c>
      <c r="H18" s="209"/>
      <c r="I18" s="209"/>
      <c r="J18" s="209"/>
      <c r="K18" s="209"/>
      <c r="L18" s="209"/>
      <c r="M18" s="209"/>
      <c r="N18" s="209"/>
      <c r="O18" s="209"/>
      <c r="P18" s="209"/>
      <c r="Q18" s="209"/>
      <c r="R18" s="209"/>
      <c r="S18" s="209"/>
      <c r="T18" s="209"/>
      <c r="U18" s="209"/>
      <c r="V18" s="209"/>
      <c r="W18" s="209"/>
      <c r="X18" s="209"/>
      <c r="Y18" s="209"/>
      <c r="Z18" s="209"/>
      <c r="AA18" s="209"/>
    </row>
    <row r="19">
      <c r="A19" s="441"/>
      <c r="B19" s="440" t="s">
        <v>93</v>
      </c>
      <c r="C19" s="440">
        <f>COUNTIF('IGCSE 2C'!F2:F22,"D")</f>
        <v>4</v>
      </c>
      <c r="D19" s="209" t="str">
        <f>IFERROR(__xludf.DUMMYFUNCTION("TRANSPOSE(FILTER('IGCSE 2C'!B:B, 'IGCSE 2C'!F:F=""D""))"),"Ibrahim Aadil")</f>
        <v>Ibrahim Aadil</v>
      </c>
      <c r="E19" s="209" t="str">
        <f>IFERROR(__xludf.DUMMYFUNCTION("""COMPUTED_VALUE"""),"Tapiwanashe Luwabelwa")</f>
        <v>Tapiwanashe Luwabelwa</v>
      </c>
      <c r="F19" s="209" t="str">
        <f>IFERROR(__xludf.DUMMYFUNCTION("""COMPUTED_VALUE"""),"Ethan Mwansa")</f>
        <v>Ethan Mwansa</v>
      </c>
      <c r="G19" s="209" t="str">
        <f>IFERROR(__xludf.DUMMYFUNCTION("""COMPUTED_VALUE"""),"Choolwe Samboko")</f>
        <v>Choolwe Samboko</v>
      </c>
      <c r="H19" s="209"/>
      <c r="I19" s="209"/>
      <c r="J19" s="209"/>
      <c r="K19" s="209"/>
      <c r="L19" s="209"/>
      <c r="M19" s="209"/>
      <c r="N19" s="209"/>
      <c r="O19" s="209"/>
      <c r="P19" s="209"/>
      <c r="Q19" s="209"/>
      <c r="R19" s="209"/>
      <c r="S19" s="209"/>
      <c r="T19" s="209"/>
      <c r="U19" s="209"/>
      <c r="V19" s="209"/>
      <c r="W19" s="209"/>
      <c r="X19" s="209"/>
      <c r="Y19" s="209"/>
      <c r="Z19" s="209"/>
      <c r="AA19" s="209"/>
    </row>
    <row r="20">
      <c r="A20" s="441"/>
      <c r="B20" s="440" t="s">
        <v>90</v>
      </c>
      <c r="C20" s="440">
        <f>COUNTIF('IGCSE 2C'!F2:F22,"C")</f>
        <v>3</v>
      </c>
      <c r="D20" s="209" t="str">
        <f>IFERROR(__xludf.DUMMYFUNCTION("TRANSPOSE(FILTER('IGCSE 2C'!B:B, 'IGCSE 2C'!F:F=""C""))"),"Ahmad Amin")</f>
        <v>Ahmad Amin</v>
      </c>
      <c r="E20" s="209" t="str">
        <f>IFERROR(__xludf.DUMMYFUNCTION("""COMPUTED_VALUE"""),"Kelly Chungu")</f>
        <v>Kelly Chungu</v>
      </c>
      <c r="F20" s="209" t="str">
        <f>IFERROR(__xludf.DUMMYFUNCTION("""COMPUTED_VALUE"""),"Houssien Seblini")</f>
        <v>Houssien Seblini</v>
      </c>
      <c r="G20" s="209"/>
      <c r="H20" s="209"/>
      <c r="I20" s="209"/>
      <c r="J20" s="209"/>
      <c r="K20" s="209"/>
      <c r="L20" s="209"/>
      <c r="M20" s="209"/>
      <c r="N20" s="209"/>
      <c r="O20" s="209"/>
      <c r="P20" s="209"/>
      <c r="Q20" s="209"/>
      <c r="R20" s="209"/>
      <c r="S20" s="209"/>
      <c r="T20" s="209"/>
      <c r="U20" s="209"/>
      <c r="V20" s="209"/>
      <c r="W20" s="209"/>
      <c r="X20" s="209"/>
      <c r="Y20" s="209"/>
      <c r="Z20" s="209"/>
      <c r="AA20" s="209"/>
    </row>
    <row r="21">
      <c r="A21" s="441"/>
      <c r="B21" s="440" t="s">
        <v>87</v>
      </c>
      <c r="C21" s="440">
        <f>COUNTIF('IGCSE 2C'!F2:F22,"B")</f>
        <v>4</v>
      </c>
      <c r="D21" s="209" t="str">
        <f>IFERROR(__xludf.DUMMYFUNCTION("TRANSPOSE(FILTER('IGCSE 2C'!B:B, 'IGCSE 2C'!F:F=""B""))"),"Lukonde Chilufya")</f>
        <v>Lukonde Chilufya</v>
      </c>
      <c r="E21" s="209" t="str">
        <f>IFERROR(__xludf.DUMMYFUNCTION("""COMPUTED_VALUE"""),"Ahmad Hamir")</f>
        <v>Ahmad Hamir</v>
      </c>
      <c r="F21" s="209" t="str">
        <f>IFERROR(__xludf.DUMMYFUNCTION("""COMPUTED_VALUE"""),"Victoria Lanyero")</f>
        <v>Victoria Lanyero</v>
      </c>
      <c r="G21" s="209" t="str">
        <f>IFERROR(__xludf.DUMMYFUNCTION("""COMPUTED_VALUE"""),"Jalal Ossaily")</f>
        <v>Jalal Ossaily</v>
      </c>
      <c r="H21" s="209"/>
      <c r="I21" s="209"/>
      <c r="J21" s="209"/>
      <c r="K21" s="209"/>
      <c r="L21" s="209"/>
      <c r="M21" s="209"/>
      <c r="N21" s="209"/>
      <c r="O21" s="209"/>
      <c r="P21" s="209"/>
      <c r="Q21" s="209"/>
      <c r="R21" s="209"/>
      <c r="S21" s="209"/>
      <c r="T21" s="209"/>
      <c r="U21" s="209"/>
      <c r="V21" s="209"/>
      <c r="W21" s="209"/>
      <c r="X21" s="209"/>
      <c r="Y21" s="209"/>
      <c r="Z21" s="209"/>
      <c r="AA21" s="209"/>
    </row>
    <row r="22">
      <c r="A22" s="441"/>
      <c r="B22" s="440" t="s">
        <v>85</v>
      </c>
      <c r="C22" s="440">
        <f>COUNTIF('IGCSE 2C'!F2:F22,"A")</f>
        <v>0</v>
      </c>
      <c r="D22" s="209" t="str">
        <f>IFERROR(__xludf.DUMMYFUNCTION("TRANSPOSE(FILTER('IGCSE 2C'!B:B, 'IGCSE 2C'!F:F=""A""))"),"#N/A")</f>
        <v>#N/A</v>
      </c>
      <c r="E22" s="209"/>
      <c r="F22" s="209"/>
      <c r="G22" s="209"/>
      <c r="H22" s="209"/>
      <c r="I22" s="209"/>
      <c r="J22" s="209"/>
      <c r="K22" s="209"/>
      <c r="L22" s="209"/>
      <c r="M22" s="209"/>
      <c r="N22" s="209"/>
      <c r="O22" s="209"/>
      <c r="P22" s="209"/>
      <c r="Q22" s="209"/>
      <c r="R22" s="209"/>
      <c r="S22" s="209"/>
      <c r="T22" s="209"/>
      <c r="U22" s="209"/>
      <c r="V22" s="209"/>
      <c r="W22" s="209"/>
      <c r="X22" s="209"/>
      <c r="Y22" s="209"/>
      <c r="Z22" s="209"/>
      <c r="AA22" s="209"/>
    </row>
    <row r="23">
      <c r="A23" s="441"/>
      <c r="B23" s="440" t="s">
        <v>152</v>
      </c>
      <c r="C23" s="440">
        <f>COUNTIF('IGCSE 2C'!F2:F22,"A~*")</f>
        <v>0</v>
      </c>
      <c r="D23" s="209" t="str">
        <f>IFERROR(__xludf.DUMMYFUNCTION("TRANSPOSE(FILTER('IGCSE 2C'!B:B, 'IGCSE 2C'!F:F=""A*""))"),"#N/A")</f>
        <v>#N/A</v>
      </c>
      <c r="E23" s="209"/>
      <c r="F23" s="209"/>
      <c r="G23" s="209"/>
      <c r="H23" s="209"/>
      <c r="I23" s="209"/>
      <c r="J23" s="209"/>
      <c r="K23" s="209"/>
      <c r="L23" s="209"/>
      <c r="M23" s="209"/>
      <c r="N23" s="209"/>
      <c r="O23" s="209"/>
      <c r="P23" s="209"/>
      <c r="Q23" s="209"/>
      <c r="R23" s="209"/>
      <c r="S23" s="209"/>
      <c r="T23" s="209"/>
      <c r="U23" s="209"/>
      <c r="V23" s="209"/>
      <c r="W23" s="209"/>
      <c r="X23" s="209"/>
      <c r="Y23" s="209"/>
      <c r="Z23" s="209"/>
      <c r="AA23" s="209"/>
    </row>
    <row r="24">
      <c r="A24" s="441"/>
      <c r="B24" s="441"/>
      <c r="C24" s="441"/>
      <c r="D24" s="208" t="s">
        <v>209</v>
      </c>
      <c r="E24" s="209"/>
      <c r="F24" s="209"/>
      <c r="G24" s="209"/>
      <c r="H24" s="209"/>
      <c r="I24" s="209"/>
      <c r="J24" s="209"/>
      <c r="K24" s="209"/>
      <c r="L24" s="209"/>
      <c r="M24" s="209"/>
      <c r="N24" s="209"/>
      <c r="O24" s="209"/>
      <c r="P24" s="209"/>
      <c r="Q24" s="209"/>
      <c r="R24" s="209"/>
      <c r="S24" s="209"/>
      <c r="T24" s="209"/>
      <c r="U24" s="209"/>
      <c r="V24" s="209"/>
      <c r="W24" s="209"/>
      <c r="X24" s="209"/>
      <c r="Y24" s="209"/>
      <c r="Z24" s="209"/>
      <c r="AA24" s="209"/>
    </row>
    <row r="25">
      <c r="A25" s="440" t="s">
        <v>394</v>
      </c>
      <c r="B25" s="440" t="s">
        <v>140</v>
      </c>
      <c r="C25" s="440">
        <f>COUNTIF('IGCSE 2C'!H2:H30,"U")</f>
        <v>9</v>
      </c>
      <c r="D25" s="442" t="str">
        <f>IFERROR(__xludf.DUMMYFUNCTION("TRANSPOSE(FILTER('IGCSE 2C'!B:B, 'IGCSE 2C'!H:H=""U""))"),"Ahmad Amin")</f>
        <v>Ahmad Amin</v>
      </c>
      <c r="E25" s="209" t="str">
        <f>IFERROR(__xludf.DUMMYFUNCTION("""COMPUTED_VALUE"""),"Ahmad Hamir")</f>
        <v>Ahmad Hamir</v>
      </c>
      <c r="F25" s="209" t="str">
        <f>IFERROR(__xludf.DUMMYFUNCTION("""COMPUTED_VALUE"""),"Tapiwanashe Luwabelwa")</f>
        <v>Tapiwanashe Luwabelwa</v>
      </c>
      <c r="G25" s="209" t="str">
        <f>IFERROR(__xludf.DUMMYFUNCTION("""COMPUTED_VALUE"""),"Denise Mwape")</f>
        <v>Denise Mwape</v>
      </c>
      <c r="H25" s="209" t="str">
        <f>IFERROR(__xludf.DUMMYFUNCTION("""COMPUTED_VALUE"""),"Nandeka Mwenda")</f>
        <v>Nandeka Mwenda</v>
      </c>
      <c r="I25" s="209" t="str">
        <f>IFERROR(__xludf.DUMMYFUNCTION("""COMPUTED_VALUE"""),"Jalal Ossaily")</f>
        <v>Jalal Ossaily</v>
      </c>
      <c r="J25" s="209" t="str">
        <f>IFERROR(__xludf.DUMMYFUNCTION("""COMPUTED_VALUE"""),"Fatima Patel")</f>
        <v>Fatima Patel</v>
      </c>
      <c r="K25" s="209" t="str">
        <f>IFERROR(__xludf.DUMMYFUNCTION("""COMPUTED_VALUE"""),"Houssien Seblini")</f>
        <v>Houssien Seblini</v>
      </c>
      <c r="L25" s="209"/>
      <c r="M25" s="209"/>
      <c r="N25" s="209"/>
      <c r="O25" s="209"/>
      <c r="P25" s="209"/>
      <c r="Q25" s="209"/>
      <c r="R25" s="209"/>
      <c r="S25" s="209"/>
      <c r="T25" s="209"/>
      <c r="U25" s="209"/>
      <c r="V25" s="209"/>
      <c r="W25" s="209"/>
      <c r="X25" s="209"/>
      <c r="Y25" s="209"/>
      <c r="Z25" s="209"/>
      <c r="AA25" s="209"/>
    </row>
    <row r="26">
      <c r="A26" s="441"/>
      <c r="B26" s="440" t="s">
        <v>142</v>
      </c>
      <c r="C26" s="440">
        <f>COUNTIF('IGCSE 2C'!H2:H30,"G")</f>
        <v>2</v>
      </c>
      <c r="D26" s="443" t="str">
        <f>IFERROR(__xludf.DUMMYFUNCTION("TRANSPOSE(FILTER('IGCSE 2C'!B:B, 'IGCSE 2C'!H:H=""G""))"),"Anoushka Kutenha")</f>
        <v>Anoushka Kutenha</v>
      </c>
      <c r="E26" s="209" t="str">
        <f>IFERROR(__xludf.DUMMYFUNCTION("""COMPUTED_VALUE"""),"Ethan Mwansa")</f>
        <v>Ethan Mwansa</v>
      </c>
      <c r="F26" s="209"/>
      <c r="G26" s="209"/>
      <c r="H26" s="209"/>
      <c r="I26" s="209"/>
      <c r="J26" s="209"/>
      <c r="K26" s="209"/>
      <c r="L26" s="209"/>
      <c r="M26" s="209"/>
      <c r="N26" s="209"/>
      <c r="O26" s="209"/>
      <c r="P26" s="209"/>
      <c r="Q26" s="209"/>
      <c r="R26" s="209"/>
      <c r="S26" s="209"/>
      <c r="T26" s="209"/>
      <c r="U26" s="209"/>
      <c r="V26" s="209"/>
      <c r="W26" s="209"/>
      <c r="X26" s="209"/>
      <c r="Y26" s="209"/>
      <c r="Z26" s="209"/>
      <c r="AA26" s="209"/>
    </row>
    <row r="27">
      <c r="A27" s="441"/>
      <c r="B27" s="440" t="s">
        <v>144</v>
      </c>
      <c r="C27" s="440">
        <f>COUNTIF('IGCSE 2C'!H2:H30,"F")</f>
        <v>3</v>
      </c>
      <c r="D27" s="443" t="str">
        <f>IFERROR(__xludf.DUMMYFUNCTION("TRANSPOSE(FILTER('IGCSE 2C'!B:B, 'IGCSE 2C'!H:H=""F""))"),"Ibrahim Aadil")</f>
        <v>Ibrahim Aadil</v>
      </c>
      <c r="E27" s="209" t="str">
        <f>IFERROR(__xludf.DUMMYFUNCTION("""COMPUTED_VALUE"""),"Tamika Bredt")</f>
        <v>Tamika Bredt</v>
      </c>
      <c r="F27" s="209" t="str">
        <f>IFERROR(__xludf.DUMMYFUNCTION("""COMPUTED_VALUE"""),"Justin Kapilikisha")</f>
        <v>Justin Kapilikisha</v>
      </c>
      <c r="G27" s="209"/>
      <c r="H27" s="209"/>
      <c r="I27" s="209"/>
      <c r="J27" s="209"/>
      <c r="K27" s="209"/>
      <c r="L27" s="209"/>
      <c r="M27" s="209"/>
      <c r="N27" s="209"/>
      <c r="O27" s="209"/>
      <c r="P27" s="209"/>
      <c r="Q27" s="209"/>
      <c r="R27" s="209"/>
      <c r="S27" s="209"/>
      <c r="T27" s="209"/>
      <c r="U27" s="209"/>
      <c r="V27" s="209"/>
      <c r="W27" s="209"/>
      <c r="X27" s="209"/>
      <c r="Y27" s="209"/>
      <c r="Z27" s="209"/>
      <c r="AA27" s="209"/>
    </row>
    <row r="28">
      <c r="A28" s="441"/>
      <c r="B28" s="440" t="s">
        <v>146</v>
      </c>
      <c r="C28" s="440">
        <f>COUNTIF('IGCSE 2C'!H2:H30,"E")</f>
        <v>1</v>
      </c>
      <c r="D28" s="443" t="str">
        <f>IFERROR(__xludf.DUMMYFUNCTION("TRANSPOSE(FILTER('IGCSE 2C'!B:B, 'IGCSE 2C'!H:H=""E""))"),"Choolwe Samboko")</f>
        <v>Choolwe Samboko</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row>
    <row r="29">
      <c r="A29" s="441"/>
      <c r="B29" s="440" t="s">
        <v>93</v>
      </c>
      <c r="C29" s="440">
        <f>COUNTIF('IGCSE 2C'!H2:H30,"D")</f>
        <v>1</v>
      </c>
      <c r="D29" s="443" t="str">
        <f>IFERROR(__xludf.DUMMYFUNCTION("TRANSPOSE(FILTER('IGCSE 2C'!B:B, 'IGCSE 2C'!H:H=""D""))"),"Tamika Mpho Kumwenda")</f>
        <v>Tamika Mpho Kumwenda</v>
      </c>
      <c r="E29" s="209"/>
      <c r="F29" s="209"/>
      <c r="G29" s="209"/>
      <c r="H29" s="209"/>
      <c r="I29" s="209"/>
      <c r="J29" s="209"/>
      <c r="K29" s="209"/>
      <c r="L29" s="209"/>
      <c r="M29" s="209"/>
      <c r="N29" s="209"/>
      <c r="O29" s="209"/>
      <c r="P29" s="209"/>
      <c r="Q29" s="209"/>
      <c r="R29" s="209"/>
      <c r="S29" s="209"/>
      <c r="T29" s="209"/>
      <c r="U29" s="209"/>
      <c r="V29" s="209"/>
      <c r="W29" s="209"/>
      <c r="X29" s="209"/>
      <c r="Y29" s="209"/>
      <c r="Z29" s="209"/>
      <c r="AA29" s="209"/>
    </row>
    <row r="30">
      <c r="A30" s="441"/>
      <c r="B30" s="440" t="s">
        <v>90</v>
      </c>
      <c r="C30" s="440">
        <f>COUNTIF('IGCSE 2C'!H2:H30,"C")</f>
        <v>1</v>
      </c>
      <c r="D30" s="443" t="str">
        <f>IFERROR(__xludf.DUMMYFUNCTION("TRANSPOSE(FILTER('IGCSE 2C'!B:B, 'IGCSE 2C'!H:H=""C""))"),"Victoria Lanyero")</f>
        <v>Victoria Lanyero</v>
      </c>
      <c r="E30" s="209"/>
      <c r="F30" s="209"/>
      <c r="G30" s="209"/>
      <c r="H30" s="209"/>
      <c r="I30" s="209"/>
      <c r="J30" s="209"/>
      <c r="K30" s="209"/>
      <c r="L30" s="209"/>
      <c r="M30" s="209"/>
      <c r="N30" s="209"/>
      <c r="O30" s="209"/>
      <c r="P30" s="209"/>
      <c r="Q30" s="209"/>
      <c r="R30" s="209"/>
      <c r="S30" s="209"/>
      <c r="T30" s="209"/>
      <c r="U30" s="209"/>
      <c r="V30" s="209"/>
      <c r="W30" s="209"/>
      <c r="X30" s="209"/>
      <c r="Y30" s="209"/>
      <c r="Z30" s="209"/>
      <c r="AA30" s="209"/>
    </row>
    <row r="31">
      <c r="A31" s="441"/>
      <c r="B31" s="440" t="s">
        <v>87</v>
      </c>
      <c r="C31" s="440">
        <f>COUNTIF('IGCSE 2C'!H2:H30,"B")</f>
        <v>1</v>
      </c>
      <c r="D31" s="443" t="str">
        <f>IFERROR(__xludf.DUMMYFUNCTION("TRANSPOSE(FILTER('IGCSE 2C'!B:B, 'IGCSE 2C'!H:H=""B""))"),"Chibwe Chasaya")</f>
        <v>Chibwe Chasaya</v>
      </c>
      <c r="E31" s="209"/>
      <c r="F31" s="209"/>
      <c r="G31" s="209"/>
      <c r="H31" s="209"/>
      <c r="I31" s="209"/>
      <c r="J31" s="209"/>
      <c r="K31" s="209"/>
      <c r="L31" s="209"/>
      <c r="M31" s="209"/>
      <c r="N31" s="209"/>
      <c r="O31" s="209"/>
      <c r="P31" s="209"/>
      <c r="Q31" s="209"/>
      <c r="R31" s="209"/>
      <c r="S31" s="209"/>
      <c r="T31" s="209"/>
      <c r="U31" s="209"/>
      <c r="V31" s="209"/>
      <c r="W31" s="209"/>
      <c r="X31" s="209"/>
      <c r="Y31" s="209"/>
      <c r="Z31" s="209"/>
      <c r="AA31" s="209"/>
    </row>
    <row r="32">
      <c r="A32" s="441"/>
      <c r="B32" s="440" t="s">
        <v>85</v>
      </c>
      <c r="C32" s="440">
        <f>COUNTIF('IGCSE 2C'!H2:H30,"A")</f>
        <v>2</v>
      </c>
      <c r="D32" s="443" t="str">
        <f>IFERROR(__xludf.DUMMYFUNCTION("TRANSPOSE(FILTER('IGCSE 2C'!B:B, 'IGCSE 2C'!H:H=""A""))"),"Lukonde Chilufya")</f>
        <v>Lukonde Chilufya</v>
      </c>
      <c r="E32" s="209" t="str">
        <f>IFERROR(__xludf.DUMMYFUNCTION("""COMPUTED_VALUE"""),"Kelly Chungu")</f>
        <v>Kelly Chungu</v>
      </c>
      <c r="F32" s="209"/>
      <c r="G32" s="209"/>
      <c r="H32" s="209"/>
      <c r="I32" s="209"/>
      <c r="J32" s="209"/>
      <c r="K32" s="209"/>
      <c r="L32" s="209"/>
      <c r="M32" s="209"/>
      <c r="N32" s="209"/>
      <c r="O32" s="209"/>
      <c r="P32" s="209"/>
      <c r="Q32" s="209"/>
      <c r="R32" s="209"/>
      <c r="S32" s="209"/>
      <c r="T32" s="209"/>
      <c r="U32" s="209"/>
      <c r="V32" s="209"/>
      <c r="W32" s="209"/>
      <c r="X32" s="209"/>
      <c r="Y32" s="209"/>
      <c r="Z32" s="209"/>
      <c r="AA32" s="209"/>
    </row>
    <row r="33">
      <c r="A33" s="441"/>
      <c r="B33" s="440" t="s">
        <v>152</v>
      </c>
      <c r="C33" s="440">
        <f>COUNTIF('IGCSE 2C'!H2:H30,"A~*")</f>
        <v>0</v>
      </c>
      <c r="D33" s="443" t="str">
        <f>IFERROR(__xludf.DUMMYFUNCTION("TRANSPOSE(FILTER('IGCSE 2C'!B:B, 'IGCSE 2C'!H:H=""A*""))"),"#N/A")</f>
        <v>#N/A</v>
      </c>
      <c r="E33" s="209"/>
      <c r="F33" s="209"/>
      <c r="G33" s="209"/>
      <c r="H33" s="209"/>
      <c r="I33" s="209"/>
      <c r="J33" s="209"/>
      <c r="K33" s="209"/>
      <c r="L33" s="209"/>
      <c r="M33" s="209"/>
      <c r="N33" s="209"/>
      <c r="O33" s="209"/>
      <c r="P33" s="209"/>
      <c r="Q33" s="209"/>
      <c r="R33" s="209"/>
      <c r="S33" s="209"/>
      <c r="T33" s="209"/>
      <c r="U33" s="209"/>
      <c r="V33" s="209"/>
      <c r="W33" s="209"/>
      <c r="X33" s="209"/>
      <c r="Y33" s="209"/>
      <c r="Z33" s="209"/>
      <c r="AA33" s="209"/>
    </row>
    <row r="34">
      <c r="A34" s="441"/>
      <c r="B34" s="441"/>
      <c r="C34" s="441"/>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row>
    <row r="35">
      <c r="A35" s="440" t="s">
        <v>395</v>
      </c>
      <c r="B35" s="440" t="s">
        <v>140</v>
      </c>
      <c r="C35" s="440">
        <f>COUNTIF('IGCSE 2C'!J2:J30,"U")</f>
        <v>13</v>
      </c>
      <c r="D35" s="442" t="str">
        <f>IFERROR(__xludf.DUMMYFUNCTION("TRANSPOSE(FILTER('IGCSE 2C'!B:B, 'IGCSE 2C'!J:J=""U""))"),"Tamika Bredt")</f>
        <v>Tamika Bredt</v>
      </c>
      <c r="E35" s="209" t="str">
        <f>IFERROR(__xludf.DUMMYFUNCTION("""COMPUTED_VALUE"""),"Chibwe Chasaya")</f>
        <v>Chibwe Chasaya</v>
      </c>
      <c r="F35" s="209" t="str">
        <f>IFERROR(__xludf.DUMMYFUNCTION("""COMPUTED_VALUE"""),"Lukonde Chilufya")</f>
        <v>Lukonde Chilufya</v>
      </c>
      <c r="G35" s="209" t="str">
        <f>IFERROR(__xludf.DUMMYFUNCTION("""COMPUTED_VALUE"""),"Kelly Chungu")</f>
        <v>Kelly Chungu</v>
      </c>
      <c r="H35" s="209" t="str">
        <f>IFERROR(__xludf.DUMMYFUNCTION("""COMPUTED_VALUE"""),"Tamika Mpho Kumwenda")</f>
        <v>Tamika Mpho Kumwenda</v>
      </c>
      <c r="I35" s="209" t="str">
        <f>IFERROR(__xludf.DUMMYFUNCTION("""COMPUTED_VALUE"""),"Anoushka Kutenha")</f>
        <v>Anoushka Kutenha</v>
      </c>
      <c r="J35" s="209" t="str">
        <f>IFERROR(__xludf.DUMMYFUNCTION("""COMPUTED_VALUE"""),"Tapiwanashe Luwabelwa")</f>
        <v>Tapiwanashe Luwabelwa</v>
      </c>
      <c r="K35" s="209" t="str">
        <f>IFERROR(__xludf.DUMMYFUNCTION("""COMPUTED_VALUE"""),"Ethan Mwansa")</f>
        <v>Ethan Mwansa</v>
      </c>
      <c r="L35" s="209" t="str">
        <f>IFERROR(__xludf.DUMMYFUNCTION("""COMPUTED_VALUE"""),"Nandeka Mwenda")</f>
        <v>Nandeka Mwenda</v>
      </c>
      <c r="M35" s="209" t="str">
        <f>IFERROR(__xludf.DUMMYFUNCTION("""COMPUTED_VALUE"""),"Fatima Patel")</f>
        <v>Fatima Patel</v>
      </c>
      <c r="N35" s="209" t="str">
        <f>IFERROR(__xludf.DUMMYFUNCTION("""COMPUTED_VALUE"""),"Choolwe Samboko")</f>
        <v>Choolwe Samboko</v>
      </c>
      <c r="O35" s="209" t="str">
        <f>IFERROR(__xludf.DUMMYFUNCTION("""COMPUTED_VALUE"""),"Houssien Seblini")</f>
        <v>Houssien Seblini</v>
      </c>
      <c r="P35" s="209"/>
      <c r="Q35" s="209"/>
      <c r="R35" s="209"/>
      <c r="S35" s="209"/>
      <c r="T35" s="209"/>
      <c r="U35" s="209"/>
      <c r="V35" s="209"/>
      <c r="W35" s="209"/>
      <c r="X35" s="209"/>
      <c r="Y35" s="209"/>
      <c r="Z35" s="209"/>
      <c r="AA35" s="209"/>
    </row>
    <row r="36">
      <c r="A36" s="441"/>
      <c r="B36" s="440" t="s">
        <v>142</v>
      </c>
      <c r="C36" s="440">
        <f>COUNTIF('IGCSE 2C'!J2:J30,"G")</f>
        <v>0</v>
      </c>
      <c r="D36" s="443" t="str">
        <f>IFERROR(__xludf.DUMMYFUNCTION("TRANSPOSE(FILTER('IGCSE 2C'!B:B, 'IGCSE 2C'!J:J=""G""))"),"#N/A")</f>
        <v>#N/A</v>
      </c>
      <c r="E36" s="209"/>
      <c r="F36" s="209"/>
      <c r="G36" s="209"/>
      <c r="H36" s="209"/>
      <c r="I36" s="209"/>
      <c r="J36" s="209"/>
      <c r="K36" s="209"/>
      <c r="L36" s="209"/>
      <c r="M36" s="209"/>
      <c r="N36" s="209"/>
      <c r="O36" s="209"/>
      <c r="P36" s="209"/>
      <c r="Q36" s="209"/>
      <c r="R36" s="209"/>
      <c r="S36" s="209"/>
      <c r="T36" s="209"/>
      <c r="U36" s="209"/>
      <c r="V36" s="209"/>
      <c r="W36" s="209"/>
      <c r="X36" s="209"/>
      <c r="Y36" s="209"/>
      <c r="Z36" s="209"/>
      <c r="AA36" s="209"/>
    </row>
    <row r="37">
      <c r="A37" s="441"/>
      <c r="B37" s="440" t="s">
        <v>144</v>
      </c>
      <c r="C37" s="440">
        <f>COUNTIF('IGCSE 2C'!J2:J30,"F")</f>
        <v>0</v>
      </c>
      <c r="D37" s="443" t="str">
        <f>IFERROR(__xludf.DUMMYFUNCTION("TRANSPOSE(FILTER('IGCSE 2C'!B:B, 'IGCSE 2C'!J:J=""F""))"),"#N/A")</f>
        <v>#N/A</v>
      </c>
      <c r="E37" s="209"/>
      <c r="F37" s="209"/>
      <c r="G37" s="209"/>
      <c r="H37" s="209"/>
      <c r="I37" s="209"/>
      <c r="J37" s="209"/>
      <c r="K37" s="209"/>
      <c r="L37" s="209"/>
      <c r="M37" s="209"/>
      <c r="N37" s="209"/>
      <c r="O37" s="209"/>
      <c r="P37" s="209"/>
      <c r="Q37" s="209"/>
      <c r="R37" s="209"/>
      <c r="S37" s="209"/>
      <c r="T37" s="209"/>
      <c r="U37" s="209"/>
      <c r="V37" s="209"/>
      <c r="W37" s="209"/>
      <c r="X37" s="209"/>
      <c r="Y37" s="209"/>
      <c r="Z37" s="209"/>
      <c r="AA37" s="209"/>
    </row>
    <row r="38">
      <c r="A38" s="441"/>
      <c r="B38" s="440" t="s">
        <v>146</v>
      </c>
      <c r="C38" s="440">
        <f>COUNTIF('IGCSE 2C'!J2:J30,"E")</f>
        <v>1</v>
      </c>
      <c r="D38" s="443" t="str">
        <f>IFERROR(__xludf.DUMMYFUNCTION("TRANSPOSE(FILTER('IGCSE 2C'!B:B, 'IGCSE 2C'!J:J=""E""))"),"Justin Kapilikisha")</f>
        <v>Justin Kapilikisha</v>
      </c>
      <c r="E38" s="209"/>
      <c r="F38" s="209"/>
      <c r="G38" s="209"/>
      <c r="H38" s="209"/>
      <c r="I38" s="209"/>
      <c r="J38" s="209"/>
      <c r="K38" s="209"/>
      <c r="L38" s="209"/>
      <c r="M38" s="209"/>
      <c r="N38" s="209"/>
      <c r="O38" s="209"/>
      <c r="P38" s="209"/>
      <c r="Q38" s="209"/>
      <c r="R38" s="209"/>
      <c r="S38" s="209"/>
      <c r="T38" s="209"/>
      <c r="U38" s="209"/>
      <c r="V38" s="209"/>
      <c r="W38" s="209"/>
      <c r="X38" s="209"/>
      <c r="Y38" s="209"/>
      <c r="Z38" s="209"/>
      <c r="AA38" s="209"/>
    </row>
    <row r="39">
      <c r="A39" s="441"/>
      <c r="B39" s="440" t="s">
        <v>93</v>
      </c>
      <c r="C39" s="440">
        <f>COUNTIF('IGCSE 2C'!J2:J30,"D")</f>
        <v>4</v>
      </c>
      <c r="D39" s="443" t="str">
        <f>IFERROR(__xludf.DUMMYFUNCTION("TRANSPOSE(FILTER('IGCSE 2C'!B:B, 'IGCSE 2C'!J:J=""D""))"),"Ibrahim Aadil")</f>
        <v>Ibrahim Aadil</v>
      </c>
      <c r="E39" s="209" t="str">
        <f>IFERROR(__xludf.DUMMYFUNCTION("""COMPUTED_VALUE"""),"Ahmad Amin")</f>
        <v>Ahmad Amin</v>
      </c>
      <c r="F39" s="209" t="str">
        <f>IFERROR(__xludf.DUMMYFUNCTION("""COMPUTED_VALUE"""),"Victoria Lanyero")</f>
        <v>Victoria Lanyero</v>
      </c>
      <c r="G39" s="209" t="str">
        <f>IFERROR(__xludf.DUMMYFUNCTION("""COMPUTED_VALUE"""),"Denise Mwape")</f>
        <v>Denise Mwape</v>
      </c>
      <c r="H39" s="209"/>
      <c r="I39" s="209"/>
      <c r="J39" s="209"/>
      <c r="K39" s="209"/>
      <c r="L39" s="209"/>
      <c r="M39" s="209"/>
      <c r="N39" s="209"/>
      <c r="O39" s="209"/>
      <c r="P39" s="209"/>
      <c r="Q39" s="209"/>
      <c r="R39" s="209"/>
      <c r="S39" s="209"/>
      <c r="T39" s="209"/>
      <c r="U39" s="209"/>
      <c r="V39" s="209"/>
      <c r="W39" s="209"/>
      <c r="X39" s="209"/>
      <c r="Y39" s="209"/>
      <c r="Z39" s="209"/>
      <c r="AA39" s="209"/>
    </row>
    <row r="40">
      <c r="A40" s="441"/>
      <c r="B40" s="440" t="s">
        <v>90</v>
      </c>
      <c r="C40" s="440">
        <f>COUNTIF('IGCSE 2C'!J2:J30,"C")</f>
        <v>2</v>
      </c>
      <c r="D40" s="443" t="str">
        <f>IFERROR(__xludf.DUMMYFUNCTION("TRANSPOSE(FILTER('IGCSE 2C'!B:B, 'IGCSE 2C'!J:J=""C""))"),"Ahmad Hamir")</f>
        <v>Ahmad Hamir</v>
      </c>
      <c r="E40" s="209" t="str">
        <f>IFERROR(__xludf.DUMMYFUNCTION("""COMPUTED_VALUE"""),"Jalal Ossaily")</f>
        <v>Jalal Ossaily</v>
      </c>
      <c r="F40" s="209"/>
      <c r="G40" s="209"/>
      <c r="H40" s="209"/>
      <c r="I40" s="209"/>
      <c r="J40" s="209"/>
      <c r="K40" s="209"/>
      <c r="L40" s="209"/>
      <c r="M40" s="209"/>
      <c r="N40" s="209"/>
      <c r="O40" s="209"/>
      <c r="P40" s="209"/>
      <c r="Q40" s="209"/>
      <c r="R40" s="209"/>
      <c r="S40" s="209"/>
      <c r="T40" s="209"/>
      <c r="U40" s="209"/>
      <c r="V40" s="209"/>
      <c r="W40" s="209"/>
      <c r="X40" s="209"/>
      <c r="Y40" s="209"/>
      <c r="Z40" s="209"/>
      <c r="AA40" s="209"/>
    </row>
    <row r="41">
      <c r="A41" s="441"/>
      <c r="B41" s="440" t="s">
        <v>87</v>
      </c>
      <c r="C41" s="440">
        <f>COUNTIF('IGCSE 2C'!J2:J30,"B")</f>
        <v>0</v>
      </c>
      <c r="D41" s="443" t="str">
        <f>IFERROR(__xludf.DUMMYFUNCTION("TRANSPOSE(FILTER('IGCSE 2C'!B:B, 'IGCSE 2C'!J:J=""B""))"),"#N/A")</f>
        <v>#N/A</v>
      </c>
      <c r="E41" s="209"/>
      <c r="F41" s="209"/>
      <c r="G41" s="209"/>
      <c r="H41" s="209"/>
      <c r="I41" s="209"/>
      <c r="J41" s="209"/>
      <c r="K41" s="209"/>
      <c r="L41" s="209"/>
      <c r="M41" s="209"/>
      <c r="N41" s="209"/>
      <c r="O41" s="209"/>
      <c r="P41" s="209"/>
      <c r="Q41" s="209"/>
      <c r="R41" s="209"/>
      <c r="S41" s="209"/>
      <c r="T41" s="209"/>
      <c r="U41" s="209"/>
      <c r="V41" s="209"/>
      <c r="W41" s="209"/>
      <c r="X41" s="209"/>
      <c r="Y41" s="209"/>
      <c r="Z41" s="209"/>
      <c r="AA41" s="209"/>
    </row>
    <row r="42">
      <c r="A42" s="441"/>
      <c r="B42" s="440" t="s">
        <v>85</v>
      </c>
      <c r="C42" s="440">
        <f>COUNTIF('IGCSE 2C'!J2:J30,"A")</f>
        <v>0</v>
      </c>
      <c r="D42" s="443" t="str">
        <f>IFERROR(__xludf.DUMMYFUNCTION("TRANSPOSE(FILTER('IGCSE 2C'!B:B, 'IGCSE 2C'!J:J=""A""))"),"#N/A")</f>
        <v>#N/A</v>
      </c>
      <c r="E42" s="209"/>
      <c r="F42" s="209"/>
      <c r="G42" s="209"/>
      <c r="H42" s="209"/>
      <c r="I42" s="209"/>
      <c r="J42" s="209"/>
      <c r="K42" s="209"/>
      <c r="L42" s="209"/>
      <c r="M42" s="209"/>
      <c r="N42" s="209"/>
      <c r="O42" s="209"/>
      <c r="P42" s="209"/>
      <c r="Q42" s="209"/>
      <c r="R42" s="209"/>
      <c r="S42" s="209"/>
      <c r="T42" s="209"/>
      <c r="U42" s="209"/>
      <c r="V42" s="209"/>
      <c r="W42" s="209"/>
      <c r="X42" s="209"/>
      <c r="Y42" s="209"/>
      <c r="Z42" s="209"/>
      <c r="AA42" s="209"/>
    </row>
    <row r="43">
      <c r="A43" s="441"/>
      <c r="B43" s="440" t="s">
        <v>152</v>
      </c>
      <c r="C43" s="440">
        <f>COUNTIF('IGCSE 2C'!J2:J30,"A~*")</f>
        <v>0</v>
      </c>
      <c r="D43" s="443" t="str">
        <f>IFERROR(__xludf.DUMMYFUNCTION("TRANSPOSE(FILTER('IGCSE 2C'!B:B, 'IGCSE 2C'!J:J=""A*""))"),"#N/A")</f>
        <v>#N/A</v>
      </c>
      <c r="E43" s="209"/>
      <c r="F43" s="209"/>
      <c r="G43" s="209"/>
      <c r="H43" s="209"/>
      <c r="I43" s="209"/>
      <c r="J43" s="209"/>
      <c r="K43" s="209"/>
      <c r="L43" s="209"/>
      <c r="M43" s="209"/>
      <c r="N43" s="209"/>
      <c r="O43" s="209"/>
      <c r="P43" s="209"/>
      <c r="Q43" s="209"/>
      <c r="R43" s="209"/>
      <c r="S43" s="209"/>
      <c r="T43" s="209"/>
      <c r="U43" s="209"/>
      <c r="V43" s="209"/>
      <c r="W43" s="209"/>
      <c r="X43" s="209"/>
      <c r="Y43" s="209"/>
      <c r="Z43" s="209"/>
      <c r="AA43" s="209"/>
    </row>
    <row r="44">
      <c r="A44" s="441"/>
      <c r="B44" s="441"/>
      <c r="C44" s="441"/>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row>
    <row r="45">
      <c r="A45" s="440" t="s">
        <v>399</v>
      </c>
      <c r="B45" s="440" t="s">
        <v>140</v>
      </c>
      <c r="C45" s="440">
        <f>COUNTIF('IGCSE 2C'!T2:T30,"U")</f>
        <v>17</v>
      </c>
      <c r="D45" s="442" t="str">
        <f>IFERROR(__xludf.DUMMYFUNCTION("TRANSPOSE(FILTER('IGCSE 2C'!B:B, 'IGCSE 2C'!T:T=""U""))"),"Ibrahim Aadil")</f>
        <v>Ibrahim Aadil</v>
      </c>
      <c r="E45" s="209" t="str">
        <f>IFERROR(__xludf.DUMMYFUNCTION("""COMPUTED_VALUE"""),"Ahmad Amin")</f>
        <v>Ahmad Amin</v>
      </c>
      <c r="F45" s="209" t="str">
        <f>IFERROR(__xludf.DUMMYFUNCTION("""COMPUTED_VALUE"""),"Tamika Bredt")</f>
        <v>Tamika Bredt</v>
      </c>
      <c r="G45" s="209" t="str">
        <f>IFERROR(__xludf.DUMMYFUNCTION("""COMPUTED_VALUE"""),"Chibwe Chasaya")</f>
        <v>Chibwe Chasaya</v>
      </c>
      <c r="H45" s="209" t="str">
        <f>IFERROR(__xludf.DUMMYFUNCTION("""COMPUTED_VALUE"""),"Kelly Chungu")</f>
        <v>Kelly Chungu</v>
      </c>
      <c r="I45" s="209" t="str">
        <f>IFERROR(__xludf.DUMMYFUNCTION("""COMPUTED_VALUE"""),"Justin Kapilikisha")</f>
        <v>Justin Kapilikisha</v>
      </c>
      <c r="J45" s="209" t="str">
        <f>IFERROR(__xludf.DUMMYFUNCTION("""COMPUTED_VALUE"""),"Tamika Mpho Kumwenda")</f>
        <v>Tamika Mpho Kumwenda</v>
      </c>
      <c r="K45" s="209" t="str">
        <f>IFERROR(__xludf.DUMMYFUNCTION("""COMPUTED_VALUE"""),"Anoushka Kutenha")</f>
        <v>Anoushka Kutenha</v>
      </c>
      <c r="L45" s="209" t="str">
        <f>IFERROR(__xludf.DUMMYFUNCTION("""COMPUTED_VALUE"""),"Victoria Lanyero")</f>
        <v>Victoria Lanyero</v>
      </c>
      <c r="M45" s="209" t="str">
        <f>IFERROR(__xludf.DUMMYFUNCTION("""COMPUTED_VALUE"""),"Ethan Mwansa")</f>
        <v>Ethan Mwansa</v>
      </c>
      <c r="N45" s="209" t="str">
        <f>IFERROR(__xludf.DUMMYFUNCTION("""COMPUTED_VALUE"""),"Denise Mwape")</f>
        <v>Denise Mwape</v>
      </c>
      <c r="O45" s="209" t="str">
        <f>IFERROR(__xludf.DUMMYFUNCTION("""COMPUTED_VALUE"""),"Nandeka Mwenda")</f>
        <v>Nandeka Mwenda</v>
      </c>
      <c r="P45" s="209" t="str">
        <f>IFERROR(__xludf.DUMMYFUNCTION("""COMPUTED_VALUE"""),"Jalal Ossaily")</f>
        <v>Jalal Ossaily</v>
      </c>
      <c r="Q45" s="209" t="str">
        <f>IFERROR(__xludf.DUMMYFUNCTION("""COMPUTED_VALUE"""),"Fatima Patel")</f>
        <v>Fatima Patel</v>
      </c>
      <c r="R45" s="209" t="str">
        <f>IFERROR(__xludf.DUMMYFUNCTION("""COMPUTED_VALUE"""),"Choolwe Samboko")</f>
        <v>Choolwe Samboko</v>
      </c>
      <c r="S45" s="209" t="str">
        <f>IFERROR(__xludf.DUMMYFUNCTION("""COMPUTED_VALUE"""),"Houssien Seblini")</f>
        <v>Houssien Seblini</v>
      </c>
      <c r="T45" s="209"/>
      <c r="U45" s="209"/>
      <c r="V45" s="209"/>
      <c r="W45" s="209"/>
      <c r="X45" s="209"/>
      <c r="Y45" s="209"/>
      <c r="Z45" s="209"/>
      <c r="AA45" s="209"/>
    </row>
    <row r="46">
      <c r="A46" s="441"/>
      <c r="B46" s="440" t="s">
        <v>142</v>
      </c>
      <c r="C46" s="440">
        <f>COUNTIF('IGCSE 2C'!T2:T30,"G")</f>
        <v>0</v>
      </c>
      <c r="D46" s="443" t="str">
        <f>IFERROR(__xludf.DUMMYFUNCTION("TRANSPOSE(FILTER('IGCSE 2C'!B:B, 'IGCSE 2C'!T:T=""G""))"),"#N/A")</f>
        <v>#N/A</v>
      </c>
      <c r="E46" s="209"/>
      <c r="F46" s="209"/>
      <c r="G46" s="209"/>
      <c r="H46" s="209"/>
      <c r="I46" s="209"/>
      <c r="J46" s="209"/>
      <c r="K46" s="209"/>
      <c r="L46" s="209"/>
      <c r="M46" s="209"/>
      <c r="N46" s="209"/>
      <c r="O46" s="209"/>
      <c r="P46" s="209"/>
      <c r="Q46" s="209"/>
      <c r="R46" s="209"/>
      <c r="S46" s="209"/>
      <c r="T46" s="209"/>
      <c r="U46" s="209"/>
      <c r="V46" s="209"/>
      <c r="W46" s="209"/>
      <c r="X46" s="209"/>
      <c r="Y46" s="209"/>
      <c r="Z46" s="209"/>
      <c r="AA46" s="209"/>
    </row>
    <row r="47">
      <c r="A47" s="441"/>
      <c r="B47" s="440" t="s">
        <v>144</v>
      </c>
      <c r="C47" s="440">
        <f>COUNTIF('IGCSE 2C'!T2:T30,"F")</f>
        <v>0</v>
      </c>
      <c r="D47" s="443" t="str">
        <f>IFERROR(__xludf.DUMMYFUNCTION("TRANSPOSE(FILTER('IGCSE 2C'!B:B, 'IGCSE 2C'!T:T=""F""))"),"#N/A")</f>
        <v>#N/A</v>
      </c>
      <c r="E47" s="209"/>
      <c r="F47" s="209"/>
      <c r="G47" s="209"/>
      <c r="H47" s="209"/>
      <c r="I47" s="209"/>
      <c r="J47" s="209"/>
      <c r="K47" s="209"/>
      <c r="L47" s="209"/>
      <c r="M47" s="209"/>
      <c r="N47" s="209"/>
      <c r="O47" s="209"/>
      <c r="P47" s="209"/>
      <c r="Q47" s="209"/>
      <c r="R47" s="209"/>
      <c r="S47" s="209"/>
      <c r="T47" s="209"/>
      <c r="U47" s="209"/>
      <c r="V47" s="209"/>
      <c r="W47" s="209"/>
      <c r="X47" s="209"/>
      <c r="Y47" s="209"/>
      <c r="Z47" s="209"/>
      <c r="AA47" s="209"/>
    </row>
    <row r="48">
      <c r="A48" s="441"/>
      <c r="B48" s="440" t="s">
        <v>146</v>
      </c>
      <c r="C48" s="440">
        <f>COUNTIF('IGCSE 2C'!T2:T30,"E")</f>
        <v>0</v>
      </c>
      <c r="D48" s="443" t="str">
        <f>IFERROR(__xludf.DUMMYFUNCTION("TRANSPOSE(FILTER('IGCSE 2C'!B:B, 'IGCSE 2C'!T:T=""E""))"),"#N/A")</f>
        <v>#N/A</v>
      </c>
      <c r="E48" s="209"/>
      <c r="F48" s="209"/>
      <c r="G48" s="209"/>
      <c r="H48" s="209"/>
      <c r="I48" s="209"/>
      <c r="J48" s="209"/>
      <c r="K48" s="209"/>
      <c r="L48" s="209"/>
      <c r="M48" s="209"/>
      <c r="N48" s="209"/>
      <c r="O48" s="209"/>
      <c r="P48" s="209"/>
      <c r="Q48" s="209"/>
      <c r="R48" s="209"/>
      <c r="S48" s="209"/>
      <c r="T48" s="209"/>
      <c r="U48" s="209"/>
      <c r="V48" s="209"/>
      <c r="W48" s="209"/>
      <c r="X48" s="209"/>
      <c r="Y48" s="209"/>
      <c r="Z48" s="209"/>
      <c r="AA48" s="209"/>
    </row>
    <row r="49">
      <c r="A49" s="441"/>
      <c r="B49" s="440" t="s">
        <v>93</v>
      </c>
      <c r="C49" s="440">
        <f>COUNTIF('IGCSE 2C'!T2:T30,"D")</f>
        <v>2</v>
      </c>
      <c r="D49" s="443" t="str">
        <f>IFERROR(__xludf.DUMMYFUNCTION("TRANSPOSE(FILTER('IGCSE 2C'!B:B, 'IGCSE 2C'!T:T=""D""))"),"Ahmad Hamir")</f>
        <v>Ahmad Hamir</v>
      </c>
      <c r="E49" s="209" t="str">
        <f>IFERROR(__xludf.DUMMYFUNCTION("""COMPUTED_VALUE"""),"Tapiwanashe Luwabelwa")</f>
        <v>Tapiwanashe Luwabelwa</v>
      </c>
      <c r="F49" s="209"/>
      <c r="G49" s="209"/>
      <c r="H49" s="209"/>
      <c r="I49" s="209"/>
      <c r="J49" s="209"/>
      <c r="K49" s="209"/>
      <c r="L49" s="209"/>
      <c r="M49" s="209"/>
      <c r="N49" s="209"/>
      <c r="O49" s="209"/>
      <c r="P49" s="209"/>
      <c r="Q49" s="209"/>
      <c r="R49" s="209"/>
      <c r="S49" s="209"/>
      <c r="T49" s="209"/>
      <c r="U49" s="209"/>
      <c r="V49" s="209"/>
      <c r="W49" s="209"/>
      <c r="X49" s="209"/>
      <c r="Y49" s="209"/>
      <c r="Z49" s="209"/>
      <c r="AA49" s="209"/>
    </row>
    <row r="50">
      <c r="A50" s="441"/>
      <c r="B50" s="440" t="s">
        <v>90</v>
      </c>
      <c r="C50" s="440">
        <f>COUNTIF('IGCSE 2C'!T2:T30,"C")</f>
        <v>0</v>
      </c>
      <c r="D50" s="443" t="str">
        <f>IFERROR(__xludf.DUMMYFUNCTION("TRANSPOSE(FILTER('IGCSE 2C'!B:B, 'IGCSE 2C'!T:T=""C""))"),"#N/A")</f>
        <v>#N/A</v>
      </c>
      <c r="E50" s="209"/>
      <c r="F50" s="209"/>
      <c r="G50" s="209"/>
      <c r="H50" s="209"/>
      <c r="I50" s="209"/>
      <c r="J50" s="209"/>
      <c r="K50" s="209"/>
      <c r="L50" s="209"/>
      <c r="M50" s="209"/>
      <c r="N50" s="209"/>
      <c r="O50" s="209"/>
      <c r="P50" s="209"/>
      <c r="Q50" s="209"/>
      <c r="R50" s="209"/>
      <c r="S50" s="209"/>
      <c r="T50" s="209"/>
      <c r="U50" s="209"/>
      <c r="V50" s="209"/>
      <c r="W50" s="209"/>
      <c r="X50" s="209"/>
      <c r="Y50" s="209"/>
      <c r="Z50" s="209"/>
      <c r="AA50" s="209"/>
    </row>
    <row r="51">
      <c r="A51" s="441"/>
      <c r="B51" s="440" t="s">
        <v>87</v>
      </c>
      <c r="C51" s="440">
        <f>COUNTIF('IGCSE 2C'!T2:T30,"B")</f>
        <v>1</v>
      </c>
      <c r="D51" s="443" t="str">
        <f>IFERROR(__xludf.DUMMYFUNCTION("TRANSPOSE(FILTER('IGCSE 2C'!B:B, 'IGCSE 2C'!T:T=""B""))"),"Lukonde Chilufya")</f>
        <v>Lukonde Chilufya</v>
      </c>
      <c r="E51" s="209"/>
      <c r="F51" s="209"/>
      <c r="G51" s="209"/>
      <c r="H51" s="209"/>
      <c r="I51" s="209"/>
      <c r="J51" s="209"/>
      <c r="K51" s="209"/>
      <c r="L51" s="209"/>
      <c r="M51" s="209"/>
      <c r="N51" s="209"/>
      <c r="O51" s="209"/>
      <c r="P51" s="209"/>
      <c r="Q51" s="209"/>
      <c r="R51" s="209"/>
      <c r="S51" s="209"/>
      <c r="T51" s="209"/>
      <c r="U51" s="209"/>
      <c r="V51" s="209"/>
      <c r="W51" s="209"/>
      <c r="X51" s="209"/>
      <c r="Y51" s="209"/>
      <c r="Z51" s="209"/>
      <c r="AA51" s="209"/>
    </row>
    <row r="52">
      <c r="A52" s="441"/>
      <c r="B52" s="440" t="s">
        <v>85</v>
      </c>
      <c r="C52" s="440">
        <f>COUNTIF('IGCSE 2C'!T2:T30,"A")</f>
        <v>0</v>
      </c>
      <c r="D52" s="443" t="str">
        <f>IFERROR(__xludf.DUMMYFUNCTION("TRANSPOSE(FILTER('IGCSE 2C'!B:B, 'IGCSE 2C'!T:T=""A""))"),"#N/A")</f>
        <v>#N/A</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row>
    <row r="53">
      <c r="A53" s="441"/>
      <c r="B53" s="440" t="s">
        <v>152</v>
      </c>
      <c r="C53" s="440">
        <f>COUNTIF('IGCSE 2C'!T2:T30,"A~*")</f>
        <v>0</v>
      </c>
      <c r="D53" s="443" t="str">
        <f>IFERROR(__xludf.DUMMYFUNCTION("TRANSPOSE(FILTER('IGCSE 2C'!B:B, 'IGCSE 2C'!T:T=""A*""))"),"#N/A")</f>
        <v>#N/A</v>
      </c>
      <c r="E53" s="209"/>
      <c r="F53" s="209"/>
      <c r="G53" s="209"/>
      <c r="H53" s="209"/>
      <c r="I53" s="209"/>
      <c r="J53" s="209"/>
      <c r="K53" s="209"/>
      <c r="L53" s="209"/>
      <c r="M53" s="209"/>
      <c r="N53" s="209"/>
      <c r="O53" s="209"/>
      <c r="P53" s="209"/>
      <c r="Q53" s="209"/>
      <c r="R53" s="209"/>
      <c r="S53" s="209"/>
      <c r="T53" s="209"/>
      <c r="U53" s="209"/>
      <c r="V53" s="209"/>
      <c r="W53" s="209"/>
      <c r="X53" s="209"/>
      <c r="Y53" s="209"/>
      <c r="Z53" s="209"/>
      <c r="AA53" s="209"/>
    </row>
    <row r="54">
      <c r="A54" s="441"/>
      <c r="B54" s="441"/>
      <c r="C54" s="441"/>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row>
    <row r="55">
      <c r="A55" s="440" t="s">
        <v>397</v>
      </c>
      <c r="B55" s="440" t="s">
        <v>140</v>
      </c>
      <c r="C55" s="440">
        <f>COUNTIF('IGCSE 2C'!N2:N30,"U")</f>
        <v>10</v>
      </c>
      <c r="D55" s="442" t="str">
        <f>IFERROR(__xludf.DUMMYFUNCTION("TRANSPOSE(FILTER('IGCSE 2C'!B:B, 'IGCSE 2C'!N:N=""U""))"),"Ibrahim Aadil")</f>
        <v>Ibrahim Aadil</v>
      </c>
      <c r="E55" s="209" t="str">
        <f>IFERROR(__xludf.DUMMYFUNCTION("""COMPUTED_VALUE"""),"Tamika Bredt")</f>
        <v>Tamika Bredt</v>
      </c>
      <c r="F55" s="209" t="str">
        <f>IFERROR(__xludf.DUMMYFUNCTION("""COMPUTED_VALUE"""),"Lukonde Chilufya")</f>
        <v>Lukonde Chilufya</v>
      </c>
      <c r="G55" s="209" t="str">
        <f>IFERROR(__xludf.DUMMYFUNCTION("""COMPUTED_VALUE"""),"Kelly Chungu")</f>
        <v>Kelly Chungu</v>
      </c>
      <c r="H55" s="209" t="str">
        <f>IFERROR(__xludf.DUMMYFUNCTION("""COMPUTED_VALUE"""),"Justin Kapilikisha")</f>
        <v>Justin Kapilikisha</v>
      </c>
      <c r="I55" s="209" t="str">
        <f>IFERROR(__xludf.DUMMYFUNCTION("""COMPUTED_VALUE"""),"Tamika Mpho Kumwenda")</f>
        <v>Tamika Mpho Kumwenda</v>
      </c>
      <c r="J55" s="209" t="str">
        <f>IFERROR(__xludf.DUMMYFUNCTION("""COMPUTED_VALUE"""),"Anoushka Kutenha")</f>
        <v>Anoushka Kutenha</v>
      </c>
      <c r="K55" s="209" t="str">
        <f>IFERROR(__xludf.DUMMYFUNCTION("""COMPUTED_VALUE"""),"Victoria Lanyero")</f>
        <v>Victoria Lanyero</v>
      </c>
      <c r="L55" s="209" t="str">
        <f>IFERROR(__xludf.DUMMYFUNCTION("""COMPUTED_VALUE"""),"Ethan Mwansa")</f>
        <v>Ethan Mwansa</v>
      </c>
      <c r="M55" s="209"/>
      <c r="N55" s="209"/>
      <c r="O55" s="209"/>
      <c r="P55" s="209"/>
      <c r="Q55" s="209"/>
      <c r="R55" s="209"/>
      <c r="S55" s="209"/>
      <c r="T55" s="209"/>
      <c r="U55" s="209"/>
      <c r="V55" s="209"/>
      <c r="W55" s="209"/>
      <c r="X55" s="209"/>
      <c r="Y55" s="209"/>
      <c r="Z55" s="209"/>
      <c r="AA55" s="209"/>
    </row>
    <row r="56">
      <c r="A56" s="441"/>
      <c r="B56" s="440" t="s">
        <v>142</v>
      </c>
      <c r="C56" s="440">
        <f>COUNTIF('IGCSE 2C'!N2:N30,"G")</f>
        <v>0</v>
      </c>
      <c r="D56" s="443" t="str">
        <f>IFERROR(__xludf.DUMMYFUNCTION("TRANSPOSE(FILTER('IGCSE 2C'!B:B, 'IGCSE 2C'!N:N=""G""))"),"#N/A")</f>
        <v>#N/A</v>
      </c>
      <c r="E56" s="209"/>
      <c r="F56" s="209"/>
      <c r="G56" s="209"/>
      <c r="H56" s="209"/>
      <c r="I56" s="209"/>
      <c r="J56" s="209"/>
      <c r="K56" s="209"/>
      <c r="L56" s="209"/>
      <c r="M56" s="209"/>
      <c r="N56" s="209"/>
      <c r="O56" s="209"/>
      <c r="P56" s="209"/>
      <c r="Q56" s="209"/>
      <c r="R56" s="209"/>
      <c r="S56" s="209"/>
      <c r="T56" s="209"/>
      <c r="U56" s="209"/>
      <c r="V56" s="209"/>
      <c r="W56" s="209"/>
      <c r="X56" s="209"/>
      <c r="Y56" s="209"/>
      <c r="Z56" s="209"/>
      <c r="AA56" s="209"/>
    </row>
    <row r="57">
      <c r="A57" s="441"/>
      <c r="B57" s="440" t="s">
        <v>144</v>
      </c>
      <c r="C57" s="440">
        <f>COUNTIF('IGCSE 2C'!N2:N30,"F")</f>
        <v>1</v>
      </c>
      <c r="D57" s="443" t="str">
        <f>IFERROR(__xludf.DUMMYFUNCTION("TRANSPOSE(FILTER('IGCSE 2C'!B:B, 'IGCSE 2C'!N:N=""F""))"),"Ahmad Hamir")</f>
        <v>Ahmad Hamir</v>
      </c>
      <c r="E57" s="209"/>
      <c r="F57" s="209"/>
      <c r="G57" s="209"/>
      <c r="H57" s="209"/>
      <c r="I57" s="209"/>
      <c r="J57" s="209"/>
      <c r="K57" s="209"/>
      <c r="L57" s="209"/>
      <c r="M57" s="209"/>
      <c r="N57" s="209"/>
      <c r="O57" s="209"/>
      <c r="P57" s="209"/>
      <c r="Q57" s="209"/>
      <c r="R57" s="209"/>
      <c r="S57" s="209"/>
      <c r="T57" s="209"/>
      <c r="U57" s="209"/>
      <c r="V57" s="209"/>
      <c r="W57" s="209"/>
      <c r="X57" s="209"/>
      <c r="Y57" s="209"/>
      <c r="Z57" s="209"/>
      <c r="AA57" s="209"/>
    </row>
    <row r="58">
      <c r="A58" s="441"/>
      <c r="B58" s="440" t="s">
        <v>146</v>
      </c>
      <c r="C58" s="440">
        <f>COUNTIF('IGCSE 2C'!N2:N30,"E")</f>
        <v>4</v>
      </c>
      <c r="D58" s="443" t="str">
        <f>IFERROR(__xludf.DUMMYFUNCTION("TRANSPOSE(FILTER('IGCSE 2C'!B:B, 'IGCSE 2C'!N:N=""E""))"),"Ahmad Amin")</f>
        <v>Ahmad Amin</v>
      </c>
      <c r="E58" s="209" t="str">
        <f>IFERROR(__xludf.DUMMYFUNCTION("""COMPUTED_VALUE"""),"Denise Mwape")</f>
        <v>Denise Mwape</v>
      </c>
      <c r="F58" s="209" t="str">
        <f>IFERROR(__xludf.DUMMYFUNCTION("""COMPUTED_VALUE"""),"Fatima Patel")</f>
        <v>Fatima Patel</v>
      </c>
      <c r="G58" s="209" t="str">
        <f>IFERROR(__xludf.DUMMYFUNCTION("""COMPUTED_VALUE"""),"Choolwe Samboko")</f>
        <v>Choolwe Samboko</v>
      </c>
      <c r="H58" s="209"/>
      <c r="I58" s="209"/>
      <c r="J58" s="209"/>
      <c r="K58" s="209"/>
      <c r="L58" s="209"/>
      <c r="M58" s="209"/>
      <c r="N58" s="209"/>
      <c r="O58" s="209"/>
      <c r="P58" s="209"/>
      <c r="Q58" s="209"/>
      <c r="R58" s="209"/>
      <c r="S58" s="209"/>
      <c r="T58" s="209"/>
      <c r="U58" s="209"/>
      <c r="V58" s="209"/>
      <c r="W58" s="209"/>
      <c r="X58" s="209"/>
      <c r="Y58" s="209"/>
      <c r="Z58" s="209"/>
      <c r="AA58" s="209"/>
    </row>
    <row r="59">
      <c r="A59" s="441"/>
      <c r="B59" s="440" t="s">
        <v>93</v>
      </c>
      <c r="C59" s="440">
        <f>COUNTIF('IGCSE 2C'!N2:N30,"D")</f>
        <v>5</v>
      </c>
      <c r="D59" s="443" t="str">
        <f>IFERROR(__xludf.DUMMYFUNCTION("TRANSPOSE(FILTER('IGCSE 2C'!B:B, 'IGCSE 2C'!N:N=""D""))"),"Chibwe Chasaya")</f>
        <v>Chibwe Chasaya</v>
      </c>
      <c r="E59" s="209" t="str">
        <f>IFERROR(__xludf.DUMMYFUNCTION("""COMPUTED_VALUE"""),"Tapiwanashe Luwabelwa")</f>
        <v>Tapiwanashe Luwabelwa</v>
      </c>
      <c r="F59" s="209" t="str">
        <f>IFERROR(__xludf.DUMMYFUNCTION("""COMPUTED_VALUE"""),"Nandeka Mwenda")</f>
        <v>Nandeka Mwenda</v>
      </c>
      <c r="G59" s="209" t="str">
        <f>IFERROR(__xludf.DUMMYFUNCTION("""COMPUTED_VALUE"""),"Jalal Ossaily")</f>
        <v>Jalal Ossaily</v>
      </c>
      <c r="H59" s="209" t="str">
        <f>IFERROR(__xludf.DUMMYFUNCTION("""COMPUTED_VALUE"""),"Houssien Seblini")</f>
        <v>Houssien Seblini</v>
      </c>
      <c r="I59" s="209"/>
      <c r="J59" s="209"/>
      <c r="K59" s="209"/>
      <c r="L59" s="209"/>
      <c r="M59" s="209"/>
      <c r="N59" s="209"/>
      <c r="O59" s="209"/>
      <c r="P59" s="209"/>
      <c r="Q59" s="209"/>
      <c r="R59" s="209"/>
      <c r="S59" s="209"/>
      <c r="T59" s="209"/>
      <c r="U59" s="209"/>
      <c r="V59" s="209"/>
      <c r="W59" s="209"/>
      <c r="X59" s="209"/>
      <c r="Y59" s="209"/>
      <c r="Z59" s="209"/>
      <c r="AA59" s="209"/>
    </row>
    <row r="60">
      <c r="A60" s="441"/>
      <c r="B60" s="440" t="s">
        <v>90</v>
      </c>
      <c r="C60" s="440">
        <f>COUNTIF('IGCSE 2C'!N2:N30,"C")</f>
        <v>0</v>
      </c>
      <c r="D60" s="443" t="str">
        <f>IFERROR(__xludf.DUMMYFUNCTION("TRANSPOSE(FILTER('IGCSE 2C'!B:B, 'IGCSE 2C'!N:N=""C""))"),"#N/A")</f>
        <v>#N/A</v>
      </c>
      <c r="E60" s="209"/>
      <c r="F60" s="209"/>
      <c r="G60" s="209"/>
      <c r="H60" s="209"/>
      <c r="I60" s="209"/>
      <c r="J60" s="209"/>
      <c r="K60" s="209"/>
      <c r="L60" s="209"/>
      <c r="M60" s="209"/>
      <c r="N60" s="209"/>
      <c r="O60" s="209"/>
      <c r="P60" s="209"/>
      <c r="Q60" s="209"/>
      <c r="R60" s="209"/>
      <c r="S60" s="209"/>
      <c r="T60" s="209"/>
      <c r="U60" s="209"/>
      <c r="V60" s="209"/>
      <c r="W60" s="209"/>
      <c r="X60" s="209"/>
      <c r="Y60" s="209"/>
      <c r="Z60" s="209"/>
      <c r="AA60" s="209"/>
    </row>
    <row r="61">
      <c r="A61" s="441"/>
      <c r="B61" s="440" t="s">
        <v>87</v>
      </c>
      <c r="C61" s="440">
        <f>COUNTIF('IGCSE 2C'!N2:N30,"B")</f>
        <v>0</v>
      </c>
      <c r="D61" s="443" t="str">
        <f>IFERROR(__xludf.DUMMYFUNCTION("TRANSPOSE(FILTER('IGCSE 2C'!B:B, 'IGCSE 2C'!N:N=""B""))"),"#N/A")</f>
        <v>#N/A</v>
      </c>
      <c r="E61" s="209"/>
      <c r="F61" s="209"/>
      <c r="G61" s="209"/>
      <c r="H61" s="209"/>
      <c r="I61" s="209"/>
      <c r="J61" s="209"/>
      <c r="K61" s="209"/>
      <c r="L61" s="209"/>
      <c r="M61" s="209"/>
      <c r="N61" s="209"/>
      <c r="O61" s="209"/>
      <c r="P61" s="209"/>
      <c r="Q61" s="209"/>
      <c r="R61" s="209"/>
      <c r="S61" s="209"/>
      <c r="T61" s="209"/>
      <c r="U61" s="209"/>
      <c r="V61" s="209"/>
      <c r="W61" s="209"/>
      <c r="X61" s="209"/>
      <c r="Y61" s="209"/>
      <c r="Z61" s="209"/>
      <c r="AA61" s="209"/>
    </row>
    <row r="62">
      <c r="A62" s="441"/>
      <c r="B62" s="440" t="s">
        <v>85</v>
      </c>
      <c r="C62" s="440">
        <f>COUNTIF('IGCSE 2C'!N2:N30,"A")</f>
        <v>0</v>
      </c>
      <c r="D62" s="443" t="str">
        <f>IFERROR(__xludf.DUMMYFUNCTION("TRANSPOSE(FILTER('IGCSE 2C'!B:B, 'IGCSE 2C'!N:N=""A""))"),"#N/A")</f>
        <v>#N/A</v>
      </c>
      <c r="E62" s="209"/>
      <c r="F62" s="209"/>
      <c r="G62" s="209"/>
      <c r="H62" s="209"/>
      <c r="I62" s="209"/>
      <c r="J62" s="209"/>
      <c r="K62" s="209"/>
      <c r="L62" s="209"/>
      <c r="M62" s="209"/>
      <c r="N62" s="209"/>
      <c r="O62" s="209"/>
      <c r="P62" s="209"/>
      <c r="Q62" s="209"/>
      <c r="R62" s="209"/>
      <c r="S62" s="209"/>
      <c r="T62" s="209"/>
      <c r="U62" s="209"/>
      <c r="V62" s="209"/>
      <c r="W62" s="209"/>
      <c r="X62" s="209"/>
      <c r="Y62" s="209"/>
      <c r="Z62" s="209"/>
      <c r="AA62" s="209"/>
    </row>
    <row r="63">
      <c r="A63" s="441"/>
      <c r="B63" s="440" t="s">
        <v>152</v>
      </c>
      <c r="C63" s="440">
        <f>COUNTIF('IGCSE 2C'!N2:N30,"A~*")</f>
        <v>0</v>
      </c>
      <c r="D63" s="443" t="str">
        <f>IFERROR(__xludf.DUMMYFUNCTION("TRANSPOSE(FILTER('IGCSE 2C'!B:B, 'IGCSE 2C'!N:N=""A*""))"),"#N/A")</f>
        <v>#N/A</v>
      </c>
      <c r="E63" s="209"/>
      <c r="F63" s="209"/>
      <c r="G63" s="209"/>
      <c r="H63" s="209"/>
      <c r="I63" s="209"/>
      <c r="J63" s="209"/>
      <c r="K63" s="209"/>
      <c r="L63" s="209"/>
      <c r="M63" s="209"/>
      <c r="N63" s="209"/>
      <c r="O63" s="209"/>
      <c r="P63" s="209"/>
      <c r="Q63" s="209"/>
      <c r="R63" s="209"/>
      <c r="S63" s="209"/>
      <c r="T63" s="209"/>
      <c r="U63" s="209"/>
      <c r="V63" s="209"/>
      <c r="W63" s="209"/>
      <c r="X63" s="209"/>
      <c r="Y63" s="209"/>
      <c r="Z63" s="209"/>
      <c r="AA63" s="209"/>
    </row>
    <row r="64">
      <c r="A64" s="441"/>
      <c r="B64" s="441"/>
      <c r="C64" s="441"/>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row>
    <row r="65">
      <c r="A65" s="440" t="s">
        <v>48</v>
      </c>
      <c r="B65" s="440" t="s">
        <v>140</v>
      </c>
      <c r="C65" s="440">
        <f>COUNTIF('IGCSE 2C'!R2:R30,"U")</f>
        <v>12</v>
      </c>
      <c r="D65" s="442" t="str">
        <f>IFERROR(__xludf.DUMMYFUNCTION("TRANSPOSE(FILTER('IGCSE 2C'!B:B, 'IGCSE 2C'!R:R=""U""))"),"Ibrahim Aadil")</f>
        <v>Ibrahim Aadil</v>
      </c>
      <c r="E65" s="209" t="str">
        <f>IFERROR(__xludf.DUMMYFUNCTION("""COMPUTED_VALUE"""),"Tamika Bredt")</f>
        <v>Tamika Bredt</v>
      </c>
      <c r="F65" s="209" t="str">
        <f>IFERROR(__xludf.DUMMYFUNCTION("""COMPUTED_VALUE"""),"Chibwe Chasaya")</f>
        <v>Chibwe Chasaya</v>
      </c>
      <c r="G65" s="209" t="str">
        <f>IFERROR(__xludf.DUMMYFUNCTION("""COMPUTED_VALUE"""),"Ahmad Hamir")</f>
        <v>Ahmad Hamir</v>
      </c>
      <c r="H65" s="209" t="str">
        <f>IFERROR(__xludf.DUMMYFUNCTION("""COMPUTED_VALUE"""),"Justin Kapilikisha")</f>
        <v>Justin Kapilikisha</v>
      </c>
      <c r="I65" s="209" t="str">
        <f>IFERROR(__xludf.DUMMYFUNCTION("""COMPUTED_VALUE"""),"Tamika Mpho Kumwenda")</f>
        <v>Tamika Mpho Kumwenda</v>
      </c>
      <c r="J65" s="209" t="str">
        <f>IFERROR(__xludf.DUMMYFUNCTION("""COMPUTED_VALUE"""),"Ethan Mwansa")</f>
        <v>Ethan Mwansa</v>
      </c>
      <c r="K65" s="209" t="str">
        <f>IFERROR(__xludf.DUMMYFUNCTION("""COMPUTED_VALUE"""),"Denise Mwape")</f>
        <v>Denise Mwape</v>
      </c>
      <c r="L65" s="209" t="str">
        <f>IFERROR(__xludf.DUMMYFUNCTION("""COMPUTED_VALUE"""),"Nandeka Mwenda")</f>
        <v>Nandeka Mwenda</v>
      </c>
      <c r="M65" s="209" t="str">
        <f>IFERROR(__xludf.DUMMYFUNCTION("""COMPUTED_VALUE"""),"Jalal Ossaily")</f>
        <v>Jalal Ossaily</v>
      </c>
      <c r="N65" s="209" t="str">
        <f>IFERROR(__xludf.DUMMYFUNCTION("""COMPUTED_VALUE"""),"Choolwe Samboko")</f>
        <v>Choolwe Samboko</v>
      </c>
      <c r="O65" s="209"/>
      <c r="P65" s="209"/>
      <c r="Q65" s="209"/>
      <c r="R65" s="209"/>
      <c r="S65" s="209"/>
      <c r="T65" s="209"/>
      <c r="U65" s="209"/>
      <c r="V65" s="209"/>
      <c r="W65" s="209"/>
      <c r="X65" s="209"/>
      <c r="Y65" s="209"/>
      <c r="Z65" s="209"/>
      <c r="AA65" s="209"/>
    </row>
    <row r="66">
      <c r="A66" s="441"/>
      <c r="B66" s="440" t="s">
        <v>142</v>
      </c>
      <c r="C66" s="440">
        <f>COUNTIF('IGCSE 2C'!R2:R30,"G")</f>
        <v>2</v>
      </c>
      <c r="D66" s="443" t="str">
        <f>IFERROR(__xludf.DUMMYFUNCTION("TRANSPOSE(FILTER('IGCSE 2C'!B:B, 'IGCSE 2C'!R:R=""G""))"),"Anoushka Kutenha")</f>
        <v>Anoushka Kutenha</v>
      </c>
      <c r="E66" s="209" t="str">
        <f>IFERROR(__xludf.DUMMYFUNCTION("""COMPUTED_VALUE"""),"Fatima Patel")</f>
        <v>Fatima Patel</v>
      </c>
      <c r="F66" s="209"/>
      <c r="G66" s="209"/>
      <c r="H66" s="209"/>
      <c r="I66" s="209"/>
      <c r="J66" s="209"/>
      <c r="K66" s="209"/>
      <c r="L66" s="209"/>
      <c r="M66" s="209"/>
      <c r="N66" s="209"/>
      <c r="O66" s="209"/>
      <c r="P66" s="209"/>
      <c r="Q66" s="209"/>
      <c r="R66" s="209"/>
      <c r="S66" s="209"/>
      <c r="T66" s="209"/>
      <c r="U66" s="209"/>
      <c r="V66" s="209"/>
      <c r="W66" s="209"/>
      <c r="X66" s="209"/>
      <c r="Y66" s="209"/>
      <c r="Z66" s="209"/>
      <c r="AA66" s="209"/>
    </row>
    <row r="67">
      <c r="A67" s="441"/>
      <c r="B67" s="440" t="s">
        <v>144</v>
      </c>
      <c r="C67" s="440">
        <f>COUNTIF('IGCSE 2C'!R2:R30,"F")</f>
        <v>1</v>
      </c>
      <c r="D67" s="443" t="str">
        <f>IFERROR(__xludf.DUMMYFUNCTION("TRANSPOSE(FILTER('IGCSE 2C'!B:B, 'IGCSE 2C'!R:R=""F""))"),"Tapiwanashe Luwabelwa")</f>
        <v>Tapiwanashe Luwabelwa</v>
      </c>
      <c r="E67" s="209"/>
      <c r="F67" s="209"/>
      <c r="G67" s="209"/>
      <c r="H67" s="209"/>
      <c r="I67" s="209"/>
      <c r="J67" s="209"/>
      <c r="K67" s="209"/>
      <c r="L67" s="209"/>
      <c r="M67" s="209"/>
      <c r="N67" s="209"/>
      <c r="O67" s="209"/>
      <c r="P67" s="209"/>
      <c r="Q67" s="209"/>
      <c r="R67" s="209"/>
      <c r="S67" s="209"/>
      <c r="T67" s="209"/>
      <c r="U67" s="209"/>
      <c r="V67" s="209"/>
      <c r="W67" s="209"/>
      <c r="X67" s="209"/>
      <c r="Y67" s="209"/>
      <c r="Z67" s="209"/>
      <c r="AA67" s="209"/>
    </row>
    <row r="68">
      <c r="A68" s="441"/>
      <c r="B68" s="440" t="s">
        <v>146</v>
      </c>
      <c r="C68" s="440">
        <f>COUNTIF('IGCSE 2C'!R2:R30,"E")</f>
        <v>3</v>
      </c>
      <c r="D68" s="443" t="str">
        <f>IFERROR(__xludf.DUMMYFUNCTION("TRANSPOSE(FILTER('IGCSE 2C'!B:B, 'IGCSE 2C'!R:R=""E""))"),"Ahmad Amin")</f>
        <v>Ahmad Amin</v>
      </c>
      <c r="E68" s="209" t="str">
        <f>IFERROR(__xludf.DUMMYFUNCTION("""COMPUTED_VALUE"""),"Victoria Lanyero")</f>
        <v>Victoria Lanyero</v>
      </c>
      <c r="F68" s="209" t="str">
        <f>IFERROR(__xludf.DUMMYFUNCTION("""COMPUTED_VALUE"""),"Houssien Seblini")</f>
        <v>Houssien Seblini</v>
      </c>
      <c r="G68" s="209"/>
      <c r="H68" s="209"/>
      <c r="I68" s="209"/>
      <c r="J68" s="209"/>
      <c r="K68" s="209"/>
      <c r="L68" s="209"/>
      <c r="M68" s="209"/>
      <c r="N68" s="209"/>
      <c r="O68" s="209"/>
      <c r="P68" s="209"/>
      <c r="Q68" s="209"/>
      <c r="R68" s="209"/>
      <c r="S68" s="209"/>
      <c r="T68" s="209"/>
      <c r="U68" s="209"/>
      <c r="V68" s="209"/>
      <c r="W68" s="209"/>
      <c r="X68" s="209"/>
      <c r="Y68" s="209"/>
      <c r="Z68" s="209"/>
      <c r="AA68" s="209"/>
    </row>
    <row r="69">
      <c r="A69" s="441"/>
      <c r="B69" s="440" t="s">
        <v>93</v>
      </c>
      <c r="C69" s="440">
        <f>COUNTIF('IGCSE 2C'!R2:R30,"D")</f>
        <v>0</v>
      </c>
      <c r="D69" s="443" t="str">
        <f>IFERROR(__xludf.DUMMYFUNCTION("TRANSPOSE(FILTER('IGCSE 2C'!B:B, 'IGCSE 2C'!R:R=""D""))"),"#N/A")</f>
        <v>#N/A</v>
      </c>
      <c r="E69" s="209"/>
      <c r="F69" s="209"/>
      <c r="G69" s="209"/>
      <c r="H69" s="209"/>
      <c r="I69" s="209"/>
      <c r="J69" s="209"/>
      <c r="K69" s="209"/>
      <c r="L69" s="209"/>
      <c r="M69" s="209"/>
      <c r="N69" s="209"/>
      <c r="O69" s="209"/>
      <c r="P69" s="209"/>
      <c r="Q69" s="209"/>
      <c r="R69" s="209"/>
      <c r="S69" s="209"/>
      <c r="T69" s="209"/>
      <c r="U69" s="209"/>
      <c r="V69" s="209"/>
      <c r="W69" s="209"/>
      <c r="X69" s="209"/>
      <c r="Y69" s="209"/>
      <c r="Z69" s="209"/>
      <c r="AA69" s="209"/>
    </row>
    <row r="70">
      <c r="A70" s="441"/>
      <c r="B70" s="440" t="s">
        <v>90</v>
      </c>
      <c r="C70" s="440">
        <f>COUNTIF('IGCSE 2C'!R2:R30,"C")</f>
        <v>0</v>
      </c>
      <c r="D70" s="443" t="str">
        <f>IFERROR(__xludf.DUMMYFUNCTION("TRANSPOSE(FILTER('IGCSE 2C'!B:B, 'IGCSE 2C'!R:R=""C""))"),"#N/A")</f>
        <v>#N/A</v>
      </c>
      <c r="E70" s="209"/>
      <c r="F70" s="209"/>
      <c r="G70" s="209"/>
      <c r="H70" s="209"/>
      <c r="I70" s="209"/>
      <c r="J70" s="209"/>
      <c r="K70" s="209"/>
      <c r="L70" s="209"/>
      <c r="M70" s="209"/>
      <c r="N70" s="209"/>
      <c r="O70" s="209"/>
      <c r="P70" s="209"/>
      <c r="Q70" s="209"/>
      <c r="R70" s="209"/>
      <c r="S70" s="209"/>
      <c r="T70" s="209"/>
      <c r="U70" s="209"/>
      <c r="V70" s="209"/>
      <c r="W70" s="209"/>
      <c r="X70" s="209"/>
      <c r="Y70" s="209"/>
      <c r="Z70" s="209"/>
      <c r="AA70" s="209"/>
    </row>
    <row r="71">
      <c r="A71" s="441"/>
      <c r="B71" s="440" t="s">
        <v>87</v>
      </c>
      <c r="C71" s="440">
        <f>COUNTIF('IGCSE 2C'!R2:R30,"B")</f>
        <v>1</v>
      </c>
      <c r="D71" s="443" t="str">
        <f>IFERROR(__xludf.DUMMYFUNCTION("TRANSPOSE(FILTER('IGCSE 2C'!B:B, 'IGCSE 2C'!R:R=""B""))"),"Kelly Chungu")</f>
        <v>Kelly Chungu</v>
      </c>
      <c r="E71" s="209"/>
      <c r="F71" s="209"/>
      <c r="G71" s="209"/>
      <c r="H71" s="209"/>
      <c r="I71" s="209"/>
      <c r="J71" s="209"/>
      <c r="K71" s="209"/>
      <c r="L71" s="209"/>
      <c r="M71" s="209"/>
      <c r="N71" s="209"/>
      <c r="O71" s="209"/>
      <c r="P71" s="209"/>
      <c r="Q71" s="209"/>
      <c r="R71" s="209"/>
      <c r="S71" s="209"/>
      <c r="T71" s="209"/>
      <c r="U71" s="209"/>
      <c r="V71" s="209"/>
      <c r="W71" s="209"/>
      <c r="X71" s="209"/>
      <c r="Y71" s="209"/>
      <c r="Z71" s="209"/>
      <c r="AA71" s="209"/>
    </row>
    <row r="72">
      <c r="A72" s="441"/>
      <c r="B72" s="440" t="s">
        <v>85</v>
      </c>
      <c r="C72" s="440">
        <f>COUNTIF('IGCSE 2C'!R2:R30,"A")</f>
        <v>1</v>
      </c>
      <c r="D72" s="443" t="str">
        <f>IFERROR(__xludf.DUMMYFUNCTION("TRANSPOSE(FILTER('IGCSE 2C'!B:B, 'IGCSE 2C'!R:R=""A""))"),"Lukonde Chilufya")</f>
        <v>Lukonde Chilufya</v>
      </c>
      <c r="E72" s="209"/>
      <c r="F72" s="209"/>
      <c r="G72" s="209"/>
      <c r="H72" s="209"/>
      <c r="I72" s="209"/>
      <c r="J72" s="209"/>
      <c r="K72" s="209"/>
      <c r="L72" s="209"/>
      <c r="M72" s="209"/>
      <c r="N72" s="209"/>
      <c r="O72" s="209"/>
      <c r="P72" s="209"/>
      <c r="Q72" s="209"/>
      <c r="R72" s="209"/>
      <c r="S72" s="209"/>
      <c r="T72" s="209"/>
      <c r="U72" s="209"/>
      <c r="V72" s="209"/>
      <c r="W72" s="209"/>
      <c r="X72" s="209"/>
      <c r="Y72" s="209"/>
      <c r="Z72" s="209"/>
      <c r="AA72" s="209"/>
    </row>
    <row r="73">
      <c r="A73" s="441"/>
      <c r="B73" s="440" t="s">
        <v>152</v>
      </c>
      <c r="C73" s="440">
        <f>COUNTIF('IGCSE 2C'!R2:R30,"A~*")</f>
        <v>0</v>
      </c>
      <c r="D73" s="443" t="str">
        <f>IFERROR(__xludf.DUMMYFUNCTION("TRANSPOSE(FILTER('IGCSE 2C'!B:B, 'IGCSE 2C'!R:R=""A*""))"),"#N/A")</f>
        <v>#N/A</v>
      </c>
      <c r="E73" s="209"/>
      <c r="F73" s="209"/>
      <c r="G73" s="209"/>
      <c r="H73" s="209"/>
      <c r="I73" s="209"/>
      <c r="J73" s="209"/>
      <c r="K73" s="209"/>
      <c r="L73" s="209"/>
      <c r="M73" s="209"/>
      <c r="N73" s="209"/>
      <c r="O73" s="209"/>
      <c r="P73" s="209"/>
      <c r="Q73" s="209"/>
      <c r="R73" s="209"/>
      <c r="S73" s="209"/>
      <c r="T73" s="209"/>
      <c r="U73" s="209"/>
      <c r="V73" s="209"/>
      <c r="W73" s="209"/>
      <c r="X73" s="209"/>
      <c r="Y73" s="209"/>
      <c r="Z73" s="209"/>
      <c r="AA73" s="209"/>
    </row>
    <row r="74">
      <c r="A74" s="441"/>
      <c r="B74" s="441"/>
      <c r="C74" s="441"/>
      <c r="D74" s="209"/>
      <c r="E74" s="209"/>
      <c r="F74" s="209"/>
      <c r="G74" s="209"/>
      <c r="H74" s="209"/>
      <c r="I74" s="209"/>
      <c r="J74" s="209"/>
      <c r="K74" s="209"/>
      <c r="L74" s="209"/>
      <c r="M74" s="209"/>
      <c r="N74" s="209"/>
      <c r="O74" s="209"/>
      <c r="P74" s="209"/>
      <c r="Q74" s="209"/>
      <c r="R74" s="209"/>
      <c r="S74" s="209"/>
      <c r="T74" s="209"/>
      <c r="U74" s="209"/>
      <c r="V74" s="209"/>
      <c r="W74" s="209"/>
      <c r="X74" s="209"/>
      <c r="Y74" s="209"/>
      <c r="Z74" s="209"/>
      <c r="AA74" s="209"/>
    </row>
    <row r="75">
      <c r="A75" s="440" t="s">
        <v>440</v>
      </c>
      <c r="B75" s="440" t="s">
        <v>140</v>
      </c>
      <c r="C75" s="440">
        <f>COUNTIF('IGCSE 2C'!L2:L30,"U")</f>
        <v>8</v>
      </c>
      <c r="D75" s="442" t="str">
        <f>IFERROR(__xludf.DUMMYFUNCTION("TRANSPOSE(FILTER('IGCSE 2C'!B:B, 'IGCSE 2C'!L:L=""U""))"),"Chibwe Chasaya")</f>
        <v>Chibwe Chasaya</v>
      </c>
      <c r="E75" s="209" t="str">
        <f>IFERROR(__xludf.DUMMYFUNCTION("""COMPUTED_VALUE"""),"Lukonde Chilufya")</f>
        <v>Lukonde Chilufya</v>
      </c>
      <c r="F75" s="209" t="str">
        <f>IFERROR(__xludf.DUMMYFUNCTION("""COMPUTED_VALUE"""),"Ahmad Hamir")</f>
        <v>Ahmad Hamir</v>
      </c>
      <c r="G75" s="209" t="str">
        <f>IFERROR(__xludf.DUMMYFUNCTION("""COMPUTED_VALUE"""),"Anoushka Kutenha")</f>
        <v>Anoushka Kutenha</v>
      </c>
      <c r="H75" s="209" t="str">
        <f>IFERROR(__xludf.DUMMYFUNCTION("""COMPUTED_VALUE"""),"Victoria Lanyero")</f>
        <v>Victoria Lanyero</v>
      </c>
      <c r="I75" s="209" t="str">
        <f>IFERROR(__xludf.DUMMYFUNCTION("""COMPUTED_VALUE"""),"Tapiwanashe Luwabelwa")</f>
        <v>Tapiwanashe Luwabelwa</v>
      </c>
      <c r="J75" s="209" t="str">
        <f>IFERROR(__xludf.DUMMYFUNCTION("""COMPUTED_VALUE"""),"Choolwe Samboko")</f>
        <v>Choolwe Samboko</v>
      </c>
      <c r="K75" s="209"/>
      <c r="L75" s="209"/>
      <c r="M75" s="209"/>
      <c r="N75" s="209"/>
      <c r="O75" s="209"/>
      <c r="P75" s="209"/>
      <c r="Q75" s="209"/>
      <c r="R75" s="209"/>
      <c r="S75" s="209"/>
      <c r="T75" s="209"/>
      <c r="U75" s="209"/>
      <c r="V75" s="209"/>
      <c r="W75" s="209"/>
      <c r="X75" s="209"/>
      <c r="Y75" s="209"/>
      <c r="Z75" s="209"/>
      <c r="AA75" s="209"/>
    </row>
    <row r="76">
      <c r="A76" s="441"/>
      <c r="B76" s="440" t="s">
        <v>142</v>
      </c>
      <c r="C76" s="440">
        <f>COUNTIF('IGCSE 2C'!L2:L30,"G")</f>
        <v>0</v>
      </c>
      <c r="D76" s="443" t="str">
        <f>IFERROR(__xludf.DUMMYFUNCTION("TRANSPOSE(FILTER('IGCSE 2C'!B:B, 'IGCSE 2C'!L:L=""G""))"),"#N/A")</f>
        <v>#N/A</v>
      </c>
      <c r="E76" s="209"/>
      <c r="F76" s="209"/>
      <c r="G76" s="209"/>
      <c r="H76" s="209"/>
      <c r="I76" s="209"/>
      <c r="J76" s="209"/>
      <c r="K76" s="209"/>
      <c r="L76" s="209"/>
      <c r="M76" s="209"/>
      <c r="N76" s="209"/>
      <c r="O76" s="209"/>
      <c r="P76" s="209"/>
      <c r="Q76" s="209"/>
      <c r="R76" s="209"/>
      <c r="S76" s="209"/>
      <c r="T76" s="209"/>
      <c r="U76" s="209"/>
      <c r="V76" s="209"/>
      <c r="W76" s="209"/>
      <c r="X76" s="209"/>
      <c r="Y76" s="209"/>
      <c r="Z76" s="209"/>
      <c r="AA76" s="209"/>
    </row>
    <row r="77">
      <c r="A77" s="441"/>
      <c r="B77" s="440" t="s">
        <v>144</v>
      </c>
      <c r="C77" s="440">
        <f>COUNTIF('IGCSE 2C'!L2:L30,"F")</f>
        <v>1</v>
      </c>
      <c r="D77" s="443" t="str">
        <f>IFERROR(__xludf.DUMMYFUNCTION("TRANSPOSE(FILTER('IGCSE 2C'!B:B, 'IGCSE 2C'!L:L=""F""))"),"Tamika Mpho Kumwenda")</f>
        <v>Tamika Mpho Kumwenda</v>
      </c>
      <c r="E77" s="209"/>
      <c r="F77" s="209"/>
      <c r="G77" s="209"/>
      <c r="H77" s="209"/>
      <c r="I77" s="209"/>
      <c r="J77" s="209"/>
      <c r="K77" s="209"/>
      <c r="L77" s="209"/>
      <c r="M77" s="209"/>
      <c r="N77" s="209"/>
      <c r="O77" s="209"/>
      <c r="P77" s="209"/>
      <c r="Q77" s="209"/>
      <c r="R77" s="209"/>
      <c r="S77" s="209"/>
      <c r="T77" s="209"/>
      <c r="U77" s="209"/>
      <c r="V77" s="209"/>
      <c r="W77" s="209"/>
      <c r="X77" s="209"/>
      <c r="Y77" s="209"/>
      <c r="Z77" s="209"/>
      <c r="AA77" s="209"/>
    </row>
    <row r="78">
      <c r="A78" s="441"/>
      <c r="B78" s="440" t="s">
        <v>146</v>
      </c>
      <c r="C78" s="440">
        <f>COUNTIF('IGCSE 2C'!L2:L30,"E")</f>
        <v>5</v>
      </c>
      <c r="D78" s="443" t="str">
        <f>IFERROR(__xludf.DUMMYFUNCTION("TRANSPOSE(FILTER('IGCSE 2C'!B:B, 'IGCSE 2C'!L:L=""E""))"),"Tamika Bredt")</f>
        <v>Tamika Bredt</v>
      </c>
      <c r="E78" s="209" t="str">
        <f>IFERROR(__xludf.DUMMYFUNCTION("""COMPUTED_VALUE"""),"Justin Kapilikisha")</f>
        <v>Justin Kapilikisha</v>
      </c>
      <c r="F78" s="209" t="str">
        <f>IFERROR(__xludf.DUMMYFUNCTION("""COMPUTED_VALUE"""),"Ethan Mwansa")</f>
        <v>Ethan Mwansa</v>
      </c>
      <c r="G78" s="209" t="str">
        <f>IFERROR(__xludf.DUMMYFUNCTION("""COMPUTED_VALUE"""),"Denise Mwape")</f>
        <v>Denise Mwape</v>
      </c>
      <c r="H78" s="209" t="str">
        <f>IFERROR(__xludf.DUMMYFUNCTION("""COMPUTED_VALUE"""),"Fatima Patel")</f>
        <v>Fatima Patel</v>
      </c>
      <c r="I78" s="209"/>
      <c r="J78" s="209"/>
      <c r="K78" s="209"/>
      <c r="L78" s="209"/>
      <c r="M78" s="209"/>
      <c r="N78" s="209"/>
      <c r="O78" s="209"/>
      <c r="P78" s="209"/>
      <c r="Q78" s="209"/>
      <c r="R78" s="209"/>
      <c r="S78" s="209"/>
      <c r="T78" s="209"/>
      <c r="U78" s="209"/>
      <c r="V78" s="209"/>
      <c r="W78" s="209"/>
      <c r="X78" s="209"/>
      <c r="Y78" s="209"/>
      <c r="Z78" s="209"/>
      <c r="AA78" s="209"/>
    </row>
    <row r="79">
      <c r="A79" s="441"/>
      <c r="B79" s="440" t="s">
        <v>93</v>
      </c>
      <c r="C79" s="440">
        <f>COUNTIF('IGCSE 2C'!L2:L30,"D")</f>
        <v>5</v>
      </c>
      <c r="D79" s="443" t="str">
        <f>IFERROR(__xludf.DUMMYFUNCTION("TRANSPOSE(FILTER('IGCSE 2C'!B:B, 'IGCSE 2C'!L:L=""D""))"),"Ibrahim Aadil")</f>
        <v>Ibrahim Aadil</v>
      </c>
      <c r="E79" s="209" t="str">
        <f>IFERROR(__xludf.DUMMYFUNCTION("""COMPUTED_VALUE"""),"Ahmad Amin")</f>
        <v>Ahmad Amin</v>
      </c>
      <c r="F79" s="209" t="str">
        <f>IFERROR(__xludf.DUMMYFUNCTION("""COMPUTED_VALUE"""),"Nandeka Mwenda")</f>
        <v>Nandeka Mwenda</v>
      </c>
      <c r="G79" s="209" t="str">
        <f>IFERROR(__xludf.DUMMYFUNCTION("""COMPUTED_VALUE"""),"Jalal Ossaily")</f>
        <v>Jalal Ossaily</v>
      </c>
      <c r="H79" s="209" t="str">
        <f>IFERROR(__xludf.DUMMYFUNCTION("""COMPUTED_VALUE"""),"Houssien Seblini")</f>
        <v>Houssien Seblini</v>
      </c>
      <c r="I79" s="209"/>
      <c r="J79" s="209"/>
      <c r="K79" s="209"/>
      <c r="L79" s="209"/>
      <c r="M79" s="209"/>
      <c r="N79" s="209"/>
      <c r="O79" s="209"/>
      <c r="P79" s="209"/>
      <c r="Q79" s="209"/>
      <c r="R79" s="209"/>
      <c r="S79" s="209"/>
      <c r="T79" s="209"/>
      <c r="U79" s="209"/>
      <c r="V79" s="209"/>
      <c r="W79" s="209"/>
      <c r="X79" s="209"/>
      <c r="Y79" s="209"/>
      <c r="Z79" s="209"/>
      <c r="AA79" s="209"/>
    </row>
    <row r="80">
      <c r="A80" s="441"/>
      <c r="B80" s="440" t="s">
        <v>90</v>
      </c>
      <c r="C80" s="440">
        <f>COUNTIF('IGCSE 2C'!L2:L30,"C")</f>
        <v>0</v>
      </c>
      <c r="D80" s="443" t="str">
        <f>IFERROR(__xludf.DUMMYFUNCTION("TRANSPOSE(FILTER('IGCSE 2C'!B:B, 'IGCSE 2C'!L:L=""C""))"),"#N/A")</f>
        <v>#N/A</v>
      </c>
      <c r="E80" s="209"/>
      <c r="F80" s="209"/>
      <c r="G80" s="209"/>
      <c r="H80" s="209"/>
      <c r="I80" s="209"/>
      <c r="J80" s="209"/>
      <c r="K80" s="209"/>
      <c r="L80" s="209"/>
      <c r="M80" s="209"/>
      <c r="N80" s="209"/>
      <c r="O80" s="209"/>
      <c r="P80" s="209"/>
      <c r="Q80" s="209"/>
      <c r="R80" s="209"/>
      <c r="S80" s="209"/>
      <c r="T80" s="209"/>
      <c r="U80" s="209"/>
      <c r="V80" s="209"/>
      <c r="W80" s="209"/>
      <c r="X80" s="209"/>
      <c r="Y80" s="209"/>
      <c r="Z80" s="209"/>
      <c r="AA80" s="209"/>
    </row>
    <row r="81">
      <c r="A81" s="441"/>
      <c r="B81" s="440" t="s">
        <v>87</v>
      </c>
      <c r="C81" s="440">
        <f>COUNTIF('IGCSE 2C'!L2:L30,"B")</f>
        <v>1</v>
      </c>
      <c r="D81" s="443" t="str">
        <f>IFERROR(__xludf.DUMMYFUNCTION("TRANSPOSE(FILTER('IGCSE 2C'!B:B, 'IGCSE 2C'!L:L=""B""))"),"Kelly Chungu")</f>
        <v>Kelly Chungu</v>
      </c>
      <c r="E81" s="209"/>
      <c r="F81" s="209"/>
      <c r="G81" s="209"/>
      <c r="H81" s="209"/>
      <c r="I81" s="209"/>
      <c r="J81" s="209"/>
      <c r="K81" s="209"/>
      <c r="L81" s="209"/>
      <c r="M81" s="209"/>
      <c r="N81" s="209"/>
      <c r="O81" s="209"/>
      <c r="P81" s="209"/>
      <c r="Q81" s="209"/>
      <c r="R81" s="209"/>
      <c r="S81" s="209"/>
      <c r="T81" s="209"/>
      <c r="U81" s="209"/>
      <c r="V81" s="209"/>
      <c r="W81" s="209"/>
      <c r="X81" s="209"/>
      <c r="Y81" s="209"/>
      <c r="Z81" s="209"/>
      <c r="AA81" s="209"/>
    </row>
    <row r="82">
      <c r="A82" s="441"/>
      <c r="B82" s="440" t="s">
        <v>85</v>
      </c>
      <c r="C82" s="440">
        <f>COUNTIF('IGCSE 2C'!L2:L30,"A")</f>
        <v>0</v>
      </c>
      <c r="D82" s="443" t="str">
        <f>IFERROR(__xludf.DUMMYFUNCTION("TRANSPOSE(FILTER('IGCSE 2C'!B:B, 'IGCSE 2C'!L:L=""A""))"),"#N/A")</f>
        <v>#N/A</v>
      </c>
      <c r="E82" s="209"/>
      <c r="F82" s="209"/>
      <c r="G82" s="209"/>
      <c r="H82" s="209"/>
      <c r="I82" s="209"/>
      <c r="J82" s="209"/>
      <c r="K82" s="209"/>
      <c r="L82" s="209"/>
      <c r="M82" s="209"/>
      <c r="N82" s="209"/>
      <c r="O82" s="209"/>
      <c r="P82" s="209"/>
      <c r="Q82" s="209"/>
      <c r="R82" s="209"/>
      <c r="S82" s="209"/>
      <c r="T82" s="209"/>
      <c r="U82" s="209"/>
      <c r="V82" s="209"/>
      <c r="W82" s="209"/>
      <c r="X82" s="209"/>
      <c r="Y82" s="209"/>
      <c r="Z82" s="209"/>
      <c r="AA82" s="209"/>
    </row>
    <row r="83">
      <c r="A83" s="441"/>
      <c r="B83" s="440" t="s">
        <v>152</v>
      </c>
      <c r="C83" s="440">
        <f>COUNTIF('IGCSE 2C'!L2:L30,"A~*")</f>
        <v>0</v>
      </c>
      <c r="D83" s="443" t="str">
        <f>IFERROR(__xludf.DUMMYFUNCTION("TRANSPOSE(FILTER('IGCSE 2C'!B:B, 'IGCSE 2C'!L:L=""A*""))"),"#N/A")</f>
        <v>#N/A</v>
      </c>
      <c r="E83" s="209"/>
      <c r="F83" s="209"/>
      <c r="G83" s="209"/>
      <c r="H83" s="209"/>
      <c r="I83" s="209"/>
      <c r="J83" s="209"/>
      <c r="K83" s="209"/>
      <c r="L83" s="209"/>
      <c r="M83" s="209"/>
      <c r="N83" s="209"/>
      <c r="O83" s="209"/>
      <c r="P83" s="209"/>
      <c r="Q83" s="209"/>
      <c r="R83" s="209"/>
      <c r="S83" s="209"/>
      <c r="T83" s="209"/>
      <c r="U83" s="209"/>
      <c r="V83" s="209"/>
      <c r="W83" s="209"/>
      <c r="X83" s="209"/>
      <c r="Y83" s="209"/>
      <c r="Z83" s="209"/>
      <c r="AA83" s="209"/>
    </row>
    <row r="84">
      <c r="A84" s="441"/>
      <c r="B84" s="441"/>
      <c r="C84" s="441"/>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row>
    <row r="85">
      <c r="A85" s="440" t="s">
        <v>32</v>
      </c>
      <c r="B85" s="440" t="s">
        <v>140</v>
      </c>
      <c r="C85" s="440">
        <f>COUNTIF('IGCSE 2C'!V2:V30,"U")</f>
        <v>12</v>
      </c>
      <c r="D85" s="442" t="str">
        <f>IFERROR(__xludf.DUMMYFUNCTION("TRANSPOSE(FILTER('IGCSE 2C'!B:B, 'IGCSE 2C'!V:V=""U""))"),"Ahmad Amin")</f>
        <v>Ahmad Amin</v>
      </c>
      <c r="E85" s="209" t="str">
        <f>IFERROR(__xludf.DUMMYFUNCTION("""COMPUTED_VALUE"""),"Chibwe Chasaya")</f>
        <v>Chibwe Chasaya</v>
      </c>
      <c r="F85" s="209" t="str">
        <f>IFERROR(__xludf.DUMMYFUNCTION("""COMPUTED_VALUE"""),"Lukonde Chilufya")</f>
        <v>Lukonde Chilufya</v>
      </c>
      <c r="G85" s="209" t="str">
        <f>IFERROR(__xludf.DUMMYFUNCTION("""COMPUTED_VALUE"""),"Kelly Chungu")</f>
        <v>Kelly Chungu</v>
      </c>
      <c r="H85" s="209" t="str">
        <f>IFERROR(__xludf.DUMMYFUNCTION("""COMPUTED_VALUE"""),"Anoushka Kutenha")</f>
        <v>Anoushka Kutenha</v>
      </c>
      <c r="I85" s="209" t="str">
        <f>IFERROR(__xludf.DUMMYFUNCTION("""COMPUTED_VALUE"""),"Victoria Lanyero")</f>
        <v>Victoria Lanyero</v>
      </c>
      <c r="J85" s="209" t="str">
        <f>IFERROR(__xludf.DUMMYFUNCTION("""COMPUTED_VALUE"""),"Tapiwanashe Luwabelwa")</f>
        <v>Tapiwanashe Luwabelwa</v>
      </c>
      <c r="K85" s="209" t="str">
        <f>IFERROR(__xludf.DUMMYFUNCTION("""COMPUTED_VALUE"""),"Nandeka Mwenda")</f>
        <v>Nandeka Mwenda</v>
      </c>
      <c r="L85" s="209" t="str">
        <f>IFERROR(__xludf.DUMMYFUNCTION("""COMPUTED_VALUE"""),"Fatima Patel")</f>
        <v>Fatima Patel</v>
      </c>
      <c r="M85" s="209" t="str">
        <f>IFERROR(__xludf.DUMMYFUNCTION("""COMPUTED_VALUE"""),"Choolwe Samboko")</f>
        <v>Choolwe Samboko</v>
      </c>
      <c r="N85" s="209" t="str">
        <f>IFERROR(__xludf.DUMMYFUNCTION("""COMPUTED_VALUE"""),"Houssien Seblini")</f>
        <v>Houssien Seblini</v>
      </c>
      <c r="O85" s="209"/>
      <c r="P85" s="209"/>
      <c r="Q85" s="209"/>
      <c r="R85" s="209"/>
      <c r="S85" s="209"/>
      <c r="T85" s="209"/>
      <c r="U85" s="209"/>
      <c r="V85" s="209"/>
      <c r="W85" s="209"/>
      <c r="X85" s="209"/>
      <c r="Y85" s="209"/>
      <c r="Z85" s="209"/>
      <c r="AA85" s="209"/>
    </row>
    <row r="86">
      <c r="A86" s="441"/>
      <c r="B86" s="440" t="s">
        <v>142</v>
      </c>
      <c r="C86" s="440">
        <f>COUNTIF('IGCSE 2C'!V2:V30,"G")</f>
        <v>0</v>
      </c>
      <c r="D86" s="443" t="str">
        <f>IFERROR(__xludf.DUMMYFUNCTION("TRANSPOSE(FILTER('IGCSE 2C'!B:B, 'IGCSE 2C'!V:V=""G""))"),"#N/A")</f>
        <v>#N/A</v>
      </c>
      <c r="E86" s="209"/>
      <c r="F86" s="209"/>
      <c r="G86" s="209"/>
      <c r="H86" s="209"/>
      <c r="I86" s="209"/>
      <c r="J86" s="209"/>
      <c r="K86" s="209"/>
      <c r="L86" s="209"/>
      <c r="M86" s="209"/>
      <c r="N86" s="209"/>
      <c r="O86" s="209"/>
      <c r="P86" s="209"/>
      <c r="Q86" s="209"/>
      <c r="R86" s="209"/>
      <c r="S86" s="209"/>
      <c r="T86" s="209"/>
      <c r="U86" s="209"/>
      <c r="V86" s="209"/>
      <c r="W86" s="209"/>
      <c r="X86" s="209"/>
      <c r="Y86" s="209"/>
      <c r="Z86" s="209"/>
      <c r="AA86" s="209"/>
    </row>
    <row r="87">
      <c r="A87" s="441"/>
      <c r="B87" s="440" t="s">
        <v>144</v>
      </c>
      <c r="C87" s="440">
        <f>COUNTIF('IGCSE 2C'!V2:V30,"F")</f>
        <v>0</v>
      </c>
      <c r="D87" s="443" t="str">
        <f>IFERROR(__xludf.DUMMYFUNCTION("TRANSPOSE(FILTER('IGCSE 2C'!B:B, 'IGCSE 2C'!V:V=""F""))"),"#N/A")</f>
        <v>#N/A</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row>
    <row r="88">
      <c r="A88" s="441"/>
      <c r="B88" s="440" t="s">
        <v>146</v>
      </c>
      <c r="C88" s="440">
        <f>COUNTIF('IGCSE 2C'!V2:V30,"E")</f>
        <v>1</v>
      </c>
      <c r="D88" s="443" t="str">
        <f>IFERROR(__xludf.DUMMYFUNCTION("TRANSPOSE(FILTER('IGCSE 2C'!B:B, 'IGCSE 2C'!V:V=""E""))"),"Denise Mwape")</f>
        <v>Denise Mwape</v>
      </c>
      <c r="E88" s="209"/>
      <c r="F88" s="209"/>
      <c r="G88" s="209"/>
      <c r="H88" s="209"/>
      <c r="I88" s="209"/>
      <c r="J88" s="209"/>
      <c r="K88" s="209"/>
      <c r="L88" s="209"/>
      <c r="M88" s="209"/>
      <c r="N88" s="209"/>
      <c r="O88" s="209"/>
      <c r="P88" s="209"/>
      <c r="Q88" s="209"/>
      <c r="R88" s="209"/>
      <c r="S88" s="209"/>
      <c r="T88" s="209"/>
      <c r="U88" s="209"/>
      <c r="V88" s="209"/>
      <c r="W88" s="209"/>
      <c r="X88" s="209"/>
      <c r="Y88" s="209"/>
      <c r="Z88" s="209"/>
      <c r="AA88" s="209"/>
    </row>
    <row r="89">
      <c r="A89" s="441"/>
      <c r="B89" s="440" t="s">
        <v>93</v>
      </c>
      <c r="C89" s="440">
        <f>COUNTIF('IGCSE 2C'!V2:V30,"D")</f>
        <v>2</v>
      </c>
      <c r="D89" s="443" t="str">
        <f>IFERROR(__xludf.DUMMYFUNCTION("TRANSPOSE(FILTER('IGCSE 2C'!B:B, 'IGCSE 2C'!V:V=""D""))"),"Ahmad Hamir")</f>
        <v>Ahmad Hamir</v>
      </c>
      <c r="E89" s="209" t="str">
        <f>IFERROR(__xludf.DUMMYFUNCTION("""COMPUTED_VALUE"""),"Ethan Mwansa")</f>
        <v>Ethan Mwansa</v>
      </c>
      <c r="F89" s="209"/>
      <c r="G89" s="209"/>
      <c r="H89" s="209"/>
      <c r="I89" s="209"/>
      <c r="J89" s="209"/>
      <c r="K89" s="209"/>
      <c r="L89" s="209"/>
      <c r="M89" s="209"/>
      <c r="N89" s="209"/>
      <c r="O89" s="209"/>
      <c r="P89" s="209"/>
      <c r="Q89" s="209"/>
      <c r="R89" s="209"/>
      <c r="S89" s="209"/>
      <c r="T89" s="209"/>
      <c r="U89" s="209"/>
      <c r="V89" s="209"/>
      <c r="W89" s="209"/>
      <c r="X89" s="209"/>
      <c r="Y89" s="209"/>
      <c r="Z89" s="209"/>
      <c r="AA89" s="209"/>
    </row>
    <row r="90">
      <c r="A90" s="441"/>
      <c r="B90" s="440" t="s">
        <v>90</v>
      </c>
      <c r="C90" s="440">
        <f>COUNTIF('IGCSE 2C'!V2:V30,"C")</f>
        <v>4</v>
      </c>
      <c r="D90" s="443" t="str">
        <f>IFERROR(__xludf.DUMMYFUNCTION("TRANSPOSE(FILTER('IGCSE 2C'!B:B, 'IGCSE 2C'!V:V=""C""))"),"Ibrahim Aadil")</f>
        <v>Ibrahim Aadil</v>
      </c>
      <c r="E90" s="209" t="str">
        <f>IFERROR(__xludf.DUMMYFUNCTION("""COMPUTED_VALUE"""),"Tamika Bredt")</f>
        <v>Tamika Bredt</v>
      </c>
      <c r="F90" s="209" t="str">
        <f>IFERROR(__xludf.DUMMYFUNCTION("""COMPUTED_VALUE"""),"Justin Kapilikisha")</f>
        <v>Justin Kapilikisha</v>
      </c>
      <c r="G90" s="209" t="str">
        <f>IFERROR(__xludf.DUMMYFUNCTION("""COMPUTED_VALUE"""),"Tamika Mpho Kumwenda")</f>
        <v>Tamika Mpho Kumwenda</v>
      </c>
      <c r="H90" s="209"/>
      <c r="I90" s="209"/>
      <c r="J90" s="209"/>
      <c r="K90" s="209"/>
      <c r="L90" s="209"/>
      <c r="M90" s="209"/>
      <c r="N90" s="209"/>
      <c r="O90" s="209"/>
      <c r="P90" s="209"/>
      <c r="Q90" s="209"/>
      <c r="R90" s="209"/>
      <c r="S90" s="209"/>
      <c r="T90" s="209"/>
      <c r="U90" s="209"/>
      <c r="V90" s="209"/>
      <c r="W90" s="209"/>
      <c r="X90" s="209"/>
      <c r="Y90" s="209"/>
      <c r="Z90" s="209"/>
      <c r="AA90" s="209"/>
    </row>
    <row r="91">
      <c r="A91" s="441"/>
      <c r="B91" s="440" t="s">
        <v>87</v>
      </c>
      <c r="C91" s="440">
        <f>COUNTIF('IGCSE 2C'!V2:V30,"B")</f>
        <v>1</v>
      </c>
      <c r="D91" s="443" t="str">
        <f>IFERROR(__xludf.DUMMYFUNCTION("TRANSPOSE(FILTER('IGCSE 2C'!B:B, 'IGCSE 2C'!V:V=""B""))"),"Jalal Ossaily")</f>
        <v>Jalal Ossaily</v>
      </c>
      <c r="E91" s="209"/>
      <c r="F91" s="209"/>
      <c r="G91" s="209"/>
      <c r="H91" s="209"/>
      <c r="I91" s="209"/>
      <c r="J91" s="209"/>
      <c r="K91" s="209"/>
      <c r="L91" s="209"/>
      <c r="M91" s="209"/>
      <c r="N91" s="209"/>
      <c r="O91" s="209"/>
      <c r="P91" s="209"/>
      <c r="Q91" s="209"/>
      <c r="R91" s="209"/>
      <c r="S91" s="209"/>
      <c r="T91" s="209"/>
      <c r="U91" s="209"/>
      <c r="V91" s="209"/>
      <c r="W91" s="209"/>
      <c r="X91" s="209"/>
      <c r="Y91" s="209"/>
      <c r="Z91" s="209"/>
      <c r="AA91" s="209"/>
    </row>
    <row r="92">
      <c r="A92" s="441"/>
      <c r="B92" s="440" t="s">
        <v>85</v>
      </c>
      <c r="C92" s="440">
        <f>COUNTIF('IGCSE 2C'!V2:V30,"A")</f>
        <v>0</v>
      </c>
      <c r="D92" s="443" t="str">
        <f>IFERROR(__xludf.DUMMYFUNCTION("TRANSPOSE(FILTER('IGCSE 2C'!B:B, 'IGCSE 2C'!V:V=""A""))"),"#N/A")</f>
        <v>#N/A</v>
      </c>
      <c r="E92" s="209"/>
      <c r="F92" s="209"/>
      <c r="G92" s="209"/>
      <c r="H92" s="209"/>
      <c r="I92" s="209"/>
      <c r="J92" s="209"/>
      <c r="K92" s="209"/>
      <c r="L92" s="209"/>
      <c r="M92" s="209"/>
      <c r="N92" s="209"/>
      <c r="O92" s="209"/>
      <c r="P92" s="209"/>
      <c r="Q92" s="209"/>
      <c r="R92" s="209"/>
      <c r="S92" s="209"/>
      <c r="T92" s="209"/>
      <c r="U92" s="209"/>
      <c r="V92" s="209"/>
      <c r="W92" s="209"/>
      <c r="X92" s="209"/>
      <c r="Y92" s="209"/>
      <c r="Z92" s="209"/>
      <c r="AA92" s="209"/>
    </row>
    <row r="93">
      <c r="A93" s="441"/>
      <c r="B93" s="440" t="s">
        <v>152</v>
      </c>
      <c r="C93" s="440">
        <f>COUNTIF('IGCSE 2C'!V2:V30,"A~*")</f>
        <v>0</v>
      </c>
      <c r="D93" s="443" t="str">
        <f>IFERROR(__xludf.DUMMYFUNCTION("TRANSPOSE(FILTER('IGCSE 2C'!B:B, 'IGCSE 2C'!V:V=""A*""))"),"#N/A")</f>
        <v>#N/A</v>
      </c>
      <c r="E93" s="209"/>
      <c r="F93" s="209"/>
      <c r="G93" s="209"/>
      <c r="H93" s="209"/>
      <c r="I93" s="209"/>
      <c r="J93" s="209"/>
      <c r="K93" s="209"/>
      <c r="L93" s="209"/>
      <c r="M93" s="209"/>
      <c r="N93" s="209"/>
      <c r="O93" s="209"/>
      <c r="P93" s="209"/>
      <c r="Q93" s="209"/>
      <c r="R93" s="209"/>
      <c r="S93" s="209"/>
      <c r="T93" s="209"/>
      <c r="U93" s="209"/>
      <c r="V93" s="209"/>
      <c r="W93" s="209"/>
      <c r="X93" s="209"/>
      <c r="Y93" s="209"/>
      <c r="Z93" s="209"/>
      <c r="AA93" s="209"/>
    </row>
    <row r="94">
      <c r="A94" s="439"/>
      <c r="B94" s="439"/>
      <c r="C94" s="439"/>
    </row>
    <row r="95">
      <c r="A95" s="440" t="s">
        <v>441</v>
      </c>
      <c r="B95" s="440" t="s">
        <v>140</v>
      </c>
      <c r="C95" s="440">
        <f>COUNTIF('IGCSE 2C'!P2:P30,"U")</f>
        <v>13</v>
      </c>
      <c r="D95" s="442" t="str">
        <f>IFERROR(__xludf.DUMMYFUNCTION("TRANSPOSE(FILTER('IGCSE 2C'!B:B, 'IGCSE 2C'!P:P=""U""))"),"Ibrahim Aadil")</f>
        <v>Ibrahim Aadil</v>
      </c>
      <c r="E95" s="209" t="str">
        <f>IFERROR(__xludf.DUMMYFUNCTION("""COMPUTED_VALUE"""),"Ahmad Amin")</f>
        <v>Ahmad Amin</v>
      </c>
      <c r="F95" s="209" t="str">
        <f>IFERROR(__xludf.DUMMYFUNCTION("""COMPUTED_VALUE"""),"Tamika Bredt")</f>
        <v>Tamika Bredt</v>
      </c>
      <c r="G95" s="209" t="str">
        <f>IFERROR(__xludf.DUMMYFUNCTION("""COMPUTED_VALUE"""),"Ahmad Hamir")</f>
        <v>Ahmad Hamir</v>
      </c>
      <c r="H95" s="209" t="str">
        <f>IFERROR(__xludf.DUMMYFUNCTION("""COMPUTED_VALUE"""),"Justin Kapilikisha")</f>
        <v>Justin Kapilikisha</v>
      </c>
      <c r="I95" s="209" t="str">
        <f>IFERROR(__xludf.DUMMYFUNCTION("""COMPUTED_VALUE"""),"Anoushka Kutenha")</f>
        <v>Anoushka Kutenha</v>
      </c>
      <c r="J95" s="209" t="str">
        <f>IFERROR(__xludf.DUMMYFUNCTION("""COMPUTED_VALUE"""),"Tapiwanashe Luwabelwa")</f>
        <v>Tapiwanashe Luwabelwa</v>
      </c>
      <c r="K95" s="209" t="str">
        <f>IFERROR(__xludf.DUMMYFUNCTION("""COMPUTED_VALUE"""),"Ethan Mwansa")</f>
        <v>Ethan Mwansa</v>
      </c>
      <c r="L95" s="209" t="str">
        <f>IFERROR(__xludf.DUMMYFUNCTION("""COMPUTED_VALUE"""),"Denise Mwape")</f>
        <v>Denise Mwape</v>
      </c>
      <c r="M95" s="209" t="str">
        <f>IFERROR(__xludf.DUMMYFUNCTION("""COMPUTED_VALUE"""),"Jalal Ossaily")</f>
        <v>Jalal Ossaily</v>
      </c>
      <c r="N95" s="209" t="str">
        <f>IFERROR(__xludf.DUMMYFUNCTION("""COMPUTED_VALUE"""),"Fatima Patel")</f>
        <v>Fatima Patel</v>
      </c>
      <c r="O95" s="209" t="str">
        <f>IFERROR(__xludf.DUMMYFUNCTION("""COMPUTED_VALUE"""),"Houssien Seblini")</f>
        <v>Houssien Seblini</v>
      </c>
      <c r="P95" s="209"/>
      <c r="Q95" s="209"/>
      <c r="R95" s="209"/>
      <c r="S95" s="209"/>
      <c r="T95" s="209"/>
      <c r="U95" s="209"/>
      <c r="V95" s="209"/>
      <c r="W95" s="209"/>
      <c r="X95" s="209"/>
      <c r="Y95" s="209"/>
      <c r="Z95" s="209"/>
      <c r="AA95" s="209"/>
    </row>
    <row r="96">
      <c r="A96" s="441"/>
      <c r="B96" s="440" t="s">
        <v>142</v>
      </c>
      <c r="C96" s="440">
        <f>COUNTIF('IGCSE 2C'!P2:P30,"G")</f>
        <v>1</v>
      </c>
      <c r="D96" s="443" t="str">
        <f>IFERROR(__xludf.DUMMYFUNCTION("TRANSPOSE(FILTER('IGCSE 2C'!B:B, 'IGCSE 2C'!P:P=""G""))"),"Tamika Mpho Kumwenda")</f>
        <v>Tamika Mpho Kumwenda</v>
      </c>
      <c r="E96" s="209"/>
      <c r="F96" s="209"/>
      <c r="G96" s="209"/>
      <c r="H96" s="209"/>
      <c r="I96" s="209"/>
      <c r="J96" s="209"/>
      <c r="K96" s="209"/>
      <c r="L96" s="209"/>
      <c r="M96" s="209"/>
      <c r="N96" s="209"/>
      <c r="O96" s="209"/>
      <c r="P96" s="209"/>
      <c r="Q96" s="209"/>
      <c r="R96" s="209"/>
      <c r="S96" s="209"/>
      <c r="T96" s="209"/>
      <c r="U96" s="209"/>
      <c r="V96" s="209"/>
      <c r="W96" s="209"/>
      <c r="X96" s="209"/>
      <c r="Y96" s="209"/>
      <c r="Z96" s="209"/>
      <c r="AA96" s="209"/>
    </row>
    <row r="97">
      <c r="A97" s="441"/>
      <c r="B97" s="440" t="s">
        <v>144</v>
      </c>
      <c r="C97" s="440">
        <f>COUNTIF('IGCSE 2C'!P2:P30,"F")</f>
        <v>1</v>
      </c>
      <c r="D97" s="443" t="str">
        <f>IFERROR(__xludf.DUMMYFUNCTION("TRANSPOSE(FILTER('IGCSE 2C'!B:B, 'IGCSE 2C'!P:P=""F""))"),"Victoria Lanyero")</f>
        <v>Victoria Lanyero</v>
      </c>
      <c r="E97" s="209"/>
      <c r="F97" s="209"/>
      <c r="G97" s="209"/>
      <c r="H97" s="209"/>
      <c r="I97" s="209"/>
      <c r="J97" s="209"/>
      <c r="K97" s="209"/>
      <c r="L97" s="209"/>
      <c r="M97" s="209"/>
      <c r="N97" s="209"/>
      <c r="O97" s="209"/>
      <c r="P97" s="209"/>
      <c r="Q97" s="209"/>
      <c r="R97" s="209"/>
      <c r="S97" s="209"/>
      <c r="T97" s="209"/>
      <c r="U97" s="209"/>
      <c r="V97" s="209"/>
      <c r="W97" s="209"/>
      <c r="X97" s="209"/>
      <c r="Y97" s="209"/>
      <c r="Z97" s="209"/>
      <c r="AA97" s="209"/>
    </row>
    <row r="98">
      <c r="A98" s="441"/>
      <c r="B98" s="440" t="s">
        <v>146</v>
      </c>
      <c r="C98" s="440">
        <f>COUNTIF('IGCSE 2C'!P2:P30,"E")</f>
        <v>1</v>
      </c>
      <c r="D98" s="443" t="str">
        <f>IFERROR(__xludf.DUMMYFUNCTION("TRANSPOSE(FILTER('IGCSE 2C'!B:B, 'IGCSE 2C'!P:P=""E""))"),"Choolwe Samboko")</f>
        <v>Choolwe Samboko</v>
      </c>
      <c r="E98" s="209"/>
      <c r="F98" s="209"/>
      <c r="G98" s="209"/>
      <c r="H98" s="209"/>
      <c r="I98" s="209"/>
      <c r="J98" s="209"/>
      <c r="K98" s="209"/>
      <c r="L98" s="209"/>
      <c r="M98" s="209"/>
      <c r="N98" s="209"/>
      <c r="O98" s="209"/>
      <c r="P98" s="209"/>
      <c r="Q98" s="209"/>
      <c r="R98" s="209"/>
      <c r="S98" s="209"/>
      <c r="T98" s="209"/>
      <c r="U98" s="209"/>
      <c r="V98" s="209"/>
      <c r="W98" s="209"/>
      <c r="X98" s="209"/>
      <c r="Y98" s="209"/>
      <c r="Z98" s="209"/>
      <c r="AA98" s="209"/>
    </row>
    <row r="99">
      <c r="A99" s="441"/>
      <c r="B99" s="440" t="s">
        <v>93</v>
      </c>
      <c r="C99" s="440">
        <f>COUNTIF('IGCSE 2C'!P2:P30,"D")</f>
        <v>1</v>
      </c>
      <c r="D99" s="443" t="str">
        <f>IFERROR(__xludf.DUMMYFUNCTION("TRANSPOSE(FILTER('IGCSE 2C'!B:B, 'IGCSE 2C'!P:P=""D""))"),"Nandeka Mwenda")</f>
        <v>Nandeka Mwenda</v>
      </c>
      <c r="E99" s="209"/>
      <c r="F99" s="209"/>
      <c r="G99" s="209"/>
      <c r="H99" s="209"/>
      <c r="I99" s="209"/>
      <c r="J99" s="209"/>
      <c r="K99" s="209"/>
      <c r="L99" s="209"/>
      <c r="M99" s="209"/>
      <c r="N99" s="209"/>
      <c r="O99" s="209"/>
      <c r="P99" s="209"/>
      <c r="Q99" s="209"/>
      <c r="R99" s="209"/>
      <c r="S99" s="209"/>
      <c r="T99" s="209"/>
      <c r="U99" s="209"/>
      <c r="V99" s="209"/>
      <c r="W99" s="209"/>
      <c r="X99" s="209"/>
      <c r="Y99" s="209"/>
      <c r="Z99" s="209"/>
      <c r="AA99" s="209"/>
    </row>
    <row r="100">
      <c r="A100" s="441"/>
      <c r="B100" s="440" t="s">
        <v>90</v>
      </c>
      <c r="C100" s="440">
        <f>COUNTIF('IGCSE 2C'!P2:P30,"C")</f>
        <v>1</v>
      </c>
      <c r="D100" s="443" t="str">
        <f>IFERROR(__xludf.DUMMYFUNCTION("TRANSPOSE(FILTER('IGCSE 2C'!B:B, 'IGCSE 2C'!P:P=""C""))"),"Chibwe Chasaya")</f>
        <v>Chibwe Chasaya</v>
      </c>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c r="AA100" s="209"/>
    </row>
    <row r="101">
      <c r="A101" s="441"/>
      <c r="B101" s="440" t="s">
        <v>87</v>
      </c>
      <c r="C101" s="440">
        <f>COUNTIF('IGCSE 2C'!P2:P30,"B")</f>
        <v>1</v>
      </c>
      <c r="D101" s="443" t="str">
        <f>IFERROR(__xludf.DUMMYFUNCTION("TRANSPOSE(FILTER('IGCSE 2C'!B:B, 'IGCSE 2C'!P:P=""B""))"),"Lukonde Chilufya")</f>
        <v>Lukonde Chilufya</v>
      </c>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c r="AA101" s="209"/>
    </row>
    <row r="102">
      <c r="A102" s="441"/>
      <c r="B102" s="440" t="s">
        <v>85</v>
      </c>
      <c r="C102" s="440">
        <f>COUNTIF('IGCSE 2C'!P2:P30,"A")</f>
        <v>1</v>
      </c>
      <c r="D102" s="443" t="str">
        <f>IFERROR(__xludf.DUMMYFUNCTION("TRANSPOSE(FILTER('IGCSE 2C'!B:B, 'IGCSE 2C'!P:P=""A""))"),"Kelly Chungu")</f>
        <v>Kelly Chungu</v>
      </c>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row>
    <row r="103">
      <c r="A103" s="441"/>
      <c r="B103" s="440" t="s">
        <v>152</v>
      </c>
      <c r="C103" s="440">
        <f>COUNTIF('IGCSE 2C'!P2:P30,"A~*")</f>
        <v>0</v>
      </c>
      <c r="D103" s="443" t="str">
        <f>IFERROR(__xludf.DUMMYFUNCTION("TRANSPOSE(FILTER('IGCSE 2C'!B:B, 'IGCSE 2C'!P:P=""A*""))"),"#N/A")</f>
        <v>#N/A</v>
      </c>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c r="AA103" s="209"/>
    </row>
    <row r="104">
      <c r="A104" s="439"/>
      <c r="B104" s="439"/>
      <c r="C104" s="439"/>
    </row>
    <row r="105">
      <c r="A105" s="439"/>
      <c r="B105" s="439"/>
      <c r="C105" s="439"/>
    </row>
    <row r="106">
      <c r="A106" s="439"/>
      <c r="B106" s="439"/>
      <c r="C106" s="439"/>
    </row>
    <row r="107">
      <c r="A107" s="439"/>
      <c r="B107" s="439"/>
      <c r="C107" s="439"/>
    </row>
    <row r="108">
      <c r="A108" s="439"/>
      <c r="B108" s="439"/>
      <c r="C108" s="439"/>
    </row>
    <row r="109">
      <c r="A109" s="439"/>
      <c r="B109" s="439"/>
      <c r="C109" s="439"/>
    </row>
    <row r="110">
      <c r="A110" s="439"/>
      <c r="B110" s="439"/>
      <c r="C110" s="439"/>
    </row>
    <row r="111">
      <c r="A111" s="439"/>
      <c r="B111" s="439"/>
      <c r="C111" s="439"/>
    </row>
    <row r="112">
      <c r="A112" s="439"/>
      <c r="B112" s="439"/>
      <c r="C112" s="439"/>
    </row>
    <row r="113">
      <c r="A113" s="439"/>
      <c r="B113" s="439"/>
      <c r="C113" s="439"/>
    </row>
    <row r="114">
      <c r="A114" s="439"/>
      <c r="B114" s="439"/>
      <c r="C114" s="439"/>
    </row>
    <row r="115">
      <c r="A115" s="439"/>
      <c r="B115" s="439"/>
      <c r="C115" s="439"/>
    </row>
    <row r="116">
      <c r="A116" s="439"/>
      <c r="B116" s="439"/>
      <c r="C116" s="439"/>
    </row>
    <row r="117">
      <c r="A117" s="439"/>
      <c r="B117" s="439"/>
      <c r="C117" s="439"/>
    </row>
    <row r="118">
      <c r="A118" s="439"/>
      <c r="B118" s="439"/>
      <c r="C118" s="439"/>
    </row>
    <row r="119">
      <c r="A119" s="439"/>
      <c r="B119" s="439"/>
      <c r="C119" s="439"/>
    </row>
    <row r="120">
      <c r="A120" s="439"/>
      <c r="B120" s="439"/>
      <c r="C120" s="439"/>
    </row>
    <row r="121">
      <c r="A121" s="439"/>
      <c r="B121" s="439"/>
      <c r="C121" s="439"/>
    </row>
    <row r="122">
      <c r="A122" s="439"/>
      <c r="B122" s="439"/>
      <c r="C122" s="439"/>
    </row>
    <row r="123">
      <c r="A123" s="439"/>
      <c r="B123" s="439"/>
      <c r="C123" s="439"/>
    </row>
    <row r="124">
      <c r="A124" s="439"/>
      <c r="B124" s="439"/>
      <c r="C124" s="439"/>
    </row>
    <row r="125">
      <c r="A125" s="439"/>
      <c r="B125" s="439"/>
      <c r="C125" s="439"/>
    </row>
    <row r="126">
      <c r="A126" s="439"/>
      <c r="B126" s="439"/>
      <c r="C126" s="439"/>
    </row>
    <row r="127">
      <c r="A127" s="439"/>
      <c r="B127" s="439"/>
      <c r="C127" s="439"/>
    </row>
    <row r="128">
      <c r="A128" s="439"/>
      <c r="B128" s="439"/>
      <c r="C128" s="439"/>
    </row>
    <row r="129">
      <c r="A129" s="439"/>
      <c r="B129" s="439"/>
      <c r="C129" s="439"/>
    </row>
    <row r="130">
      <c r="A130" s="439"/>
      <c r="B130" s="439"/>
      <c r="C130" s="439"/>
    </row>
    <row r="131">
      <c r="A131" s="439"/>
      <c r="B131" s="439"/>
      <c r="C131" s="439"/>
    </row>
    <row r="132">
      <c r="A132" s="439"/>
      <c r="B132" s="439"/>
      <c r="C132" s="439"/>
    </row>
    <row r="133">
      <c r="A133" s="439"/>
      <c r="B133" s="439"/>
      <c r="C133" s="439"/>
    </row>
    <row r="134">
      <c r="A134" s="439"/>
      <c r="B134" s="439"/>
      <c r="C134" s="439"/>
    </row>
    <row r="135">
      <c r="A135" s="439"/>
      <c r="B135" s="439"/>
      <c r="C135" s="439"/>
    </row>
    <row r="136">
      <c r="A136" s="439"/>
      <c r="B136" s="439"/>
      <c r="C136" s="439"/>
    </row>
    <row r="137">
      <c r="A137" s="439"/>
      <c r="B137" s="439"/>
      <c r="C137" s="439"/>
    </row>
    <row r="138">
      <c r="A138" s="439"/>
      <c r="B138" s="439"/>
      <c r="C138" s="439"/>
    </row>
    <row r="139">
      <c r="A139" s="439"/>
      <c r="B139" s="439"/>
      <c r="C139" s="439"/>
    </row>
    <row r="140">
      <c r="A140" s="439"/>
      <c r="B140" s="439"/>
      <c r="C140" s="439"/>
    </row>
    <row r="141">
      <c r="A141" s="439"/>
      <c r="B141" s="439"/>
      <c r="C141" s="439"/>
    </row>
    <row r="142">
      <c r="A142" s="439"/>
      <c r="B142" s="439"/>
      <c r="C142" s="439"/>
    </row>
    <row r="143">
      <c r="A143" s="439"/>
      <c r="B143" s="439"/>
      <c r="C143" s="439"/>
    </row>
    <row r="144">
      <c r="A144" s="439"/>
      <c r="B144" s="439"/>
      <c r="C144" s="439"/>
    </row>
    <row r="145">
      <c r="A145" s="439"/>
      <c r="B145" s="439"/>
      <c r="C145" s="439"/>
    </row>
    <row r="146">
      <c r="A146" s="439"/>
      <c r="B146" s="439"/>
      <c r="C146" s="439"/>
    </row>
    <row r="147">
      <c r="A147" s="439"/>
      <c r="B147" s="439"/>
      <c r="C147" s="439"/>
    </row>
    <row r="148">
      <c r="A148" s="439"/>
      <c r="B148" s="439"/>
      <c r="C148" s="439"/>
    </row>
    <row r="149">
      <c r="A149" s="439"/>
      <c r="B149" s="439"/>
      <c r="C149" s="439"/>
    </row>
    <row r="150">
      <c r="A150" s="439"/>
      <c r="B150" s="439"/>
      <c r="C150" s="439"/>
    </row>
    <row r="151">
      <c r="A151" s="439"/>
      <c r="B151" s="439"/>
      <c r="C151" s="439"/>
    </row>
    <row r="152">
      <c r="A152" s="439"/>
      <c r="B152" s="439"/>
      <c r="C152" s="439"/>
    </row>
    <row r="153">
      <c r="A153" s="439"/>
      <c r="B153" s="439"/>
      <c r="C153" s="439"/>
    </row>
    <row r="154">
      <c r="A154" s="439"/>
      <c r="B154" s="439"/>
      <c r="C154" s="439"/>
    </row>
    <row r="155">
      <c r="A155" s="439"/>
      <c r="B155" s="439"/>
      <c r="C155" s="439"/>
    </row>
    <row r="156">
      <c r="A156" s="439"/>
      <c r="B156" s="439"/>
      <c r="C156" s="439"/>
    </row>
    <row r="157">
      <c r="A157" s="439"/>
      <c r="B157" s="439"/>
      <c r="C157" s="439"/>
    </row>
    <row r="158">
      <c r="A158" s="439"/>
      <c r="B158" s="439"/>
      <c r="C158" s="439"/>
    </row>
    <row r="159">
      <c r="A159" s="439"/>
      <c r="B159" s="439"/>
      <c r="C159" s="439"/>
    </row>
    <row r="160">
      <c r="A160" s="439"/>
      <c r="B160" s="439"/>
      <c r="C160" s="439"/>
    </row>
    <row r="161">
      <c r="A161" s="439"/>
      <c r="B161" s="439"/>
      <c r="C161" s="439"/>
    </row>
    <row r="162">
      <c r="A162" s="439"/>
      <c r="B162" s="439"/>
      <c r="C162" s="439"/>
    </row>
    <row r="163">
      <c r="A163" s="439"/>
      <c r="B163" s="439"/>
      <c r="C163" s="439"/>
    </row>
    <row r="164">
      <c r="A164" s="439"/>
      <c r="B164" s="439"/>
      <c r="C164" s="439"/>
    </row>
    <row r="165">
      <c r="A165" s="439"/>
      <c r="B165" s="439"/>
      <c r="C165" s="439"/>
    </row>
    <row r="166">
      <c r="A166" s="439"/>
      <c r="B166" s="439"/>
      <c r="C166" s="439"/>
    </row>
    <row r="167">
      <c r="A167" s="439"/>
      <c r="B167" s="439"/>
      <c r="C167" s="439"/>
    </row>
    <row r="168">
      <c r="A168" s="439"/>
      <c r="B168" s="439"/>
      <c r="C168" s="439"/>
    </row>
    <row r="169">
      <c r="A169" s="439"/>
      <c r="B169" s="439"/>
      <c r="C169" s="439"/>
    </row>
    <row r="170">
      <c r="A170" s="439"/>
      <c r="B170" s="439"/>
      <c r="C170" s="439"/>
    </row>
    <row r="171">
      <c r="A171" s="439"/>
      <c r="B171" s="439"/>
      <c r="C171" s="439"/>
    </row>
    <row r="172">
      <c r="A172" s="439"/>
      <c r="B172" s="439"/>
      <c r="C172" s="439"/>
    </row>
    <row r="173">
      <c r="A173" s="439"/>
      <c r="B173" s="439"/>
      <c r="C173" s="439"/>
    </row>
    <row r="174">
      <c r="A174" s="439"/>
      <c r="B174" s="439"/>
      <c r="C174" s="439"/>
    </row>
    <row r="175">
      <c r="A175" s="439"/>
      <c r="B175" s="439"/>
      <c r="C175" s="439"/>
    </row>
    <row r="176">
      <c r="A176" s="439"/>
      <c r="B176" s="439"/>
      <c r="C176" s="439"/>
    </row>
    <row r="177">
      <c r="A177" s="439"/>
      <c r="B177" s="439"/>
      <c r="C177" s="439"/>
    </row>
    <row r="178">
      <c r="A178" s="439"/>
      <c r="B178" s="439"/>
      <c r="C178" s="439"/>
    </row>
    <row r="179">
      <c r="A179" s="439"/>
      <c r="B179" s="439"/>
      <c r="C179" s="439"/>
    </row>
    <row r="180">
      <c r="A180" s="439"/>
      <c r="B180" s="439"/>
      <c r="C180" s="439"/>
    </row>
    <row r="181">
      <c r="A181" s="439"/>
      <c r="B181" s="439"/>
      <c r="C181" s="439"/>
    </row>
    <row r="182">
      <c r="A182" s="439"/>
      <c r="B182" s="439"/>
      <c r="C182" s="439"/>
    </row>
    <row r="183">
      <c r="A183" s="439"/>
      <c r="B183" s="439"/>
      <c r="C183" s="439"/>
    </row>
    <row r="184">
      <c r="A184" s="439"/>
      <c r="B184" s="439"/>
      <c r="C184" s="439"/>
    </row>
    <row r="185">
      <c r="A185" s="439"/>
      <c r="B185" s="439"/>
      <c r="C185" s="439"/>
    </row>
    <row r="186">
      <c r="A186" s="439"/>
      <c r="B186" s="439"/>
      <c r="C186" s="439"/>
    </row>
    <row r="187">
      <c r="A187" s="439"/>
      <c r="B187" s="439"/>
      <c r="C187" s="439"/>
    </row>
    <row r="188">
      <c r="A188" s="439"/>
      <c r="B188" s="439"/>
      <c r="C188" s="439"/>
    </row>
    <row r="189">
      <c r="A189" s="439"/>
      <c r="B189" s="439"/>
      <c r="C189" s="439"/>
    </row>
    <row r="190">
      <c r="A190" s="439"/>
      <c r="B190" s="439"/>
      <c r="C190" s="439"/>
    </row>
    <row r="191">
      <c r="A191" s="439"/>
      <c r="B191" s="439"/>
      <c r="C191" s="439"/>
    </row>
    <row r="192">
      <c r="A192" s="439"/>
      <c r="B192" s="439"/>
      <c r="C192" s="439"/>
    </row>
    <row r="193">
      <c r="A193" s="439"/>
      <c r="B193" s="439"/>
      <c r="C193" s="439"/>
    </row>
    <row r="194">
      <c r="A194" s="439"/>
      <c r="B194" s="439"/>
      <c r="C194" s="439"/>
    </row>
    <row r="195">
      <c r="A195" s="439"/>
      <c r="B195" s="439"/>
      <c r="C195" s="439"/>
    </row>
    <row r="196">
      <c r="A196" s="439"/>
      <c r="B196" s="439"/>
      <c r="C196" s="439"/>
    </row>
    <row r="197">
      <c r="A197" s="439"/>
      <c r="B197" s="439"/>
      <c r="C197" s="439"/>
    </row>
    <row r="198">
      <c r="A198" s="439"/>
      <c r="B198" s="439"/>
      <c r="C198" s="439"/>
    </row>
    <row r="199">
      <c r="A199" s="439"/>
      <c r="B199" s="439"/>
      <c r="C199" s="439"/>
    </row>
    <row r="200">
      <c r="A200" s="439"/>
      <c r="B200" s="439"/>
      <c r="C200" s="439"/>
    </row>
    <row r="201">
      <c r="A201" s="439"/>
      <c r="B201" s="439"/>
      <c r="C201" s="439"/>
    </row>
    <row r="202">
      <c r="A202" s="439"/>
      <c r="B202" s="439"/>
      <c r="C202" s="439"/>
    </row>
    <row r="203">
      <c r="A203" s="439"/>
      <c r="B203" s="439"/>
      <c r="C203" s="439"/>
    </row>
    <row r="204">
      <c r="A204" s="439"/>
      <c r="B204" s="439"/>
      <c r="C204" s="439"/>
    </row>
    <row r="205">
      <c r="A205" s="439"/>
      <c r="B205" s="439"/>
      <c r="C205" s="439"/>
    </row>
    <row r="206">
      <c r="A206" s="439"/>
      <c r="B206" s="439"/>
      <c r="C206" s="439"/>
    </row>
    <row r="207">
      <c r="A207" s="439"/>
      <c r="B207" s="439"/>
      <c r="C207" s="439"/>
    </row>
    <row r="208">
      <c r="A208" s="439"/>
      <c r="B208" s="439"/>
      <c r="C208" s="439"/>
    </row>
    <row r="209">
      <c r="A209" s="439"/>
      <c r="B209" s="439"/>
      <c r="C209" s="439"/>
    </row>
    <row r="210">
      <c r="A210" s="439"/>
      <c r="B210" s="439"/>
      <c r="C210" s="439"/>
    </row>
    <row r="211">
      <c r="A211" s="439"/>
      <c r="B211" s="439"/>
      <c r="C211" s="439"/>
    </row>
    <row r="212">
      <c r="A212" s="439"/>
      <c r="B212" s="439"/>
      <c r="C212" s="439"/>
    </row>
    <row r="213">
      <c r="A213" s="439"/>
      <c r="B213" s="439"/>
      <c r="C213" s="439"/>
    </row>
    <row r="214">
      <c r="A214" s="439"/>
      <c r="B214" s="439"/>
      <c r="C214" s="439"/>
    </row>
    <row r="215">
      <c r="A215" s="439"/>
      <c r="B215" s="439"/>
      <c r="C215" s="439"/>
    </row>
    <row r="216">
      <c r="A216" s="439"/>
      <c r="B216" s="439"/>
      <c r="C216" s="439"/>
    </row>
    <row r="217">
      <c r="A217" s="439"/>
      <c r="B217" s="439"/>
      <c r="C217" s="439"/>
    </row>
    <row r="218">
      <c r="A218" s="439"/>
      <c r="B218" s="439"/>
      <c r="C218" s="439"/>
    </row>
    <row r="219">
      <c r="A219" s="439"/>
      <c r="B219" s="439"/>
      <c r="C219" s="439"/>
    </row>
    <row r="220">
      <c r="A220" s="439"/>
      <c r="B220" s="439"/>
      <c r="C220" s="439"/>
    </row>
    <row r="221">
      <c r="A221" s="439"/>
      <c r="B221" s="439"/>
      <c r="C221" s="439"/>
    </row>
    <row r="222">
      <c r="A222" s="439"/>
      <c r="B222" s="439"/>
      <c r="C222" s="439"/>
    </row>
    <row r="223">
      <c r="A223" s="439"/>
      <c r="B223" s="439"/>
      <c r="C223" s="439"/>
    </row>
    <row r="224">
      <c r="A224" s="439"/>
      <c r="B224" s="439"/>
      <c r="C224" s="439"/>
    </row>
    <row r="225">
      <c r="A225" s="439"/>
      <c r="B225" s="439"/>
      <c r="C225" s="439"/>
    </row>
    <row r="226">
      <c r="A226" s="439"/>
      <c r="B226" s="439"/>
      <c r="C226" s="439"/>
    </row>
    <row r="227">
      <c r="A227" s="439"/>
      <c r="B227" s="439"/>
      <c r="C227" s="439"/>
    </row>
    <row r="228">
      <c r="A228" s="439"/>
      <c r="B228" s="439"/>
      <c r="C228" s="439"/>
    </row>
    <row r="229">
      <c r="A229" s="439"/>
      <c r="B229" s="439"/>
      <c r="C229" s="439"/>
    </row>
    <row r="230">
      <c r="A230" s="439"/>
      <c r="B230" s="439"/>
      <c r="C230" s="439"/>
    </row>
    <row r="231">
      <c r="A231" s="439"/>
      <c r="B231" s="439"/>
      <c r="C231" s="439"/>
    </row>
    <row r="232">
      <c r="A232" s="439"/>
      <c r="B232" s="439"/>
      <c r="C232" s="439"/>
    </row>
    <row r="233">
      <c r="A233" s="439"/>
      <c r="B233" s="439"/>
      <c r="C233" s="439"/>
    </row>
    <row r="234">
      <c r="A234" s="439"/>
      <c r="B234" s="439"/>
      <c r="C234" s="439"/>
    </row>
    <row r="235">
      <c r="A235" s="439"/>
      <c r="B235" s="439"/>
      <c r="C235" s="439"/>
    </row>
    <row r="236">
      <c r="A236" s="439"/>
      <c r="B236" s="439"/>
      <c r="C236" s="439"/>
    </row>
    <row r="237">
      <c r="A237" s="439"/>
      <c r="B237" s="439"/>
      <c r="C237" s="439"/>
    </row>
    <row r="238">
      <c r="A238" s="439"/>
      <c r="B238" s="439"/>
      <c r="C238" s="439"/>
    </row>
    <row r="239">
      <c r="A239" s="439"/>
      <c r="B239" s="439"/>
      <c r="C239" s="439"/>
    </row>
    <row r="240">
      <c r="A240" s="439"/>
      <c r="B240" s="439"/>
      <c r="C240" s="439"/>
    </row>
    <row r="241">
      <c r="A241" s="439"/>
      <c r="B241" s="439"/>
      <c r="C241" s="439"/>
    </row>
    <row r="242">
      <c r="A242" s="439"/>
      <c r="B242" s="439"/>
      <c r="C242" s="439"/>
    </row>
    <row r="243">
      <c r="A243" s="439"/>
      <c r="B243" s="439"/>
      <c r="C243" s="439"/>
    </row>
    <row r="244">
      <c r="A244" s="439"/>
      <c r="B244" s="439"/>
      <c r="C244" s="439"/>
    </row>
    <row r="245">
      <c r="A245" s="439"/>
      <c r="B245" s="439"/>
      <c r="C245" s="439"/>
    </row>
    <row r="246">
      <c r="A246" s="439"/>
      <c r="B246" s="439"/>
      <c r="C246" s="439"/>
    </row>
    <row r="247">
      <c r="A247" s="439"/>
      <c r="B247" s="439"/>
      <c r="C247" s="439"/>
    </row>
    <row r="248">
      <c r="A248" s="439"/>
      <c r="B248" s="439"/>
      <c r="C248" s="439"/>
    </row>
    <row r="249">
      <c r="A249" s="439"/>
      <c r="B249" s="439"/>
      <c r="C249" s="439"/>
    </row>
    <row r="250">
      <c r="A250" s="439"/>
      <c r="B250" s="439"/>
      <c r="C250" s="439"/>
    </row>
    <row r="251">
      <c r="A251" s="439"/>
      <c r="B251" s="439"/>
      <c r="C251" s="439"/>
    </row>
    <row r="252">
      <c r="A252" s="439"/>
      <c r="B252" s="439"/>
      <c r="C252" s="439"/>
    </row>
    <row r="253">
      <c r="A253" s="439"/>
      <c r="B253" s="439"/>
      <c r="C253" s="439"/>
    </row>
    <row r="254">
      <c r="A254" s="439"/>
      <c r="B254" s="439"/>
      <c r="C254" s="439"/>
    </row>
    <row r="255">
      <c r="A255" s="439"/>
      <c r="B255" s="439"/>
      <c r="C255" s="439"/>
    </row>
    <row r="256">
      <c r="A256" s="439"/>
      <c r="B256" s="439"/>
      <c r="C256" s="439"/>
    </row>
    <row r="257">
      <c r="A257" s="439"/>
      <c r="B257" s="439"/>
      <c r="C257" s="439"/>
    </row>
    <row r="258">
      <c r="A258" s="439"/>
      <c r="B258" s="439"/>
      <c r="C258" s="439"/>
    </row>
    <row r="259">
      <c r="A259" s="439"/>
      <c r="B259" s="439"/>
      <c r="C259" s="439"/>
    </row>
    <row r="260">
      <c r="A260" s="439"/>
      <c r="B260" s="439"/>
      <c r="C260" s="439"/>
    </row>
    <row r="261">
      <c r="A261" s="439"/>
      <c r="B261" s="439"/>
      <c r="C261" s="439"/>
    </row>
    <row r="262">
      <c r="A262" s="439"/>
      <c r="B262" s="439"/>
      <c r="C262" s="439"/>
    </row>
    <row r="263">
      <c r="A263" s="439"/>
      <c r="B263" s="439"/>
      <c r="C263" s="439"/>
    </row>
    <row r="264">
      <c r="A264" s="439"/>
      <c r="B264" s="439"/>
      <c r="C264" s="439"/>
    </row>
    <row r="265">
      <c r="A265" s="439"/>
      <c r="B265" s="439"/>
      <c r="C265" s="439"/>
    </row>
    <row r="266">
      <c r="A266" s="439"/>
      <c r="B266" s="439"/>
      <c r="C266" s="439"/>
    </row>
    <row r="267">
      <c r="A267" s="439"/>
      <c r="B267" s="439"/>
      <c r="C267" s="439"/>
    </row>
    <row r="268">
      <c r="A268" s="439"/>
      <c r="B268" s="439"/>
      <c r="C268" s="439"/>
    </row>
    <row r="269">
      <c r="A269" s="439"/>
      <c r="B269" s="439"/>
      <c r="C269" s="439"/>
    </row>
    <row r="270">
      <c r="A270" s="439"/>
      <c r="B270" s="439"/>
      <c r="C270" s="439"/>
    </row>
    <row r="271">
      <c r="A271" s="439"/>
      <c r="B271" s="439"/>
      <c r="C271" s="439"/>
    </row>
    <row r="272">
      <c r="A272" s="439"/>
      <c r="B272" s="439"/>
      <c r="C272" s="439"/>
    </row>
    <row r="273">
      <c r="A273" s="439"/>
      <c r="B273" s="439"/>
      <c r="C273" s="439"/>
    </row>
    <row r="274">
      <c r="A274" s="439"/>
      <c r="B274" s="439"/>
      <c r="C274" s="439"/>
    </row>
    <row r="275">
      <c r="A275" s="439"/>
      <c r="B275" s="439"/>
      <c r="C275" s="439"/>
    </row>
    <row r="276">
      <c r="A276" s="439"/>
      <c r="B276" s="439"/>
      <c r="C276" s="439"/>
    </row>
    <row r="277">
      <c r="A277" s="439"/>
      <c r="B277" s="439"/>
      <c r="C277" s="439"/>
    </row>
    <row r="278">
      <c r="A278" s="439"/>
      <c r="B278" s="439"/>
      <c r="C278" s="439"/>
    </row>
    <row r="279">
      <c r="A279" s="439"/>
      <c r="B279" s="439"/>
      <c r="C279" s="439"/>
    </row>
    <row r="280">
      <c r="A280" s="439"/>
      <c r="B280" s="439"/>
      <c r="C280" s="439"/>
    </row>
    <row r="281">
      <c r="A281" s="439"/>
      <c r="B281" s="439"/>
      <c r="C281" s="439"/>
    </row>
    <row r="282">
      <c r="A282" s="439"/>
      <c r="B282" s="439"/>
      <c r="C282" s="439"/>
    </row>
    <row r="283">
      <c r="A283" s="439"/>
      <c r="B283" s="439"/>
      <c r="C283" s="439"/>
    </row>
    <row r="284">
      <c r="A284" s="439"/>
      <c r="B284" s="439"/>
      <c r="C284" s="439"/>
    </row>
    <row r="285">
      <c r="A285" s="439"/>
      <c r="B285" s="439"/>
      <c r="C285" s="439"/>
    </row>
    <row r="286">
      <c r="A286" s="439"/>
      <c r="B286" s="439"/>
      <c r="C286" s="439"/>
    </row>
    <row r="287">
      <c r="A287" s="439"/>
      <c r="B287" s="439"/>
      <c r="C287" s="439"/>
    </row>
    <row r="288">
      <c r="A288" s="439"/>
      <c r="B288" s="439"/>
      <c r="C288" s="439"/>
    </row>
    <row r="289">
      <c r="A289" s="439"/>
      <c r="B289" s="439"/>
      <c r="C289" s="439"/>
    </row>
    <row r="290">
      <c r="A290" s="439"/>
      <c r="B290" s="439"/>
      <c r="C290" s="439"/>
    </row>
    <row r="291">
      <c r="A291" s="439"/>
      <c r="B291" s="439"/>
      <c r="C291" s="439"/>
    </row>
    <row r="292">
      <c r="A292" s="439"/>
      <c r="B292" s="439"/>
      <c r="C292" s="439"/>
    </row>
    <row r="293">
      <c r="A293" s="439"/>
      <c r="B293" s="439"/>
      <c r="C293" s="439"/>
    </row>
    <row r="294">
      <c r="A294" s="439"/>
      <c r="B294" s="439"/>
      <c r="C294" s="439"/>
    </row>
    <row r="295">
      <c r="A295" s="439"/>
      <c r="B295" s="439"/>
      <c r="C295" s="439"/>
    </row>
    <row r="296">
      <c r="A296" s="439"/>
      <c r="B296" s="439"/>
      <c r="C296" s="439"/>
    </row>
    <row r="297">
      <c r="A297" s="439"/>
      <c r="B297" s="439"/>
      <c r="C297" s="439"/>
    </row>
    <row r="298">
      <c r="A298" s="439"/>
      <c r="B298" s="439"/>
      <c r="C298" s="439"/>
    </row>
    <row r="299">
      <c r="A299" s="439"/>
      <c r="B299" s="439"/>
      <c r="C299" s="439"/>
    </row>
    <row r="300">
      <c r="A300" s="439"/>
      <c r="B300" s="439"/>
      <c r="C300" s="439"/>
    </row>
    <row r="301">
      <c r="A301" s="439"/>
      <c r="B301" s="439"/>
      <c r="C301" s="439"/>
    </row>
    <row r="302">
      <c r="A302" s="439"/>
      <c r="B302" s="439"/>
      <c r="C302" s="439"/>
    </row>
    <row r="303">
      <c r="A303" s="439"/>
      <c r="B303" s="439"/>
      <c r="C303" s="439"/>
    </row>
    <row r="304">
      <c r="A304" s="439"/>
      <c r="B304" s="439"/>
      <c r="C304" s="439"/>
    </row>
    <row r="305">
      <c r="A305" s="439"/>
      <c r="B305" s="439"/>
      <c r="C305" s="439"/>
    </row>
    <row r="306">
      <c r="A306" s="439"/>
      <c r="B306" s="439"/>
      <c r="C306" s="439"/>
    </row>
    <row r="307">
      <c r="A307" s="439"/>
      <c r="B307" s="439"/>
      <c r="C307" s="439"/>
    </row>
    <row r="308">
      <c r="A308" s="439"/>
      <c r="B308" s="439"/>
      <c r="C308" s="439"/>
    </row>
    <row r="309">
      <c r="A309" s="439"/>
      <c r="B309" s="439"/>
      <c r="C309" s="439"/>
    </row>
    <row r="310">
      <c r="A310" s="439"/>
      <c r="B310" s="439"/>
      <c r="C310" s="439"/>
    </row>
    <row r="311">
      <c r="A311" s="439"/>
      <c r="B311" s="439"/>
      <c r="C311" s="439"/>
    </row>
    <row r="312">
      <c r="A312" s="439"/>
      <c r="B312" s="439"/>
      <c r="C312" s="439"/>
    </row>
    <row r="313">
      <c r="A313" s="439"/>
      <c r="B313" s="439"/>
      <c r="C313" s="439"/>
    </row>
    <row r="314">
      <c r="A314" s="439"/>
      <c r="B314" s="439"/>
      <c r="C314" s="439"/>
    </row>
    <row r="315">
      <c r="A315" s="439"/>
      <c r="B315" s="439"/>
      <c r="C315" s="439"/>
    </row>
    <row r="316">
      <c r="A316" s="439"/>
      <c r="B316" s="439"/>
      <c r="C316" s="439"/>
    </row>
    <row r="317">
      <c r="A317" s="439"/>
      <c r="B317" s="439"/>
      <c r="C317" s="439"/>
    </row>
    <row r="318">
      <c r="A318" s="439"/>
      <c r="B318" s="439"/>
      <c r="C318" s="439"/>
    </row>
    <row r="319">
      <c r="A319" s="439"/>
      <c r="B319" s="439"/>
      <c r="C319" s="439"/>
    </row>
    <row r="320">
      <c r="A320" s="439"/>
      <c r="B320" s="439"/>
      <c r="C320" s="439"/>
    </row>
    <row r="321">
      <c r="A321" s="439"/>
      <c r="B321" s="439"/>
      <c r="C321" s="439"/>
    </row>
    <row r="322">
      <c r="A322" s="439"/>
      <c r="B322" s="439"/>
      <c r="C322" s="439"/>
    </row>
    <row r="323">
      <c r="A323" s="439"/>
      <c r="B323" s="439"/>
      <c r="C323" s="439"/>
    </row>
    <row r="324">
      <c r="A324" s="439"/>
      <c r="B324" s="439"/>
      <c r="C324" s="439"/>
    </row>
    <row r="325">
      <c r="A325" s="439"/>
      <c r="B325" s="439"/>
      <c r="C325" s="439"/>
    </row>
    <row r="326">
      <c r="A326" s="439"/>
      <c r="B326" s="439"/>
      <c r="C326" s="439"/>
    </row>
    <row r="327">
      <c r="A327" s="439"/>
      <c r="B327" s="439"/>
      <c r="C327" s="439"/>
    </row>
    <row r="328">
      <c r="A328" s="439"/>
      <c r="B328" s="439"/>
      <c r="C328" s="439"/>
    </row>
    <row r="329">
      <c r="A329" s="439"/>
      <c r="B329" s="439"/>
      <c r="C329" s="439"/>
    </row>
    <row r="330">
      <c r="A330" s="439"/>
      <c r="B330" s="439"/>
      <c r="C330" s="439"/>
    </row>
    <row r="331">
      <c r="A331" s="439"/>
      <c r="B331" s="439"/>
      <c r="C331" s="439"/>
    </row>
    <row r="332">
      <c r="A332" s="439"/>
      <c r="B332" s="439"/>
      <c r="C332" s="439"/>
    </row>
    <row r="333">
      <c r="A333" s="439"/>
      <c r="B333" s="439"/>
      <c r="C333" s="439"/>
    </row>
    <row r="334">
      <c r="A334" s="439"/>
      <c r="B334" s="439"/>
      <c r="C334" s="439"/>
    </row>
    <row r="335">
      <c r="A335" s="439"/>
      <c r="B335" s="439"/>
      <c r="C335" s="439"/>
    </row>
    <row r="336">
      <c r="A336" s="439"/>
      <c r="B336" s="439"/>
      <c r="C336" s="439"/>
    </row>
    <row r="337">
      <c r="A337" s="439"/>
      <c r="B337" s="439"/>
      <c r="C337" s="439"/>
    </row>
    <row r="338">
      <c r="A338" s="439"/>
      <c r="B338" s="439"/>
      <c r="C338" s="439"/>
    </row>
    <row r="339">
      <c r="A339" s="439"/>
      <c r="B339" s="439"/>
      <c r="C339" s="439"/>
    </row>
    <row r="340">
      <c r="A340" s="439"/>
      <c r="B340" s="439"/>
      <c r="C340" s="439"/>
    </row>
    <row r="341">
      <c r="A341" s="439"/>
      <c r="B341" s="439"/>
      <c r="C341" s="439"/>
    </row>
    <row r="342">
      <c r="A342" s="439"/>
      <c r="B342" s="439"/>
      <c r="C342" s="439"/>
    </row>
    <row r="343">
      <c r="A343" s="439"/>
      <c r="B343" s="439"/>
      <c r="C343" s="439"/>
    </row>
    <row r="344">
      <c r="A344" s="439"/>
      <c r="B344" s="439"/>
      <c r="C344" s="439"/>
    </row>
    <row r="345">
      <c r="A345" s="439"/>
      <c r="B345" s="439"/>
      <c r="C345" s="439"/>
    </row>
    <row r="346">
      <c r="A346" s="439"/>
      <c r="B346" s="439"/>
      <c r="C346" s="439"/>
    </row>
    <row r="347">
      <c r="A347" s="439"/>
      <c r="B347" s="439"/>
      <c r="C347" s="439"/>
    </row>
    <row r="348">
      <c r="A348" s="439"/>
      <c r="B348" s="439"/>
      <c r="C348" s="439"/>
    </row>
    <row r="349">
      <c r="A349" s="439"/>
      <c r="B349" s="439"/>
      <c r="C349" s="439"/>
    </row>
    <row r="350">
      <c r="A350" s="439"/>
      <c r="B350" s="439"/>
      <c r="C350" s="439"/>
    </row>
    <row r="351">
      <c r="A351" s="439"/>
      <c r="B351" s="439"/>
      <c r="C351" s="439"/>
    </row>
    <row r="352">
      <c r="A352" s="439"/>
      <c r="B352" s="439"/>
      <c r="C352" s="439"/>
    </row>
    <row r="353">
      <c r="A353" s="439"/>
      <c r="B353" s="439"/>
      <c r="C353" s="439"/>
    </row>
    <row r="354">
      <c r="A354" s="439"/>
      <c r="B354" s="439"/>
      <c r="C354" s="439"/>
    </row>
    <row r="355">
      <c r="A355" s="439"/>
      <c r="B355" s="439"/>
      <c r="C355" s="439"/>
    </row>
    <row r="356">
      <c r="A356" s="439"/>
      <c r="B356" s="439"/>
      <c r="C356" s="439"/>
    </row>
    <row r="357">
      <c r="A357" s="439"/>
      <c r="B357" s="439"/>
      <c r="C357" s="439"/>
    </row>
    <row r="358">
      <c r="A358" s="439"/>
      <c r="B358" s="439"/>
      <c r="C358" s="439"/>
    </row>
    <row r="359">
      <c r="A359" s="439"/>
      <c r="B359" s="439"/>
      <c r="C359" s="439"/>
    </row>
    <row r="360">
      <c r="A360" s="439"/>
      <c r="B360" s="439"/>
      <c r="C360" s="439"/>
    </row>
    <row r="361">
      <c r="A361" s="439"/>
      <c r="B361" s="439"/>
      <c r="C361" s="439"/>
    </row>
    <row r="362">
      <c r="A362" s="439"/>
      <c r="B362" s="439"/>
      <c r="C362" s="439"/>
    </row>
    <row r="363">
      <c r="A363" s="439"/>
      <c r="B363" s="439"/>
      <c r="C363" s="439"/>
    </row>
    <row r="364">
      <c r="A364" s="439"/>
      <c r="B364" s="439"/>
      <c r="C364" s="439"/>
    </row>
    <row r="365">
      <c r="A365" s="439"/>
      <c r="B365" s="439"/>
      <c r="C365" s="439"/>
    </row>
    <row r="366">
      <c r="A366" s="439"/>
      <c r="B366" s="439"/>
      <c r="C366" s="439"/>
    </row>
    <row r="367">
      <c r="A367" s="439"/>
      <c r="B367" s="439"/>
      <c r="C367" s="439"/>
    </row>
    <row r="368">
      <c r="A368" s="439"/>
      <c r="B368" s="439"/>
      <c r="C368" s="439"/>
    </row>
    <row r="369">
      <c r="A369" s="439"/>
      <c r="B369" s="439"/>
      <c r="C369" s="439"/>
    </row>
    <row r="370">
      <c r="A370" s="439"/>
      <c r="B370" s="439"/>
      <c r="C370" s="439"/>
    </row>
    <row r="371">
      <c r="A371" s="439"/>
      <c r="B371" s="439"/>
      <c r="C371" s="439"/>
    </row>
    <row r="372">
      <c r="A372" s="439"/>
      <c r="B372" s="439"/>
      <c r="C372" s="439"/>
    </row>
    <row r="373">
      <c r="A373" s="439"/>
      <c r="B373" s="439"/>
      <c r="C373" s="439"/>
    </row>
    <row r="374">
      <c r="A374" s="439"/>
      <c r="B374" s="439"/>
      <c r="C374" s="439"/>
    </row>
    <row r="375">
      <c r="A375" s="439"/>
      <c r="B375" s="439"/>
      <c r="C375" s="439"/>
    </row>
    <row r="376">
      <c r="A376" s="439"/>
      <c r="B376" s="439"/>
      <c r="C376" s="439"/>
    </row>
    <row r="377">
      <c r="A377" s="439"/>
      <c r="B377" s="439"/>
      <c r="C377" s="439"/>
    </row>
    <row r="378">
      <c r="A378" s="439"/>
      <c r="B378" s="439"/>
      <c r="C378" s="439"/>
    </row>
    <row r="379">
      <c r="A379" s="439"/>
      <c r="B379" s="439"/>
      <c r="C379" s="439"/>
    </row>
    <row r="380">
      <c r="A380" s="439"/>
      <c r="B380" s="439"/>
      <c r="C380" s="439"/>
    </row>
    <row r="381">
      <c r="A381" s="439"/>
      <c r="B381" s="439"/>
      <c r="C381" s="439"/>
    </row>
    <row r="382">
      <c r="A382" s="439"/>
      <c r="B382" s="439"/>
      <c r="C382" s="439"/>
    </row>
    <row r="383">
      <c r="A383" s="439"/>
      <c r="B383" s="439"/>
      <c r="C383" s="439"/>
    </row>
    <row r="384">
      <c r="A384" s="439"/>
      <c r="B384" s="439"/>
      <c r="C384" s="439"/>
    </row>
    <row r="385">
      <c r="A385" s="439"/>
      <c r="B385" s="439"/>
      <c r="C385" s="439"/>
    </row>
    <row r="386">
      <c r="A386" s="439"/>
      <c r="B386" s="439"/>
      <c r="C386" s="439"/>
    </row>
    <row r="387">
      <c r="A387" s="439"/>
      <c r="B387" s="439"/>
      <c r="C387" s="439"/>
    </row>
    <row r="388">
      <c r="A388" s="439"/>
      <c r="B388" s="439"/>
      <c r="C388" s="439"/>
    </row>
    <row r="389">
      <c r="A389" s="439"/>
      <c r="B389" s="439"/>
      <c r="C389" s="439"/>
    </row>
    <row r="390">
      <c r="A390" s="439"/>
      <c r="B390" s="439"/>
      <c r="C390" s="439"/>
    </row>
    <row r="391">
      <c r="A391" s="439"/>
      <c r="B391" s="439"/>
      <c r="C391" s="439"/>
    </row>
    <row r="392">
      <c r="A392" s="439"/>
      <c r="B392" s="439"/>
      <c r="C392" s="439"/>
    </row>
    <row r="393">
      <c r="A393" s="439"/>
      <c r="B393" s="439"/>
      <c r="C393" s="439"/>
    </row>
    <row r="394">
      <c r="A394" s="439"/>
      <c r="B394" s="439"/>
      <c r="C394" s="439"/>
    </row>
    <row r="395">
      <c r="A395" s="439"/>
      <c r="B395" s="439"/>
      <c r="C395" s="439"/>
    </row>
    <row r="396">
      <c r="A396" s="439"/>
      <c r="B396" s="439"/>
      <c r="C396" s="439"/>
    </row>
    <row r="397">
      <c r="A397" s="439"/>
      <c r="B397" s="439"/>
      <c r="C397" s="439"/>
    </row>
    <row r="398">
      <c r="A398" s="439"/>
      <c r="B398" s="439"/>
      <c r="C398" s="439"/>
    </row>
    <row r="399">
      <c r="A399" s="439"/>
      <c r="B399" s="439"/>
      <c r="C399" s="439"/>
    </row>
    <row r="400">
      <c r="A400" s="439"/>
      <c r="B400" s="439"/>
      <c r="C400" s="439"/>
    </row>
    <row r="401">
      <c r="A401" s="439"/>
      <c r="B401" s="439"/>
      <c r="C401" s="439"/>
    </row>
    <row r="402">
      <c r="A402" s="439"/>
      <c r="B402" s="439"/>
      <c r="C402" s="439"/>
    </row>
    <row r="403">
      <c r="A403" s="439"/>
      <c r="B403" s="439"/>
      <c r="C403" s="439"/>
    </row>
    <row r="404">
      <c r="A404" s="439"/>
      <c r="B404" s="439"/>
      <c r="C404" s="439"/>
    </row>
    <row r="405">
      <c r="A405" s="439"/>
      <c r="B405" s="439"/>
      <c r="C405" s="439"/>
    </row>
    <row r="406">
      <c r="A406" s="439"/>
      <c r="B406" s="439"/>
      <c r="C406" s="439"/>
    </row>
    <row r="407">
      <c r="A407" s="439"/>
      <c r="B407" s="439"/>
      <c r="C407" s="439"/>
    </row>
    <row r="408">
      <c r="A408" s="439"/>
      <c r="B408" s="439"/>
      <c r="C408" s="439"/>
    </row>
    <row r="409">
      <c r="A409" s="439"/>
      <c r="B409" s="439"/>
      <c r="C409" s="439"/>
    </row>
    <row r="410">
      <c r="A410" s="439"/>
      <c r="B410" s="439"/>
      <c r="C410" s="439"/>
    </row>
    <row r="411">
      <c r="A411" s="439"/>
      <c r="B411" s="439"/>
      <c r="C411" s="439"/>
    </row>
    <row r="412">
      <c r="A412" s="439"/>
      <c r="B412" s="439"/>
      <c r="C412" s="439"/>
    </row>
    <row r="413">
      <c r="A413" s="439"/>
      <c r="B413" s="439"/>
      <c r="C413" s="439"/>
    </row>
    <row r="414">
      <c r="A414" s="439"/>
      <c r="B414" s="439"/>
      <c r="C414" s="439"/>
    </row>
    <row r="415">
      <c r="A415" s="439"/>
      <c r="B415" s="439"/>
      <c r="C415" s="439"/>
    </row>
    <row r="416">
      <c r="A416" s="439"/>
      <c r="B416" s="439"/>
      <c r="C416" s="439"/>
    </row>
    <row r="417">
      <c r="A417" s="439"/>
      <c r="B417" s="439"/>
      <c r="C417" s="439"/>
    </row>
    <row r="418">
      <c r="A418" s="439"/>
      <c r="B418" s="439"/>
      <c r="C418" s="439"/>
    </row>
    <row r="419">
      <c r="A419" s="439"/>
      <c r="B419" s="439"/>
      <c r="C419" s="439"/>
    </row>
    <row r="420">
      <c r="A420" s="439"/>
      <c r="B420" s="439"/>
      <c r="C420" s="439"/>
    </row>
    <row r="421">
      <c r="A421" s="439"/>
      <c r="B421" s="439"/>
      <c r="C421" s="439"/>
    </row>
    <row r="422">
      <c r="A422" s="439"/>
      <c r="B422" s="439"/>
      <c r="C422" s="439"/>
    </row>
    <row r="423">
      <c r="A423" s="439"/>
      <c r="B423" s="439"/>
      <c r="C423" s="439"/>
    </row>
    <row r="424">
      <c r="A424" s="439"/>
      <c r="B424" s="439"/>
      <c r="C424" s="439"/>
    </row>
    <row r="425">
      <c r="A425" s="439"/>
      <c r="B425" s="439"/>
      <c r="C425" s="439"/>
    </row>
    <row r="426">
      <c r="A426" s="439"/>
      <c r="B426" s="439"/>
      <c r="C426" s="439"/>
    </row>
    <row r="427">
      <c r="A427" s="439"/>
      <c r="B427" s="439"/>
      <c r="C427" s="439"/>
    </row>
    <row r="428">
      <c r="A428" s="439"/>
      <c r="B428" s="439"/>
      <c r="C428" s="439"/>
    </row>
    <row r="429">
      <c r="A429" s="439"/>
      <c r="B429" s="439"/>
      <c r="C429" s="439"/>
    </row>
    <row r="430">
      <c r="A430" s="439"/>
      <c r="B430" s="439"/>
      <c r="C430" s="439"/>
    </row>
    <row r="431">
      <c r="A431" s="439"/>
      <c r="B431" s="439"/>
      <c r="C431" s="439"/>
    </row>
    <row r="432">
      <c r="A432" s="439"/>
      <c r="B432" s="439"/>
      <c r="C432" s="439"/>
    </row>
    <row r="433">
      <c r="A433" s="439"/>
      <c r="B433" s="439"/>
      <c r="C433" s="439"/>
    </row>
    <row r="434">
      <c r="A434" s="439"/>
      <c r="B434" s="439"/>
      <c r="C434" s="439"/>
    </row>
    <row r="435">
      <c r="A435" s="439"/>
      <c r="B435" s="439"/>
      <c r="C435" s="439"/>
    </row>
    <row r="436">
      <c r="A436" s="439"/>
      <c r="B436" s="439"/>
      <c r="C436" s="439"/>
    </row>
    <row r="437">
      <c r="A437" s="439"/>
      <c r="B437" s="439"/>
      <c r="C437" s="439"/>
    </row>
    <row r="438">
      <c r="A438" s="439"/>
      <c r="B438" s="439"/>
      <c r="C438" s="439"/>
    </row>
    <row r="439">
      <c r="A439" s="439"/>
      <c r="B439" s="439"/>
      <c r="C439" s="439"/>
    </row>
    <row r="440">
      <c r="A440" s="439"/>
      <c r="B440" s="439"/>
      <c r="C440" s="439"/>
    </row>
    <row r="441">
      <c r="A441" s="439"/>
      <c r="B441" s="439"/>
      <c r="C441" s="439"/>
    </row>
    <row r="442">
      <c r="A442" s="439"/>
      <c r="B442" s="439"/>
      <c r="C442" s="439"/>
    </row>
    <row r="443">
      <c r="A443" s="439"/>
      <c r="B443" s="439"/>
      <c r="C443" s="439"/>
    </row>
    <row r="444">
      <c r="A444" s="439"/>
      <c r="B444" s="439"/>
      <c r="C444" s="439"/>
    </row>
    <row r="445">
      <c r="A445" s="439"/>
      <c r="B445" s="439"/>
      <c r="C445" s="439"/>
    </row>
    <row r="446">
      <c r="A446" s="439"/>
      <c r="B446" s="439"/>
      <c r="C446" s="439"/>
    </row>
    <row r="447">
      <c r="A447" s="439"/>
      <c r="B447" s="439"/>
      <c r="C447" s="439"/>
    </row>
    <row r="448">
      <c r="A448" s="439"/>
      <c r="B448" s="439"/>
      <c r="C448" s="439"/>
    </row>
    <row r="449">
      <c r="A449" s="439"/>
      <c r="B449" s="439"/>
      <c r="C449" s="439"/>
    </row>
    <row r="450">
      <c r="A450" s="439"/>
      <c r="B450" s="439"/>
      <c r="C450" s="439"/>
    </row>
    <row r="451">
      <c r="A451" s="439"/>
      <c r="B451" s="439"/>
      <c r="C451" s="439"/>
    </row>
    <row r="452">
      <c r="A452" s="439"/>
      <c r="B452" s="439"/>
      <c r="C452" s="439"/>
    </row>
    <row r="453">
      <c r="A453" s="439"/>
      <c r="B453" s="439"/>
      <c r="C453" s="439"/>
    </row>
    <row r="454">
      <c r="A454" s="439"/>
      <c r="B454" s="439"/>
      <c r="C454" s="439"/>
    </row>
    <row r="455">
      <c r="A455" s="439"/>
      <c r="B455" s="439"/>
      <c r="C455" s="439"/>
    </row>
    <row r="456">
      <c r="A456" s="439"/>
      <c r="B456" s="439"/>
      <c r="C456" s="439"/>
    </row>
    <row r="457">
      <c r="A457" s="439"/>
      <c r="B457" s="439"/>
      <c r="C457" s="439"/>
    </row>
    <row r="458">
      <c r="A458" s="439"/>
      <c r="B458" s="439"/>
      <c r="C458" s="439"/>
    </row>
    <row r="459">
      <c r="A459" s="439"/>
      <c r="B459" s="439"/>
      <c r="C459" s="439"/>
    </row>
    <row r="460">
      <c r="A460" s="439"/>
      <c r="B460" s="439"/>
      <c r="C460" s="439"/>
    </row>
    <row r="461">
      <c r="A461" s="439"/>
      <c r="B461" s="439"/>
      <c r="C461" s="439"/>
    </row>
    <row r="462">
      <c r="A462" s="439"/>
      <c r="B462" s="439"/>
      <c r="C462" s="439"/>
    </row>
    <row r="463">
      <c r="A463" s="439"/>
      <c r="B463" s="439"/>
      <c r="C463" s="439"/>
    </row>
    <row r="464">
      <c r="A464" s="439"/>
      <c r="B464" s="439"/>
      <c r="C464" s="439"/>
    </row>
    <row r="465">
      <c r="A465" s="439"/>
      <c r="B465" s="439"/>
      <c r="C465" s="439"/>
    </row>
    <row r="466">
      <c r="A466" s="439"/>
      <c r="B466" s="439"/>
      <c r="C466" s="439"/>
    </row>
    <row r="467">
      <c r="A467" s="439"/>
      <c r="B467" s="439"/>
      <c r="C467" s="439"/>
    </row>
    <row r="468">
      <c r="A468" s="439"/>
      <c r="B468" s="439"/>
      <c r="C468" s="439"/>
    </row>
    <row r="469">
      <c r="A469" s="439"/>
      <c r="B469" s="439"/>
      <c r="C469" s="439"/>
    </row>
    <row r="470">
      <c r="A470" s="439"/>
      <c r="B470" s="439"/>
      <c r="C470" s="439"/>
    </row>
    <row r="471">
      <c r="A471" s="439"/>
      <c r="B471" s="439"/>
      <c r="C471" s="439"/>
    </row>
    <row r="472">
      <c r="A472" s="439"/>
      <c r="B472" s="439"/>
      <c r="C472" s="439"/>
    </row>
    <row r="473">
      <c r="A473" s="439"/>
      <c r="B473" s="439"/>
      <c r="C473" s="439"/>
    </row>
    <row r="474">
      <c r="A474" s="439"/>
      <c r="B474" s="439"/>
      <c r="C474" s="439"/>
    </row>
    <row r="475">
      <c r="A475" s="439"/>
      <c r="B475" s="439"/>
      <c r="C475" s="439"/>
    </row>
    <row r="476">
      <c r="A476" s="439"/>
      <c r="B476" s="439"/>
      <c r="C476" s="439"/>
    </row>
    <row r="477">
      <c r="A477" s="439"/>
      <c r="B477" s="439"/>
      <c r="C477" s="439"/>
    </row>
    <row r="478">
      <c r="A478" s="439"/>
      <c r="B478" s="439"/>
      <c r="C478" s="439"/>
    </row>
    <row r="479">
      <c r="A479" s="439"/>
      <c r="B479" s="439"/>
      <c r="C479" s="439"/>
    </row>
    <row r="480">
      <c r="A480" s="439"/>
      <c r="B480" s="439"/>
      <c r="C480" s="439"/>
    </row>
    <row r="481">
      <c r="A481" s="439"/>
      <c r="B481" s="439"/>
      <c r="C481" s="439"/>
    </row>
    <row r="482">
      <c r="A482" s="439"/>
      <c r="B482" s="439"/>
      <c r="C482" s="439"/>
    </row>
    <row r="483">
      <c r="A483" s="439"/>
      <c r="B483" s="439"/>
      <c r="C483" s="439"/>
    </row>
    <row r="484">
      <c r="A484" s="439"/>
      <c r="B484" s="439"/>
      <c r="C484" s="439"/>
    </row>
    <row r="485">
      <c r="A485" s="439"/>
      <c r="B485" s="439"/>
      <c r="C485" s="439"/>
    </row>
    <row r="486">
      <c r="A486" s="439"/>
      <c r="B486" s="439"/>
      <c r="C486" s="439"/>
    </row>
    <row r="487">
      <c r="A487" s="439"/>
      <c r="B487" s="439"/>
      <c r="C487" s="439"/>
    </row>
    <row r="488">
      <c r="A488" s="439"/>
      <c r="B488" s="439"/>
      <c r="C488" s="439"/>
    </row>
    <row r="489">
      <c r="A489" s="439"/>
      <c r="B489" s="439"/>
      <c r="C489" s="439"/>
    </row>
    <row r="490">
      <c r="A490" s="439"/>
      <c r="B490" s="439"/>
      <c r="C490" s="439"/>
    </row>
    <row r="491">
      <c r="A491" s="439"/>
      <c r="B491" s="439"/>
      <c r="C491" s="439"/>
    </row>
    <row r="492">
      <c r="A492" s="439"/>
      <c r="B492" s="439"/>
      <c r="C492" s="439"/>
    </row>
    <row r="493">
      <c r="A493" s="439"/>
      <c r="B493" s="439"/>
      <c r="C493" s="439"/>
    </row>
    <row r="494">
      <c r="A494" s="439"/>
      <c r="B494" s="439"/>
      <c r="C494" s="439"/>
    </row>
    <row r="495">
      <c r="A495" s="439"/>
      <c r="B495" s="439"/>
      <c r="C495" s="439"/>
    </row>
    <row r="496">
      <c r="A496" s="439"/>
      <c r="B496" s="439"/>
      <c r="C496" s="439"/>
    </row>
    <row r="497">
      <c r="A497" s="439"/>
      <c r="B497" s="439"/>
      <c r="C497" s="439"/>
    </row>
    <row r="498">
      <c r="A498" s="439"/>
      <c r="B498" s="439"/>
      <c r="C498" s="439"/>
    </row>
    <row r="499">
      <c r="A499" s="439"/>
      <c r="B499" s="439"/>
      <c r="C499" s="439"/>
    </row>
    <row r="500">
      <c r="A500" s="439"/>
      <c r="B500" s="439"/>
      <c r="C500" s="439"/>
    </row>
    <row r="501">
      <c r="A501" s="439"/>
      <c r="B501" s="439"/>
      <c r="C501" s="439"/>
    </row>
    <row r="502">
      <c r="A502" s="439"/>
      <c r="B502" s="439"/>
      <c r="C502" s="439"/>
    </row>
    <row r="503">
      <c r="A503" s="439"/>
      <c r="B503" s="439"/>
      <c r="C503" s="439"/>
    </row>
    <row r="504">
      <c r="A504" s="439"/>
      <c r="B504" s="439"/>
      <c r="C504" s="439"/>
    </row>
    <row r="505">
      <c r="A505" s="439"/>
      <c r="B505" s="439"/>
      <c r="C505" s="439"/>
    </row>
    <row r="506">
      <c r="A506" s="439"/>
      <c r="B506" s="439"/>
      <c r="C506" s="439"/>
    </row>
    <row r="507">
      <c r="A507" s="439"/>
      <c r="B507" s="439"/>
      <c r="C507" s="439"/>
    </row>
    <row r="508">
      <c r="A508" s="439"/>
      <c r="B508" s="439"/>
      <c r="C508" s="439"/>
    </row>
    <row r="509">
      <c r="A509" s="439"/>
      <c r="B509" s="439"/>
      <c r="C509" s="439"/>
    </row>
    <row r="510">
      <c r="A510" s="439"/>
      <c r="B510" s="439"/>
      <c r="C510" s="439"/>
    </row>
    <row r="511">
      <c r="A511" s="439"/>
      <c r="B511" s="439"/>
      <c r="C511" s="439"/>
    </row>
    <row r="512">
      <c r="A512" s="439"/>
      <c r="B512" s="439"/>
      <c r="C512" s="439"/>
    </row>
    <row r="513">
      <c r="A513" s="439"/>
      <c r="B513" s="439"/>
      <c r="C513" s="439"/>
    </row>
    <row r="514">
      <c r="A514" s="439"/>
      <c r="B514" s="439"/>
      <c r="C514" s="439"/>
    </row>
    <row r="515">
      <c r="A515" s="439"/>
      <c r="B515" s="439"/>
      <c r="C515" s="439"/>
    </row>
    <row r="516">
      <c r="A516" s="439"/>
      <c r="B516" s="439"/>
      <c r="C516" s="439"/>
    </row>
    <row r="517">
      <c r="A517" s="439"/>
      <c r="B517" s="439"/>
      <c r="C517" s="439"/>
    </row>
    <row r="518">
      <c r="A518" s="439"/>
      <c r="B518" s="439"/>
      <c r="C518" s="439"/>
    </row>
    <row r="519">
      <c r="A519" s="439"/>
      <c r="B519" s="439"/>
      <c r="C519" s="439"/>
    </row>
    <row r="520">
      <c r="A520" s="439"/>
      <c r="B520" s="439"/>
      <c r="C520" s="439"/>
    </row>
    <row r="521">
      <c r="A521" s="439"/>
      <c r="B521" s="439"/>
      <c r="C521" s="439"/>
    </row>
    <row r="522">
      <c r="A522" s="439"/>
      <c r="B522" s="439"/>
      <c r="C522" s="439"/>
    </row>
    <row r="523">
      <c r="A523" s="439"/>
      <c r="B523" s="439"/>
      <c r="C523" s="439"/>
    </row>
    <row r="524">
      <c r="A524" s="439"/>
      <c r="B524" s="439"/>
      <c r="C524" s="439"/>
    </row>
    <row r="525">
      <c r="A525" s="439"/>
      <c r="B525" s="439"/>
      <c r="C525" s="439"/>
    </row>
    <row r="526">
      <c r="A526" s="439"/>
      <c r="B526" s="439"/>
      <c r="C526" s="439"/>
    </row>
    <row r="527">
      <c r="A527" s="439"/>
      <c r="B527" s="439"/>
      <c r="C527" s="439"/>
    </row>
    <row r="528">
      <c r="A528" s="439"/>
      <c r="B528" s="439"/>
      <c r="C528" s="439"/>
    </row>
    <row r="529">
      <c r="A529" s="439"/>
      <c r="B529" s="439"/>
      <c r="C529" s="439"/>
    </row>
    <row r="530">
      <c r="A530" s="439"/>
      <c r="B530" s="439"/>
      <c r="C530" s="439"/>
    </row>
    <row r="531">
      <c r="A531" s="439"/>
      <c r="B531" s="439"/>
      <c r="C531" s="439"/>
    </row>
    <row r="532">
      <c r="A532" s="439"/>
      <c r="B532" s="439"/>
      <c r="C532" s="439"/>
    </row>
    <row r="533">
      <c r="A533" s="439"/>
      <c r="B533" s="439"/>
      <c r="C533" s="439"/>
    </row>
    <row r="534">
      <c r="A534" s="439"/>
      <c r="B534" s="439"/>
      <c r="C534" s="439"/>
    </row>
    <row r="535">
      <c r="A535" s="439"/>
      <c r="B535" s="439"/>
      <c r="C535" s="439"/>
    </row>
    <row r="536">
      <c r="A536" s="439"/>
      <c r="B536" s="439"/>
      <c r="C536" s="439"/>
    </row>
    <row r="537">
      <c r="A537" s="439"/>
      <c r="B537" s="439"/>
      <c r="C537" s="439"/>
    </row>
    <row r="538">
      <c r="A538" s="439"/>
      <c r="B538" s="439"/>
      <c r="C538" s="439"/>
    </row>
    <row r="539">
      <c r="A539" s="439"/>
      <c r="B539" s="439"/>
      <c r="C539" s="439"/>
    </row>
    <row r="540">
      <c r="A540" s="439"/>
      <c r="B540" s="439"/>
      <c r="C540" s="439"/>
    </row>
    <row r="541">
      <c r="A541" s="439"/>
      <c r="B541" s="439"/>
      <c r="C541" s="439"/>
    </row>
    <row r="542">
      <c r="A542" s="439"/>
      <c r="B542" s="439"/>
      <c r="C542" s="439"/>
    </row>
    <row r="543">
      <c r="A543" s="439"/>
      <c r="B543" s="439"/>
      <c r="C543" s="439"/>
    </row>
    <row r="544">
      <c r="A544" s="439"/>
      <c r="B544" s="439"/>
      <c r="C544" s="439"/>
    </row>
    <row r="545">
      <c r="A545" s="439"/>
      <c r="B545" s="439"/>
      <c r="C545" s="439"/>
    </row>
    <row r="546">
      <c r="A546" s="439"/>
      <c r="B546" s="439"/>
      <c r="C546" s="439"/>
    </row>
    <row r="547">
      <c r="A547" s="439"/>
      <c r="B547" s="439"/>
      <c r="C547" s="439"/>
    </row>
    <row r="548">
      <c r="A548" s="439"/>
      <c r="B548" s="439"/>
      <c r="C548" s="439"/>
    </row>
    <row r="549">
      <c r="A549" s="439"/>
      <c r="B549" s="439"/>
      <c r="C549" s="439"/>
    </row>
    <row r="550">
      <c r="A550" s="439"/>
      <c r="B550" s="439"/>
      <c r="C550" s="439"/>
    </row>
    <row r="551">
      <c r="A551" s="439"/>
      <c r="B551" s="439"/>
      <c r="C551" s="439"/>
    </row>
    <row r="552">
      <c r="A552" s="439"/>
      <c r="B552" s="439"/>
      <c r="C552" s="439"/>
    </row>
    <row r="553">
      <c r="A553" s="439"/>
      <c r="B553" s="439"/>
      <c r="C553" s="439"/>
    </row>
    <row r="554">
      <c r="A554" s="439"/>
      <c r="B554" s="439"/>
      <c r="C554" s="439"/>
    </row>
    <row r="555">
      <c r="A555" s="439"/>
      <c r="B555" s="439"/>
      <c r="C555" s="439"/>
    </row>
    <row r="556">
      <c r="A556" s="439"/>
      <c r="B556" s="439"/>
      <c r="C556" s="439"/>
    </row>
    <row r="557">
      <c r="A557" s="439"/>
      <c r="B557" s="439"/>
      <c r="C557" s="439"/>
    </row>
    <row r="558">
      <c r="A558" s="439"/>
      <c r="B558" s="439"/>
      <c r="C558" s="439"/>
    </row>
    <row r="559">
      <c r="A559" s="439"/>
      <c r="B559" s="439"/>
      <c r="C559" s="439"/>
    </row>
    <row r="560">
      <c r="A560" s="439"/>
      <c r="B560" s="439"/>
      <c r="C560" s="439"/>
    </row>
    <row r="561">
      <c r="A561" s="439"/>
      <c r="B561" s="439"/>
      <c r="C561" s="439"/>
    </row>
    <row r="562">
      <c r="A562" s="439"/>
      <c r="B562" s="439"/>
      <c r="C562" s="439"/>
    </row>
    <row r="563">
      <c r="A563" s="439"/>
      <c r="B563" s="439"/>
      <c r="C563" s="439"/>
    </row>
    <row r="564">
      <c r="A564" s="439"/>
      <c r="B564" s="439"/>
      <c r="C564" s="439"/>
    </row>
    <row r="565">
      <c r="A565" s="439"/>
      <c r="B565" s="439"/>
      <c r="C565" s="439"/>
    </row>
    <row r="566">
      <c r="A566" s="439"/>
      <c r="B566" s="439"/>
      <c r="C566" s="439"/>
    </row>
    <row r="567">
      <c r="A567" s="439"/>
      <c r="B567" s="439"/>
      <c r="C567" s="439"/>
    </row>
    <row r="568">
      <c r="A568" s="439"/>
      <c r="B568" s="439"/>
      <c r="C568" s="439"/>
    </row>
    <row r="569">
      <c r="A569" s="439"/>
      <c r="B569" s="439"/>
      <c r="C569" s="439"/>
    </row>
    <row r="570">
      <c r="A570" s="439"/>
      <c r="B570" s="439"/>
      <c r="C570" s="439"/>
    </row>
    <row r="571">
      <c r="A571" s="439"/>
      <c r="B571" s="439"/>
      <c r="C571" s="439"/>
    </row>
    <row r="572">
      <c r="A572" s="439"/>
      <c r="B572" s="439"/>
      <c r="C572" s="439"/>
    </row>
    <row r="573">
      <c r="A573" s="439"/>
      <c r="B573" s="439"/>
      <c r="C573" s="439"/>
    </row>
    <row r="574">
      <c r="A574" s="439"/>
      <c r="B574" s="439"/>
      <c r="C574" s="439"/>
    </row>
    <row r="575">
      <c r="A575" s="439"/>
      <c r="B575" s="439"/>
      <c r="C575" s="439"/>
    </row>
    <row r="576">
      <c r="A576" s="439"/>
      <c r="B576" s="439"/>
      <c r="C576" s="439"/>
    </row>
    <row r="577">
      <c r="A577" s="439"/>
      <c r="B577" s="439"/>
      <c r="C577" s="439"/>
    </row>
    <row r="578">
      <c r="A578" s="439"/>
      <c r="B578" s="439"/>
      <c r="C578" s="439"/>
    </row>
    <row r="579">
      <c r="A579" s="439"/>
      <c r="B579" s="439"/>
      <c r="C579" s="439"/>
    </row>
    <row r="580">
      <c r="A580" s="439"/>
      <c r="B580" s="439"/>
      <c r="C580" s="439"/>
    </row>
    <row r="581">
      <c r="A581" s="439"/>
      <c r="B581" s="439"/>
      <c r="C581" s="439"/>
    </row>
    <row r="582">
      <c r="A582" s="439"/>
      <c r="B582" s="439"/>
      <c r="C582" s="439"/>
    </row>
    <row r="583">
      <c r="A583" s="439"/>
      <c r="B583" s="439"/>
      <c r="C583" s="439"/>
    </row>
    <row r="584">
      <c r="A584" s="439"/>
      <c r="B584" s="439"/>
      <c r="C584" s="439"/>
    </row>
    <row r="585">
      <c r="A585" s="439"/>
      <c r="B585" s="439"/>
      <c r="C585" s="439"/>
    </row>
    <row r="586">
      <c r="A586" s="439"/>
      <c r="B586" s="439"/>
      <c r="C586" s="439"/>
    </row>
    <row r="587">
      <c r="A587" s="439"/>
      <c r="B587" s="439"/>
      <c r="C587" s="439"/>
    </row>
    <row r="588">
      <c r="A588" s="439"/>
      <c r="B588" s="439"/>
      <c r="C588" s="439"/>
    </row>
    <row r="589">
      <c r="A589" s="439"/>
      <c r="B589" s="439"/>
      <c r="C589" s="439"/>
    </row>
    <row r="590">
      <c r="A590" s="439"/>
      <c r="B590" s="439"/>
      <c r="C590" s="439"/>
    </row>
    <row r="591">
      <c r="A591" s="439"/>
      <c r="B591" s="439"/>
      <c r="C591" s="439"/>
    </row>
    <row r="592">
      <c r="A592" s="439"/>
      <c r="B592" s="439"/>
      <c r="C592" s="439"/>
    </row>
    <row r="593">
      <c r="A593" s="439"/>
      <c r="B593" s="439"/>
      <c r="C593" s="439"/>
    </row>
    <row r="594">
      <c r="A594" s="439"/>
      <c r="B594" s="439"/>
      <c r="C594" s="439"/>
    </row>
    <row r="595">
      <c r="A595" s="439"/>
      <c r="B595" s="439"/>
      <c r="C595" s="439"/>
    </row>
    <row r="596">
      <c r="A596" s="439"/>
      <c r="B596" s="439"/>
      <c r="C596" s="439"/>
    </row>
    <row r="597">
      <c r="A597" s="439"/>
      <c r="B597" s="439"/>
      <c r="C597" s="439"/>
    </row>
    <row r="598">
      <c r="A598" s="439"/>
      <c r="B598" s="439"/>
      <c r="C598" s="439"/>
    </row>
    <row r="599">
      <c r="A599" s="439"/>
      <c r="B599" s="439"/>
      <c r="C599" s="439"/>
    </row>
    <row r="600">
      <c r="A600" s="439"/>
      <c r="B600" s="439"/>
      <c r="C600" s="439"/>
    </row>
    <row r="601">
      <c r="A601" s="439"/>
      <c r="B601" s="439"/>
      <c r="C601" s="439"/>
    </row>
    <row r="602">
      <c r="A602" s="439"/>
      <c r="B602" s="439"/>
      <c r="C602" s="439"/>
    </row>
    <row r="603">
      <c r="A603" s="439"/>
      <c r="B603" s="439"/>
      <c r="C603" s="439"/>
    </row>
    <row r="604">
      <c r="A604" s="439"/>
      <c r="B604" s="439"/>
      <c r="C604" s="439"/>
    </row>
    <row r="605">
      <c r="A605" s="439"/>
      <c r="B605" s="439"/>
      <c r="C605" s="439"/>
    </row>
    <row r="606">
      <c r="A606" s="439"/>
      <c r="B606" s="439"/>
      <c r="C606" s="439"/>
    </row>
    <row r="607">
      <c r="A607" s="439"/>
      <c r="B607" s="439"/>
      <c r="C607" s="439"/>
    </row>
    <row r="608">
      <c r="A608" s="439"/>
      <c r="B608" s="439"/>
      <c r="C608" s="439"/>
    </row>
    <row r="609">
      <c r="A609" s="439"/>
      <c r="B609" s="439"/>
      <c r="C609" s="439"/>
    </row>
    <row r="610">
      <c r="A610" s="439"/>
      <c r="B610" s="439"/>
      <c r="C610" s="439"/>
    </row>
    <row r="611">
      <c r="A611" s="439"/>
      <c r="B611" s="439"/>
      <c r="C611" s="439"/>
    </row>
    <row r="612">
      <c r="A612" s="439"/>
      <c r="B612" s="439"/>
      <c r="C612" s="439"/>
    </row>
    <row r="613">
      <c r="A613" s="439"/>
      <c r="B613" s="439"/>
      <c r="C613" s="439"/>
    </row>
    <row r="614">
      <c r="A614" s="439"/>
      <c r="B614" s="439"/>
      <c r="C614" s="439"/>
    </row>
    <row r="615">
      <c r="A615" s="439"/>
      <c r="B615" s="439"/>
      <c r="C615" s="439"/>
    </row>
    <row r="616">
      <c r="A616" s="439"/>
      <c r="B616" s="439"/>
      <c r="C616" s="439"/>
    </row>
    <row r="617">
      <c r="A617" s="439"/>
      <c r="B617" s="439"/>
      <c r="C617" s="439"/>
    </row>
    <row r="618">
      <c r="A618" s="439"/>
      <c r="B618" s="439"/>
      <c r="C618" s="439"/>
    </row>
    <row r="619">
      <c r="A619" s="439"/>
      <c r="B619" s="439"/>
      <c r="C619" s="439"/>
    </row>
    <row r="620">
      <c r="A620" s="439"/>
      <c r="B620" s="439"/>
      <c r="C620" s="439"/>
    </row>
    <row r="621">
      <c r="A621" s="439"/>
      <c r="B621" s="439"/>
      <c r="C621" s="439"/>
    </row>
    <row r="622">
      <c r="A622" s="439"/>
      <c r="B622" s="439"/>
      <c r="C622" s="439"/>
    </row>
    <row r="623">
      <c r="A623" s="439"/>
      <c r="B623" s="439"/>
      <c r="C623" s="439"/>
    </row>
    <row r="624">
      <c r="A624" s="439"/>
      <c r="B624" s="439"/>
      <c r="C624" s="439"/>
    </row>
    <row r="625">
      <c r="A625" s="439"/>
      <c r="B625" s="439"/>
      <c r="C625" s="439"/>
    </row>
    <row r="626">
      <c r="A626" s="439"/>
      <c r="B626" s="439"/>
      <c r="C626" s="439"/>
    </row>
    <row r="627">
      <c r="A627" s="439"/>
      <c r="B627" s="439"/>
      <c r="C627" s="439"/>
    </row>
    <row r="628">
      <c r="A628" s="439"/>
      <c r="B628" s="439"/>
      <c r="C628" s="439"/>
    </row>
    <row r="629">
      <c r="A629" s="439"/>
      <c r="B629" s="439"/>
      <c r="C629" s="439"/>
    </row>
    <row r="630">
      <c r="A630" s="439"/>
      <c r="B630" s="439"/>
      <c r="C630" s="439"/>
    </row>
    <row r="631">
      <c r="A631" s="439"/>
      <c r="B631" s="439"/>
      <c r="C631" s="439"/>
    </row>
    <row r="632">
      <c r="A632" s="439"/>
      <c r="B632" s="439"/>
      <c r="C632" s="439"/>
    </row>
    <row r="633">
      <c r="A633" s="439"/>
      <c r="B633" s="439"/>
      <c r="C633" s="439"/>
    </row>
    <row r="634">
      <c r="A634" s="439"/>
      <c r="B634" s="439"/>
      <c r="C634" s="439"/>
    </row>
    <row r="635">
      <c r="A635" s="439"/>
      <c r="B635" s="439"/>
      <c r="C635" s="439"/>
    </row>
    <row r="636">
      <c r="A636" s="439"/>
      <c r="B636" s="439"/>
      <c r="C636" s="439"/>
    </row>
    <row r="637">
      <c r="A637" s="439"/>
      <c r="B637" s="439"/>
      <c r="C637" s="439"/>
    </row>
    <row r="638">
      <c r="A638" s="439"/>
      <c r="B638" s="439"/>
      <c r="C638" s="439"/>
    </row>
    <row r="639">
      <c r="A639" s="439"/>
      <c r="B639" s="439"/>
      <c r="C639" s="439"/>
    </row>
    <row r="640">
      <c r="A640" s="439"/>
      <c r="B640" s="439"/>
      <c r="C640" s="439"/>
    </row>
    <row r="641">
      <c r="A641" s="439"/>
      <c r="B641" s="439"/>
      <c r="C641" s="439"/>
    </row>
    <row r="642">
      <c r="A642" s="439"/>
      <c r="B642" s="439"/>
      <c r="C642" s="439"/>
    </row>
    <row r="643">
      <c r="A643" s="439"/>
      <c r="B643" s="439"/>
      <c r="C643" s="439"/>
    </row>
    <row r="644">
      <c r="A644" s="439"/>
      <c r="B644" s="439"/>
      <c r="C644" s="439"/>
    </row>
    <row r="645">
      <c r="A645" s="439"/>
      <c r="B645" s="439"/>
      <c r="C645" s="439"/>
    </row>
    <row r="646">
      <c r="A646" s="439"/>
      <c r="B646" s="439"/>
      <c r="C646" s="439"/>
    </row>
    <row r="647">
      <c r="A647" s="439"/>
      <c r="B647" s="439"/>
      <c r="C647" s="439"/>
    </row>
    <row r="648">
      <c r="A648" s="439"/>
      <c r="B648" s="439"/>
      <c r="C648" s="439"/>
    </row>
    <row r="649">
      <c r="A649" s="439"/>
      <c r="B649" s="439"/>
      <c r="C649" s="439"/>
    </row>
    <row r="650">
      <c r="A650" s="439"/>
      <c r="B650" s="439"/>
      <c r="C650" s="439"/>
    </row>
    <row r="651">
      <c r="A651" s="439"/>
      <c r="B651" s="439"/>
      <c r="C651" s="439"/>
    </row>
    <row r="652">
      <c r="A652" s="439"/>
      <c r="B652" s="439"/>
      <c r="C652" s="439"/>
    </row>
    <row r="653">
      <c r="A653" s="439"/>
      <c r="B653" s="439"/>
      <c r="C653" s="439"/>
    </row>
    <row r="654">
      <c r="A654" s="439"/>
      <c r="B654" s="439"/>
      <c r="C654" s="439"/>
    </row>
    <row r="655">
      <c r="A655" s="439"/>
      <c r="B655" s="439"/>
      <c r="C655" s="439"/>
    </row>
    <row r="656">
      <c r="A656" s="439"/>
      <c r="B656" s="439"/>
      <c r="C656" s="439"/>
    </row>
    <row r="657">
      <c r="A657" s="439"/>
      <c r="B657" s="439"/>
      <c r="C657" s="439"/>
    </row>
    <row r="658">
      <c r="A658" s="439"/>
      <c r="B658" s="439"/>
      <c r="C658" s="439"/>
    </row>
    <row r="659">
      <c r="A659" s="439"/>
      <c r="B659" s="439"/>
      <c r="C659" s="439"/>
    </row>
    <row r="660">
      <c r="A660" s="439"/>
      <c r="B660" s="439"/>
      <c r="C660" s="439"/>
    </row>
    <row r="661">
      <c r="A661" s="439"/>
      <c r="B661" s="439"/>
      <c r="C661" s="439"/>
    </row>
    <row r="662">
      <c r="A662" s="439"/>
      <c r="B662" s="439"/>
      <c r="C662" s="439"/>
    </row>
    <row r="663">
      <c r="A663" s="439"/>
      <c r="B663" s="439"/>
      <c r="C663" s="439"/>
    </row>
    <row r="664">
      <c r="A664" s="439"/>
      <c r="B664" s="439"/>
      <c r="C664" s="439"/>
    </row>
    <row r="665">
      <c r="A665" s="439"/>
      <c r="B665" s="439"/>
      <c r="C665" s="439"/>
    </row>
    <row r="666">
      <c r="A666" s="439"/>
      <c r="B666" s="439"/>
      <c r="C666" s="439"/>
    </row>
    <row r="667">
      <c r="A667" s="439"/>
      <c r="B667" s="439"/>
      <c r="C667" s="439"/>
    </row>
    <row r="668">
      <c r="A668" s="439"/>
      <c r="B668" s="439"/>
      <c r="C668" s="439"/>
    </row>
    <row r="669">
      <c r="A669" s="439"/>
      <c r="B669" s="439"/>
      <c r="C669" s="439"/>
    </row>
    <row r="670">
      <c r="A670" s="439"/>
      <c r="B670" s="439"/>
      <c r="C670" s="439"/>
    </row>
    <row r="671">
      <c r="A671" s="439"/>
      <c r="B671" s="439"/>
      <c r="C671" s="439"/>
    </row>
    <row r="672">
      <c r="A672" s="439"/>
      <c r="B672" s="439"/>
      <c r="C672" s="439"/>
    </row>
    <row r="673">
      <c r="A673" s="439"/>
      <c r="B673" s="439"/>
      <c r="C673" s="439"/>
    </row>
    <row r="674">
      <c r="A674" s="439"/>
      <c r="B674" s="439"/>
      <c r="C674" s="439"/>
    </row>
    <row r="675">
      <c r="A675" s="439"/>
      <c r="B675" s="439"/>
      <c r="C675" s="439"/>
    </row>
    <row r="676">
      <c r="A676" s="439"/>
      <c r="B676" s="439"/>
      <c r="C676" s="439"/>
    </row>
    <row r="677">
      <c r="A677" s="439"/>
      <c r="B677" s="439"/>
      <c r="C677" s="439"/>
    </row>
    <row r="678">
      <c r="A678" s="439"/>
      <c r="B678" s="439"/>
      <c r="C678" s="439"/>
    </row>
    <row r="679">
      <c r="A679" s="439"/>
      <c r="B679" s="439"/>
      <c r="C679" s="439"/>
    </row>
    <row r="680">
      <c r="A680" s="439"/>
      <c r="B680" s="439"/>
      <c r="C680" s="439"/>
    </row>
    <row r="681">
      <c r="A681" s="439"/>
      <c r="B681" s="439"/>
      <c r="C681" s="439"/>
    </row>
    <row r="682">
      <c r="A682" s="439"/>
      <c r="B682" s="439"/>
      <c r="C682" s="439"/>
    </row>
    <row r="683">
      <c r="A683" s="439"/>
      <c r="B683" s="439"/>
      <c r="C683" s="439"/>
    </row>
    <row r="684">
      <c r="A684" s="439"/>
      <c r="B684" s="439"/>
      <c r="C684" s="439"/>
    </row>
    <row r="685">
      <c r="A685" s="439"/>
      <c r="B685" s="439"/>
      <c r="C685" s="439"/>
    </row>
    <row r="686">
      <c r="A686" s="439"/>
      <c r="B686" s="439"/>
      <c r="C686" s="439"/>
    </row>
    <row r="687">
      <c r="A687" s="439"/>
      <c r="B687" s="439"/>
      <c r="C687" s="439"/>
    </row>
    <row r="688">
      <c r="A688" s="439"/>
      <c r="B688" s="439"/>
      <c r="C688" s="439"/>
    </row>
    <row r="689">
      <c r="A689" s="439"/>
      <c r="B689" s="439"/>
      <c r="C689" s="439"/>
    </row>
    <row r="690">
      <c r="A690" s="439"/>
      <c r="B690" s="439"/>
      <c r="C690" s="439"/>
    </row>
    <row r="691">
      <c r="A691" s="439"/>
      <c r="B691" s="439"/>
      <c r="C691" s="439"/>
    </row>
    <row r="692">
      <c r="A692" s="439"/>
      <c r="B692" s="439"/>
      <c r="C692" s="439"/>
    </row>
    <row r="693">
      <c r="A693" s="439"/>
      <c r="B693" s="439"/>
      <c r="C693" s="439"/>
    </row>
    <row r="694">
      <c r="A694" s="439"/>
      <c r="B694" s="439"/>
      <c r="C694" s="439"/>
    </row>
    <row r="695">
      <c r="A695" s="439"/>
      <c r="B695" s="439"/>
      <c r="C695" s="439"/>
    </row>
    <row r="696">
      <c r="A696" s="439"/>
      <c r="B696" s="439"/>
      <c r="C696" s="439"/>
    </row>
    <row r="697">
      <c r="A697" s="439"/>
      <c r="B697" s="439"/>
      <c r="C697" s="439"/>
    </row>
    <row r="698">
      <c r="A698" s="439"/>
      <c r="B698" s="439"/>
      <c r="C698" s="439"/>
    </row>
    <row r="699">
      <c r="A699" s="439"/>
      <c r="B699" s="439"/>
      <c r="C699" s="439"/>
    </row>
    <row r="700">
      <c r="A700" s="439"/>
      <c r="B700" s="439"/>
      <c r="C700" s="439"/>
    </row>
    <row r="701">
      <c r="A701" s="439"/>
      <c r="B701" s="439"/>
      <c r="C701" s="439"/>
    </row>
    <row r="702">
      <c r="A702" s="439"/>
      <c r="B702" s="439"/>
      <c r="C702" s="439"/>
    </row>
    <row r="703">
      <c r="A703" s="439"/>
      <c r="B703" s="439"/>
      <c r="C703" s="439"/>
    </row>
    <row r="704">
      <c r="A704" s="439"/>
      <c r="B704" s="439"/>
      <c r="C704" s="439"/>
    </row>
    <row r="705">
      <c r="A705" s="439"/>
      <c r="B705" s="439"/>
      <c r="C705" s="439"/>
    </row>
    <row r="706">
      <c r="A706" s="439"/>
      <c r="B706" s="439"/>
      <c r="C706" s="439"/>
    </row>
    <row r="707">
      <c r="A707" s="439"/>
      <c r="B707" s="439"/>
      <c r="C707" s="439"/>
    </row>
    <row r="708">
      <c r="A708" s="439"/>
      <c r="B708" s="439"/>
      <c r="C708" s="439"/>
    </row>
    <row r="709">
      <c r="A709" s="439"/>
      <c r="B709" s="439"/>
      <c r="C709" s="439"/>
    </row>
    <row r="710">
      <c r="A710" s="439"/>
      <c r="B710" s="439"/>
      <c r="C710" s="439"/>
    </row>
    <row r="711">
      <c r="A711" s="439"/>
      <c r="B711" s="439"/>
      <c r="C711" s="439"/>
    </row>
    <row r="712">
      <c r="A712" s="439"/>
      <c r="B712" s="439"/>
      <c r="C712" s="439"/>
    </row>
    <row r="713">
      <c r="A713" s="439"/>
      <c r="B713" s="439"/>
      <c r="C713" s="439"/>
    </row>
    <row r="714">
      <c r="A714" s="439"/>
      <c r="B714" s="439"/>
      <c r="C714" s="439"/>
    </row>
    <row r="715">
      <c r="A715" s="439"/>
      <c r="B715" s="439"/>
      <c r="C715" s="439"/>
    </row>
    <row r="716">
      <c r="A716" s="439"/>
      <c r="B716" s="439"/>
      <c r="C716" s="439"/>
    </row>
    <row r="717">
      <c r="A717" s="439"/>
      <c r="B717" s="439"/>
      <c r="C717" s="439"/>
    </row>
    <row r="718">
      <c r="A718" s="439"/>
      <c r="B718" s="439"/>
      <c r="C718" s="439"/>
    </row>
    <row r="719">
      <c r="A719" s="439"/>
      <c r="B719" s="439"/>
      <c r="C719" s="439"/>
    </row>
    <row r="720">
      <c r="A720" s="439"/>
      <c r="B720" s="439"/>
      <c r="C720" s="439"/>
    </row>
    <row r="721">
      <c r="A721" s="439"/>
      <c r="B721" s="439"/>
      <c r="C721" s="439"/>
    </row>
    <row r="722">
      <c r="A722" s="439"/>
      <c r="B722" s="439"/>
      <c r="C722" s="439"/>
    </row>
    <row r="723">
      <c r="A723" s="439"/>
      <c r="B723" s="439"/>
      <c r="C723" s="439"/>
    </row>
    <row r="724">
      <c r="A724" s="439"/>
      <c r="B724" s="439"/>
      <c r="C724" s="439"/>
    </row>
    <row r="725">
      <c r="A725" s="439"/>
      <c r="B725" s="439"/>
      <c r="C725" s="439"/>
    </row>
    <row r="726">
      <c r="A726" s="439"/>
      <c r="B726" s="439"/>
      <c r="C726" s="439"/>
    </row>
    <row r="727">
      <c r="A727" s="439"/>
      <c r="B727" s="439"/>
      <c r="C727" s="439"/>
    </row>
    <row r="728">
      <c r="A728" s="439"/>
      <c r="B728" s="439"/>
      <c r="C728" s="439"/>
    </row>
    <row r="729">
      <c r="A729" s="439"/>
      <c r="B729" s="439"/>
      <c r="C729" s="439"/>
    </row>
    <row r="730">
      <c r="A730" s="439"/>
      <c r="B730" s="439"/>
      <c r="C730" s="439"/>
    </row>
    <row r="731">
      <c r="A731" s="439"/>
      <c r="B731" s="439"/>
      <c r="C731" s="439"/>
    </row>
    <row r="732">
      <c r="A732" s="439"/>
      <c r="B732" s="439"/>
      <c r="C732" s="439"/>
    </row>
    <row r="733">
      <c r="A733" s="439"/>
      <c r="B733" s="439"/>
      <c r="C733" s="439"/>
    </row>
    <row r="734">
      <c r="A734" s="439"/>
      <c r="B734" s="439"/>
      <c r="C734" s="439"/>
    </row>
    <row r="735">
      <c r="A735" s="439"/>
      <c r="B735" s="439"/>
      <c r="C735" s="439"/>
    </row>
    <row r="736">
      <c r="A736" s="439"/>
      <c r="B736" s="439"/>
      <c r="C736" s="439"/>
    </row>
    <row r="737">
      <c r="A737" s="439"/>
      <c r="B737" s="439"/>
      <c r="C737" s="439"/>
    </row>
    <row r="738">
      <c r="A738" s="439"/>
      <c r="B738" s="439"/>
      <c r="C738" s="439"/>
    </row>
    <row r="739">
      <c r="A739" s="439"/>
      <c r="B739" s="439"/>
      <c r="C739" s="439"/>
    </row>
    <row r="740">
      <c r="A740" s="439"/>
      <c r="B740" s="439"/>
      <c r="C740" s="439"/>
    </row>
    <row r="741">
      <c r="A741" s="439"/>
      <c r="B741" s="439"/>
      <c r="C741" s="439"/>
    </row>
    <row r="742">
      <c r="A742" s="439"/>
      <c r="B742" s="439"/>
      <c r="C742" s="439"/>
    </row>
    <row r="743">
      <c r="A743" s="439"/>
      <c r="B743" s="439"/>
      <c r="C743" s="439"/>
    </row>
    <row r="744">
      <c r="A744" s="439"/>
      <c r="B744" s="439"/>
      <c r="C744" s="439"/>
    </row>
    <row r="745">
      <c r="A745" s="439"/>
      <c r="B745" s="439"/>
      <c r="C745" s="439"/>
    </row>
    <row r="746">
      <c r="A746" s="439"/>
      <c r="B746" s="439"/>
      <c r="C746" s="439"/>
    </row>
    <row r="747">
      <c r="A747" s="439"/>
      <c r="B747" s="439"/>
      <c r="C747" s="439"/>
    </row>
    <row r="748">
      <c r="A748" s="439"/>
      <c r="B748" s="439"/>
      <c r="C748" s="439"/>
    </row>
    <row r="749">
      <c r="A749" s="439"/>
      <c r="B749" s="439"/>
      <c r="C749" s="439"/>
    </row>
    <row r="750">
      <c r="A750" s="439"/>
      <c r="B750" s="439"/>
      <c r="C750" s="439"/>
    </row>
    <row r="751">
      <c r="A751" s="439"/>
      <c r="B751" s="439"/>
      <c r="C751" s="439"/>
    </row>
    <row r="752">
      <c r="A752" s="439"/>
      <c r="B752" s="439"/>
      <c r="C752" s="439"/>
    </row>
    <row r="753">
      <c r="A753" s="439"/>
      <c r="B753" s="439"/>
      <c r="C753" s="439"/>
    </row>
    <row r="754">
      <c r="A754" s="439"/>
      <c r="B754" s="439"/>
      <c r="C754" s="439"/>
    </row>
    <row r="755">
      <c r="A755" s="439"/>
      <c r="B755" s="439"/>
      <c r="C755" s="439"/>
    </row>
    <row r="756">
      <c r="A756" s="439"/>
      <c r="B756" s="439"/>
      <c r="C756" s="439"/>
    </row>
    <row r="757">
      <c r="A757" s="439"/>
      <c r="B757" s="439"/>
      <c r="C757" s="439"/>
    </row>
    <row r="758">
      <c r="A758" s="439"/>
      <c r="B758" s="439"/>
      <c r="C758" s="439"/>
    </row>
    <row r="759">
      <c r="A759" s="439"/>
      <c r="B759" s="439"/>
      <c r="C759" s="439"/>
    </row>
    <row r="760">
      <c r="A760" s="439"/>
      <c r="B760" s="439"/>
      <c r="C760" s="439"/>
    </row>
    <row r="761">
      <c r="A761" s="439"/>
      <c r="B761" s="439"/>
      <c r="C761" s="439"/>
    </row>
    <row r="762">
      <c r="A762" s="439"/>
      <c r="B762" s="439"/>
      <c r="C762" s="439"/>
    </row>
    <row r="763">
      <c r="A763" s="439"/>
      <c r="B763" s="439"/>
      <c r="C763" s="439"/>
    </row>
    <row r="764">
      <c r="A764" s="439"/>
      <c r="B764" s="439"/>
      <c r="C764" s="439"/>
    </row>
    <row r="765">
      <c r="A765" s="439"/>
      <c r="B765" s="439"/>
      <c r="C765" s="439"/>
    </row>
    <row r="766">
      <c r="A766" s="439"/>
      <c r="B766" s="439"/>
      <c r="C766" s="439"/>
    </row>
    <row r="767">
      <c r="A767" s="439"/>
      <c r="B767" s="439"/>
      <c r="C767" s="439"/>
    </row>
    <row r="768">
      <c r="A768" s="439"/>
      <c r="B768" s="439"/>
      <c r="C768" s="439"/>
    </row>
    <row r="769">
      <c r="A769" s="439"/>
      <c r="B769" s="439"/>
      <c r="C769" s="439"/>
    </row>
    <row r="770">
      <c r="A770" s="439"/>
      <c r="B770" s="439"/>
      <c r="C770" s="439"/>
    </row>
    <row r="771">
      <c r="A771" s="439"/>
      <c r="B771" s="439"/>
      <c r="C771" s="439"/>
    </row>
    <row r="772">
      <c r="A772" s="439"/>
      <c r="B772" s="439"/>
      <c r="C772" s="439"/>
    </row>
    <row r="773">
      <c r="A773" s="439"/>
      <c r="B773" s="439"/>
      <c r="C773" s="439"/>
    </row>
    <row r="774">
      <c r="A774" s="439"/>
      <c r="B774" s="439"/>
      <c r="C774" s="439"/>
    </row>
    <row r="775">
      <c r="A775" s="439"/>
      <c r="B775" s="439"/>
      <c r="C775" s="439"/>
    </row>
    <row r="776">
      <c r="A776" s="439"/>
      <c r="B776" s="439"/>
      <c r="C776" s="439"/>
    </row>
    <row r="777">
      <c r="A777" s="439"/>
      <c r="B777" s="439"/>
      <c r="C777" s="439"/>
    </row>
    <row r="778">
      <c r="A778" s="439"/>
      <c r="B778" s="439"/>
      <c r="C778" s="439"/>
    </row>
    <row r="779">
      <c r="A779" s="439"/>
      <c r="B779" s="439"/>
      <c r="C779" s="439"/>
    </row>
    <row r="780">
      <c r="A780" s="439"/>
      <c r="B780" s="439"/>
      <c r="C780" s="439"/>
    </row>
    <row r="781">
      <c r="A781" s="439"/>
      <c r="B781" s="439"/>
      <c r="C781" s="439"/>
    </row>
    <row r="782">
      <c r="A782" s="439"/>
      <c r="B782" s="439"/>
      <c r="C782" s="439"/>
    </row>
    <row r="783">
      <c r="A783" s="439"/>
      <c r="B783" s="439"/>
      <c r="C783" s="439"/>
    </row>
    <row r="784">
      <c r="A784" s="439"/>
      <c r="B784" s="439"/>
      <c r="C784" s="439"/>
    </row>
    <row r="785">
      <c r="A785" s="439"/>
      <c r="B785" s="439"/>
      <c r="C785" s="439"/>
    </row>
    <row r="786">
      <c r="A786" s="439"/>
      <c r="B786" s="439"/>
      <c r="C786" s="439"/>
    </row>
    <row r="787">
      <c r="A787" s="439"/>
      <c r="B787" s="439"/>
      <c r="C787" s="439"/>
    </row>
    <row r="788">
      <c r="A788" s="439"/>
      <c r="B788" s="439"/>
      <c r="C788" s="439"/>
    </row>
    <row r="789">
      <c r="A789" s="439"/>
      <c r="B789" s="439"/>
      <c r="C789" s="439"/>
    </row>
    <row r="790">
      <c r="A790" s="439"/>
      <c r="B790" s="439"/>
      <c r="C790" s="439"/>
    </row>
    <row r="791">
      <c r="A791" s="439"/>
      <c r="B791" s="439"/>
      <c r="C791" s="439"/>
    </row>
    <row r="792">
      <c r="A792" s="439"/>
      <c r="B792" s="439"/>
      <c r="C792" s="439"/>
    </row>
    <row r="793">
      <c r="A793" s="439"/>
      <c r="B793" s="439"/>
      <c r="C793" s="439"/>
    </row>
    <row r="794">
      <c r="A794" s="439"/>
      <c r="B794" s="439"/>
      <c r="C794" s="439"/>
    </row>
    <row r="795">
      <c r="A795" s="439"/>
      <c r="B795" s="439"/>
      <c r="C795" s="439"/>
    </row>
    <row r="796">
      <c r="A796" s="439"/>
      <c r="B796" s="439"/>
      <c r="C796" s="439"/>
    </row>
    <row r="797">
      <c r="A797" s="439"/>
      <c r="B797" s="439"/>
      <c r="C797" s="439"/>
    </row>
    <row r="798">
      <c r="A798" s="439"/>
      <c r="B798" s="439"/>
      <c r="C798" s="439"/>
    </row>
    <row r="799">
      <c r="A799" s="439"/>
      <c r="B799" s="439"/>
      <c r="C799" s="439"/>
    </row>
    <row r="800">
      <c r="A800" s="439"/>
      <c r="B800" s="439"/>
      <c r="C800" s="439"/>
    </row>
    <row r="801">
      <c r="A801" s="439"/>
      <c r="B801" s="439"/>
      <c r="C801" s="439"/>
    </row>
    <row r="802">
      <c r="A802" s="439"/>
      <c r="B802" s="439"/>
      <c r="C802" s="439"/>
    </row>
    <row r="803">
      <c r="A803" s="439"/>
      <c r="B803" s="439"/>
      <c r="C803" s="439"/>
    </row>
    <row r="804">
      <c r="A804" s="439"/>
      <c r="B804" s="439"/>
      <c r="C804" s="439"/>
    </row>
    <row r="805">
      <c r="A805" s="439"/>
      <c r="B805" s="439"/>
      <c r="C805" s="439"/>
    </row>
    <row r="806">
      <c r="A806" s="439"/>
      <c r="B806" s="439"/>
      <c r="C806" s="439"/>
    </row>
    <row r="807">
      <c r="A807" s="439"/>
      <c r="B807" s="439"/>
      <c r="C807" s="439"/>
    </row>
    <row r="808">
      <c r="A808" s="439"/>
      <c r="B808" s="439"/>
      <c r="C808" s="439"/>
    </row>
    <row r="809">
      <c r="A809" s="439"/>
      <c r="B809" s="439"/>
      <c r="C809" s="439"/>
    </row>
    <row r="810">
      <c r="A810" s="439"/>
      <c r="B810" s="439"/>
      <c r="C810" s="439"/>
    </row>
    <row r="811">
      <c r="A811" s="439"/>
      <c r="B811" s="439"/>
      <c r="C811" s="439"/>
    </row>
    <row r="812">
      <c r="A812" s="439"/>
      <c r="B812" s="439"/>
      <c r="C812" s="439"/>
    </row>
    <row r="813">
      <c r="A813" s="439"/>
      <c r="B813" s="439"/>
      <c r="C813" s="439"/>
    </row>
    <row r="814">
      <c r="A814" s="439"/>
      <c r="B814" s="439"/>
      <c r="C814" s="439"/>
    </row>
    <row r="815">
      <c r="A815" s="439"/>
      <c r="B815" s="439"/>
      <c r="C815" s="439"/>
    </row>
    <row r="816">
      <c r="A816" s="439"/>
      <c r="B816" s="439"/>
      <c r="C816" s="439"/>
    </row>
    <row r="817">
      <c r="A817" s="439"/>
      <c r="B817" s="439"/>
      <c r="C817" s="439"/>
    </row>
    <row r="818">
      <c r="A818" s="439"/>
      <c r="B818" s="439"/>
      <c r="C818" s="439"/>
    </row>
    <row r="819">
      <c r="A819" s="439"/>
      <c r="B819" s="439"/>
      <c r="C819" s="439"/>
    </row>
    <row r="820">
      <c r="A820" s="439"/>
      <c r="B820" s="439"/>
      <c r="C820" s="439"/>
    </row>
    <row r="821">
      <c r="A821" s="439"/>
      <c r="B821" s="439"/>
      <c r="C821" s="439"/>
    </row>
    <row r="822">
      <c r="A822" s="439"/>
      <c r="B822" s="439"/>
      <c r="C822" s="439"/>
    </row>
    <row r="823">
      <c r="A823" s="439"/>
      <c r="B823" s="439"/>
      <c r="C823" s="439"/>
    </row>
    <row r="824">
      <c r="A824" s="439"/>
      <c r="B824" s="439"/>
      <c r="C824" s="439"/>
    </row>
    <row r="825">
      <c r="A825" s="439"/>
      <c r="B825" s="439"/>
      <c r="C825" s="439"/>
    </row>
    <row r="826">
      <c r="A826" s="439"/>
      <c r="B826" s="439"/>
      <c r="C826" s="439"/>
    </row>
    <row r="827">
      <c r="A827" s="439"/>
      <c r="B827" s="439"/>
      <c r="C827" s="439"/>
    </row>
    <row r="828">
      <c r="A828" s="439"/>
      <c r="B828" s="439"/>
      <c r="C828" s="439"/>
    </row>
    <row r="829">
      <c r="A829" s="439"/>
      <c r="B829" s="439"/>
      <c r="C829" s="439"/>
    </row>
    <row r="830">
      <c r="A830" s="439"/>
      <c r="B830" s="439"/>
      <c r="C830" s="439"/>
    </row>
    <row r="831">
      <c r="A831" s="439"/>
      <c r="B831" s="439"/>
      <c r="C831" s="439"/>
    </row>
    <row r="832">
      <c r="A832" s="439"/>
      <c r="B832" s="439"/>
      <c r="C832" s="439"/>
    </row>
    <row r="833">
      <c r="A833" s="439"/>
      <c r="B833" s="439"/>
      <c r="C833" s="439"/>
    </row>
    <row r="834">
      <c r="A834" s="439"/>
      <c r="B834" s="439"/>
      <c r="C834" s="439"/>
    </row>
    <row r="835">
      <c r="A835" s="439"/>
      <c r="B835" s="439"/>
      <c r="C835" s="439"/>
    </row>
    <row r="836">
      <c r="A836" s="439"/>
      <c r="B836" s="439"/>
      <c r="C836" s="439"/>
    </row>
    <row r="837">
      <c r="A837" s="439"/>
      <c r="B837" s="439"/>
      <c r="C837" s="439"/>
    </row>
    <row r="838">
      <c r="A838" s="439"/>
      <c r="B838" s="439"/>
      <c r="C838" s="439"/>
    </row>
    <row r="839">
      <c r="A839" s="439"/>
      <c r="B839" s="439"/>
      <c r="C839" s="439"/>
    </row>
    <row r="840">
      <c r="A840" s="439"/>
      <c r="B840" s="439"/>
      <c r="C840" s="439"/>
    </row>
    <row r="841">
      <c r="A841" s="439"/>
      <c r="B841" s="439"/>
      <c r="C841" s="439"/>
    </row>
    <row r="842">
      <c r="A842" s="439"/>
      <c r="B842" s="439"/>
      <c r="C842" s="439"/>
    </row>
    <row r="843">
      <c r="A843" s="439"/>
      <c r="B843" s="439"/>
      <c r="C843" s="439"/>
    </row>
    <row r="844">
      <c r="A844" s="439"/>
      <c r="B844" s="439"/>
      <c r="C844" s="439"/>
    </row>
    <row r="845">
      <c r="A845" s="439"/>
      <c r="B845" s="439"/>
      <c r="C845" s="439"/>
    </row>
    <row r="846">
      <c r="A846" s="439"/>
      <c r="B846" s="439"/>
      <c r="C846" s="439"/>
    </row>
    <row r="847">
      <c r="A847" s="439"/>
      <c r="B847" s="439"/>
      <c r="C847" s="439"/>
    </row>
    <row r="848">
      <c r="A848" s="439"/>
      <c r="B848" s="439"/>
      <c r="C848" s="439"/>
    </row>
    <row r="849">
      <c r="A849" s="439"/>
      <c r="B849" s="439"/>
      <c r="C849" s="439"/>
    </row>
    <row r="850">
      <c r="A850" s="439"/>
      <c r="B850" s="439"/>
      <c r="C850" s="439"/>
    </row>
    <row r="851">
      <c r="A851" s="439"/>
      <c r="B851" s="439"/>
      <c r="C851" s="439"/>
    </row>
    <row r="852">
      <c r="A852" s="439"/>
      <c r="B852" s="439"/>
      <c r="C852" s="439"/>
    </row>
    <row r="853">
      <c r="A853" s="439"/>
      <c r="B853" s="439"/>
      <c r="C853" s="439"/>
    </row>
    <row r="854">
      <c r="A854" s="439"/>
      <c r="B854" s="439"/>
      <c r="C854" s="439"/>
    </row>
    <row r="855">
      <c r="A855" s="439"/>
      <c r="B855" s="439"/>
      <c r="C855" s="439"/>
    </row>
    <row r="856">
      <c r="A856" s="439"/>
      <c r="B856" s="439"/>
      <c r="C856" s="439"/>
    </row>
    <row r="857">
      <c r="A857" s="439"/>
      <c r="B857" s="439"/>
      <c r="C857" s="439"/>
    </row>
    <row r="858">
      <c r="A858" s="439"/>
      <c r="B858" s="439"/>
      <c r="C858" s="439"/>
    </row>
    <row r="859">
      <c r="A859" s="439"/>
      <c r="B859" s="439"/>
      <c r="C859" s="439"/>
    </row>
    <row r="860">
      <c r="A860" s="439"/>
      <c r="B860" s="439"/>
      <c r="C860" s="439"/>
    </row>
    <row r="861">
      <c r="A861" s="439"/>
      <c r="B861" s="439"/>
      <c r="C861" s="439"/>
    </row>
    <row r="862">
      <c r="A862" s="439"/>
      <c r="B862" s="439"/>
      <c r="C862" s="439"/>
    </row>
    <row r="863">
      <c r="A863" s="439"/>
      <c r="B863" s="439"/>
      <c r="C863" s="439"/>
    </row>
    <row r="864">
      <c r="A864" s="439"/>
      <c r="B864" s="439"/>
      <c r="C864" s="439"/>
    </row>
    <row r="865">
      <c r="A865" s="439"/>
      <c r="B865" s="439"/>
      <c r="C865" s="439"/>
    </row>
    <row r="866">
      <c r="A866" s="439"/>
      <c r="B866" s="439"/>
      <c r="C866" s="439"/>
    </row>
    <row r="867">
      <c r="A867" s="439"/>
      <c r="B867" s="439"/>
      <c r="C867" s="439"/>
    </row>
    <row r="868">
      <c r="A868" s="439"/>
      <c r="B868" s="439"/>
      <c r="C868" s="439"/>
    </row>
    <row r="869">
      <c r="A869" s="439"/>
      <c r="B869" s="439"/>
      <c r="C869" s="439"/>
    </row>
    <row r="870">
      <c r="A870" s="439"/>
      <c r="B870" s="439"/>
      <c r="C870" s="439"/>
    </row>
    <row r="871">
      <c r="A871" s="439"/>
      <c r="B871" s="439"/>
      <c r="C871" s="439"/>
    </row>
    <row r="872">
      <c r="A872" s="439"/>
      <c r="B872" s="439"/>
      <c r="C872" s="439"/>
    </row>
    <row r="873">
      <c r="A873" s="439"/>
      <c r="B873" s="439"/>
      <c r="C873" s="439"/>
    </row>
    <row r="874">
      <c r="A874" s="439"/>
      <c r="B874" s="439"/>
      <c r="C874" s="439"/>
    </row>
    <row r="875">
      <c r="A875" s="439"/>
      <c r="B875" s="439"/>
      <c r="C875" s="439"/>
    </row>
    <row r="876">
      <c r="A876" s="439"/>
      <c r="B876" s="439"/>
      <c r="C876" s="439"/>
    </row>
    <row r="877">
      <c r="A877" s="439"/>
      <c r="B877" s="439"/>
      <c r="C877" s="439"/>
    </row>
    <row r="878">
      <c r="A878" s="439"/>
      <c r="B878" s="439"/>
      <c r="C878" s="439"/>
    </row>
    <row r="879">
      <c r="A879" s="439"/>
      <c r="B879" s="439"/>
      <c r="C879" s="439"/>
    </row>
    <row r="880">
      <c r="A880" s="439"/>
      <c r="B880" s="439"/>
      <c r="C880" s="439"/>
    </row>
    <row r="881">
      <c r="A881" s="439"/>
      <c r="B881" s="439"/>
      <c r="C881" s="439"/>
    </row>
    <row r="882">
      <c r="A882" s="439"/>
      <c r="B882" s="439"/>
      <c r="C882" s="439"/>
    </row>
    <row r="883">
      <c r="A883" s="439"/>
      <c r="B883" s="439"/>
      <c r="C883" s="439"/>
    </row>
    <row r="884">
      <c r="A884" s="439"/>
      <c r="B884" s="439"/>
      <c r="C884" s="439"/>
    </row>
    <row r="885">
      <c r="A885" s="439"/>
      <c r="B885" s="439"/>
      <c r="C885" s="439"/>
    </row>
    <row r="886">
      <c r="A886" s="439"/>
      <c r="B886" s="439"/>
      <c r="C886" s="439"/>
    </row>
    <row r="887">
      <c r="A887" s="439"/>
      <c r="B887" s="439"/>
      <c r="C887" s="439"/>
    </row>
    <row r="888">
      <c r="A888" s="439"/>
      <c r="B888" s="439"/>
      <c r="C888" s="439"/>
    </row>
    <row r="889">
      <c r="A889" s="439"/>
      <c r="B889" s="439"/>
      <c r="C889" s="439"/>
    </row>
    <row r="890">
      <c r="A890" s="439"/>
      <c r="B890" s="439"/>
      <c r="C890" s="439"/>
    </row>
    <row r="891">
      <c r="A891" s="439"/>
      <c r="B891" s="439"/>
      <c r="C891" s="439"/>
    </row>
    <row r="892">
      <c r="A892" s="439"/>
      <c r="B892" s="439"/>
      <c r="C892" s="439"/>
    </row>
    <row r="893">
      <c r="A893" s="439"/>
      <c r="B893" s="439"/>
      <c r="C893" s="439"/>
    </row>
    <row r="894">
      <c r="A894" s="439"/>
      <c r="B894" s="439"/>
      <c r="C894" s="439"/>
    </row>
    <row r="895">
      <c r="A895" s="439"/>
      <c r="B895" s="439"/>
      <c r="C895" s="439"/>
    </row>
    <row r="896">
      <c r="A896" s="439"/>
      <c r="B896" s="439"/>
      <c r="C896" s="439"/>
    </row>
    <row r="897">
      <c r="A897" s="439"/>
      <c r="B897" s="439"/>
      <c r="C897" s="439"/>
    </row>
    <row r="898">
      <c r="A898" s="439"/>
      <c r="B898" s="439"/>
      <c r="C898" s="439"/>
    </row>
    <row r="899">
      <c r="A899" s="439"/>
      <c r="B899" s="439"/>
      <c r="C899" s="439"/>
    </row>
    <row r="900">
      <c r="A900" s="439"/>
      <c r="B900" s="439"/>
      <c r="C900" s="439"/>
    </row>
    <row r="901">
      <c r="A901" s="439"/>
      <c r="B901" s="439"/>
      <c r="C901" s="439"/>
    </row>
    <row r="902">
      <c r="A902" s="439"/>
      <c r="B902" s="439"/>
      <c r="C902" s="439"/>
    </row>
    <row r="903">
      <c r="A903" s="439"/>
      <c r="B903" s="439"/>
      <c r="C903" s="439"/>
    </row>
    <row r="904">
      <c r="A904" s="439"/>
      <c r="B904" s="439"/>
      <c r="C904" s="439"/>
    </row>
    <row r="905">
      <c r="A905" s="439"/>
      <c r="B905" s="439"/>
      <c r="C905" s="439"/>
    </row>
    <row r="906">
      <c r="A906" s="439"/>
      <c r="B906" s="439"/>
      <c r="C906" s="439"/>
    </row>
    <row r="907">
      <c r="A907" s="439"/>
      <c r="B907" s="439"/>
      <c r="C907" s="439"/>
    </row>
    <row r="908">
      <c r="A908" s="439"/>
      <c r="B908" s="439"/>
      <c r="C908" s="439"/>
    </row>
    <row r="909">
      <c r="A909" s="439"/>
      <c r="B909" s="439"/>
      <c r="C909" s="439"/>
    </row>
    <row r="910">
      <c r="A910" s="439"/>
      <c r="B910" s="439"/>
      <c r="C910" s="439"/>
    </row>
    <row r="911">
      <c r="A911" s="439"/>
      <c r="B911" s="439"/>
      <c r="C911" s="439"/>
    </row>
    <row r="912">
      <c r="A912" s="439"/>
      <c r="B912" s="439"/>
      <c r="C912" s="439"/>
    </row>
    <row r="913">
      <c r="A913" s="439"/>
      <c r="B913" s="439"/>
      <c r="C913" s="439"/>
    </row>
    <row r="914">
      <c r="A914" s="439"/>
      <c r="B914" s="439"/>
      <c r="C914" s="439"/>
    </row>
    <row r="915">
      <c r="A915" s="439"/>
      <c r="B915" s="439"/>
      <c r="C915" s="439"/>
    </row>
    <row r="916">
      <c r="A916" s="439"/>
      <c r="B916" s="439"/>
      <c r="C916" s="439"/>
    </row>
    <row r="917">
      <c r="A917" s="439"/>
      <c r="B917" s="439"/>
      <c r="C917" s="439"/>
    </row>
    <row r="918">
      <c r="A918" s="439"/>
      <c r="B918" s="439"/>
      <c r="C918" s="439"/>
    </row>
    <row r="919">
      <c r="A919" s="439"/>
      <c r="B919" s="439"/>
      <c r="C919" s="439"/>
    </row>
    <row r="920">
      <c r="A920" s="439"/>
      <c r="B920" s="439"/>
      <c r="C920" s="439"/>
    </row>
    <row r="921">
      <c r="A921" s="439"/>
      <c r="B921" s="439"/>
      <c r="C921" s="439"/>
    </row>
    <row r="922">
      <c r="A922" s="439"/>
      <c r="B922" s="439"/>
      <c r="C922" s="439"/>
    </row>
    <row r="923">
      <c r="A923" s="439"/>
      <c r="B923" s="439"/>
      <c r="C923" s="439"/>
    </row>
    <row r="924">
      <c r="A924" s="439"/>
      <c r="B924" s="439"/>
      <c r="C924" s="439"/>
    </row>
    <row r="925">
      <c r="A925" s="439"/>
      <c r="B925" s="439"/>
      <c r="C925" s="439"/>
    </row>
    <row r="926">
      <c r="A926" s="439"/>
      <c r="B926" s="439"/>
      <c r="C926" s="439"/>
    </row>
    <row r="927">
      <c r="A927" s="439"/>
      <c r="B927" s="439"/>
      <c r="C927" s="439"/>
    </row>
    <row r="928">
      <c r="A928" s="439"/>
      <c r="B928" s="439"/>
      <c r="C928" s="439"/>
    </row>
    <row r="929">
      <c r="A929" s="439"/>
      <c r="B929" s="439"/>
      <c r="C929" s="439"/>
    </row>
    <row r="930">
      <c r="A930" s="439"/>
      <c r="B930" s="439"/>
      <c r="C930" s="439"/>
    </row>
    <row r="931">
      <c r="A931" s="439"/>
      <c r="B931" s="439"/>
      <c r="C931" s="439"/>
    </row>
    <row r="932">
      <c r="A932" s="439"/>
      <c r="B932" s="439"/>
      <c r="C932" s="439"/>
    </row>
    <row r="933">
      <c r="A933" s="439"/>
      <c r="B933" s="439"/>
      <c r="C933" s="439"/>
    </row>
    <row r="934">
      <c r="A934" s="439"/>
      <c r="B934" s="439"/>
      <c r="C934" s="439"/>
    </row>
    <row r="935">
      <c r="A935" s="439"/>
      <c r="B935" s="439"/>
      <c r="C935" s="439"/>
    </row>
    <row r="936">
      <c r="A936" s="439"/>
      <c r="B936" s="439"/>
      <c r="C936" s="439"/>
    </row>
    <row r="937">
      <c r="A937" s="439"/>
      <c r="B937" s="439"/>
      <c r="C937" s="439"/>
    </row>
    <row r="938">
      <c r="A938" s="439"/>
      <c r="B938" s="439"/>
      <c r="C938" s="439"/>
    </row>
    <row r="939">
      <c r="A939" s="439"/>
      <c r="B939" s="439"/>
      <c r="C939" s="439"/>
    </row>
    <row r="940">
      <c r="A940" s="439"/>
      <c r="B940" s="439"/>
      <c r="C940" s="439"/>
    </row>
    <row r="941">
      <c r="A941" s="439"/>
      <c r="B941" s="439"/>
      <c r="C941" s="439"/>
    </row>
    <row r="942">
      <c r="A942" s="439"/>
      <c r="B942" s="439"/>
      <c r="C942" s="439"/>
    </row>
    <row r="943">
      <c r="A943" s="439"/>
      <c r="B943" s="439"/>
      <c r="C943" s="439"/>
    </row>
    <row r="944">
      <c r="A944" s="439"/>
      <c r="B944" s="439"/>
      <c r="C944" s="439"/>
    </row>
    <row r="945">
      <c r="A945" s="439"/>
      <c r="B945" s="439"/>
      <c r="C945" s="439"/>
    </row>
    <row r="946">
      <c r="A946" s="439"/>
      <c r="B946" s="439"/>
      <c r="C946" s="439"/>
    </row>
    <row r="947">
      <c r="A947" s="439"/>
      <c r="B947" s="439"/>
      <c r="C947" s="439"/>
    </row>
    <row r="948">
      <c r="A948" s="439"/>
      <c r="B948" s="439"/>
      <c r="C948" s="439"/>
    </row>
    <row r="949">
      <c r="A949" s="439"/>
      <c r="B949" s="439"/>
      <c r="C949" s="439"/>
    </row>
    <row r="950">
      <c r="A950" s="439"/>
      <c r="B950" s="439"/>
      <c r="C950" s="439"/>
    </row>
    <row r="951">
      <c r="A951" s="439"/>
      <c r="B951" s="439"/>
      <c r="C951" s="439"/>
    </row>
    <row r="952">
      <c r="A952" s="439"/>
      <c r="B952" s="439"/>
      <c r="C952" s="439"/>
    </row>
    <row r="953">
      <c r="A953" s="439"/>
      <c r="B953" s="439"/>
      <c r="C953" s="439"/>
    </row>
    <row r="954">
      <c r="A954" s="439"/>
      <c r="B954" s="439"/>
      <c r="C954" s="439"/>
    </row>
    <row r="955">
      <c r="A955" s="439"/>
      <c r="B955" s="439"/>
      <c r="C955" s="439"/>
    </row>
    <row r="956">
      <c r="A956" s="439"/>
      <c r="B956" s="439"/>
      <c r="C956" s="439"/>
    </row>
    <row r="957">
      <c r="A957" s="439"/>
      <c r="B957" s="439"/>
      <c r="C957" s="439"/>
    </row>
    <row r="958">
      <c r="A958" s="439"/>
      <c r="B958" s="439"/>
      <c r="C958" s="439"/>
    </row>
    <row r="959">
      <c r="A959" s="439"/>
      <c r="B959" s="439"/>
      <c r="C959" s="439"/>
    </row>
    <row r="960">
      <c r="A960" s="439"/>
      <c r="B960" s="439"/>
      <c r="C960" s="439"/>
    </row>
    <row r="961">
      <c r="A961" s="439"/>
      <c r="B961" s="439"/>
      <c r="C961" s="439"/>
    </row>
    <row r="962">
      <c r="A962" s="439"/>
      <c r="B962" s="439"/>
      <c r="C962" s="439"/>
    </row>
    <row r="963">
      <c r="A963" s="439"/>
      <c r="B963" s="439"/>
      <c r="C963" s="439"/>
    </row>
    <row r="964">
      <c r="A964" s="439"/>
      <c r="B964" s="439"/>
      <c r="C964" s="439"/>
    </row>
    <row r="965">
      <c r="A965" s="439"/>
      <c r="B965" s="439"/>
      <c r="C965" s="439"/>
    </row>
    <row r="966">
      <c r="A966" s="439"/>
      <c r="B966" s="439"/>
      <c r="C966" s="439"/>
    </row>
    <row r="967">
      <c r="A967" s="439"/>
      <c r="B967" s="439"/>
      <c r="C967" s="439"/>
    </row>
    <row r="968">
      <c r="A968" s="439"/>
      <c r="B968" s="439"/>
      <c r="C968" s="439"/>
    </row>
    <row r="969">
      <c r="A969" s="439"/>
      <c r="B969" s="439"/>
      <c r="C969" s="439"/>
    </row>
    <row r="970">
      <c r="A970" s="439"/>
      <c r="B970" s="439"/>
      <c r="C970" s="439"/>
    </row>
    <row r="971">
      <c r="A971" s="439"/>
      <c r="B971" s="439"/>
      <c r="C971" s="439"/>
    </row>
    <row r="972">
      <c r="A972" s="439"/>
      <c r="B972" s="439"/>
      <c r="C972" s="439"/>
    </row>
    <row r="973">
      <c r="A973" s="439"/>
      <c r="B973" s="439"/>
      <c r="C973" s="439"/>
    </row>
    <row r="974">
      <c r="A974" s="439"/>
      <c r="B974" s="439"/>
      <c r="C974" s="439"/>
    </row>
    <row r="975">
      <c r="A975" s="439"/>
      <c r="B975" s="439"/>
      <c r="C975" s="439"/>
    </row>
    <row r="976">
      <c r="A976" s="439"/>
      <c r="B976" s="439"/>
      <c r="C976" s="439"/>
    </row>
    <row r="977">
      <c r="A977" s="439"/>
      <c r="B977" s="439"/>
      <c r="C977" s="439"/>
    </row>
    <row r="978">
      <c r="A978" s="439"/>
      <c r="B978" s="439"/>
      <c r="C978" s="439"/>
    </row>
    <row r="979">
      <c r="A979" s="439"/>
      <c r="B979" s="439"/>
      <c r="C979" s="439"/>
    </row>
    <row r="980">
      <c r="A980" s="439"/>
      <c r="B980" s="439"/>
      <c r="C980" s="439"/>
    </row>
    <row r="981">
      <c r="A981" s="439"/>
      <c r="B981" s="439"/>
      <c r="C981" s="439"/>
    </row>
    <row r="982">
      <c r="A982" s="439"/>
      <c r="B982" s="439"/>
      <c r="C982" s="439"/>
    </row>
    <row r="983">
      <c r="A983" s="439"/>
      <c r="B983" s="439"/>
      <c r="C983" s="439"/>
    </row>
    <row r="984">
      <c r="A984" s="439"/>
      <c r="B984" s="439"/>
      <c r="C984" s="439"/>
    </row>
    <row r="985">
      <c r="A985" s="439"/>
      <c r="B985" s="439"/>
      <c r="C985" s="439"/>
    </row>
    <row r="986">
      <c r="A986" s="439"/>
      <c r="B986" s="439"/>
      <c r="C986" s="439"/>
    </row>
    <row r="987">
      <c r="A987" s="439"/>
      <c r="B987" s="439"/>
      <c r="C987" s="439"/>
    </row>
    <row r="988">
      <c r="A988" s="439"/>
      <c r="B988" s="439"/>
      <c r="C988" s="439"/>
    </row>
    <row r="989">
      <c r="A989" s="439"/>
      <c r="B989" s="439"/>
      <c r="C989" s="439"/>
    </row>
    <row r="990">
      <c r="A990" s="439"/>
      <c r="B990" s="439"/>
      <c r="C990" s="439"/>
    </row>
    <row r="991">
      <c r="A991" s="439"/>
      <c r="B991" s="439"/>
      <c r="C991" s="439"/>
    </row>
    <row r="992">
      <c r="A992" s="439"/>
      <c r="B992" s="439"/>
      <c r="C992" s="439"/>
    </row>
    <row r="993">
      <c r="A993" s="439"/>
      <c r="B993" s="439"/>
      <c r="C993" s="439"/>
    </row>
    <row r="994">
      <c r="A994" s="439"/>
      <c r="B994" s="439"/>
      <c r="C994" s="439"/>
    </row>
    <row r="995">
      <c r="A995" s="439"/>
      <c r="B995" s="439"/>
      <c r="C995" s="439"/>
    </row>
    <row r="996">
      <c r="A996" s="439"/>
      <c r="B996" s="439"/>
      <c r="C996" s="439"/>
    </row>
    <row r="997">
      <c r="A997" s="439"/>
      <c r="B997" s="439"/>
      <c r="C997" s="439"/>
    </row>
    <row r="998">
      <c r="A998" s="439"/>
      <c r="B998" s="439"/>
      <c r="C998" s="439"/>
    </row>
    <row r="999">
      <c r="A999" s="439"/>
      <c r="B999" s="439"/>
      <c r="C999" s="439"/>
    </row>
    <row r="1000">
      <c r="A1000" s="439"/>
      <c r="B1000" s="439"/>
      <c r="C1000" s="439"/>
    </row>
  </sheetData>
  <mergeCells count="1">
    <mergeCell ref="B2:D2"/>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3" max="3" width="24.25"/>
    <col customWidth="1" min="4" max="4" width="7.25"/>
    <col customWidth="1" min="5" max="5" width="7.0"/>
    <col customWidth="1" min="6" max="6" width="10.5"/>
    <col customWidth="1" min="7" max="7" width="9.38"/>
    <col customWidth="1" min="8" max="8" width="6.25"/>
    <col customWidth="1" min="9" max="9" width="7.88"/>
    <col customWidth="1" min="10" max="10" width="9.13"/>
    <col customWidth="1" min="11" max="11" width="6.0"/>
    <col customWidth="1" min="12" max="12" width="9.25"/>
    <col customWidth="1" min="13" max="13" width="5.63"/>
    <col customWidth="1" min="14" max="14" width="7.25"/>
    <col customWidth="1" min="15" max="15" width="5.63"/>
    <col customWidth="1" min="16" max="16" width="6.13"/>
    <col customWidth="1" min="17" max="17" width="5.75"/>
    <col customWidth="1" min="18" max="18" width="6.25"/>
    <col customWidth="1" min="19" max="19" width="6.88"/>
    <col customWidth="1" min="20" max="20" width="8.5"/>
    <col customWidth="1" min="21" max="21" width="5.5"/>
    <col customWidth="1" min="22" max="22" width="5.63"/>
    <col customWidth="1" min="23" max="23" width="7.13"/>
    <col customWidth="1" min="24" max="24" width="8.25"/>
    <col customWidth="1" min="25" max="25" width="7.0"/>
    <col customWidth="1" min="26" max="26" width="6.5"/>
    <col customWidth="1" min="27" max="27" width="5.38"/>
    <col customWidth="1" min="28" max="28" width="11.0"/>
    <col customWidth="1" min="29" max="29" width="6.38"/>
    <col customWidth="1" min="30" max="30" width="10.0"/>
    <col customWidth="1" min="31" max="31" width="7.75"/>
    <col customWidth="1" min="32" max="32" width="6.63"/>
    <col customWidth="1" min="33" max="33" width="13.0"/>
    <col customWidth="1" min="34" max="34" width="9.13"/>
    <col customWidth="1" min="35" max="35" width="7.5"/>
    <col customWidth="1" min="36" max="39" width="7.88"/>
    <col customWidth="1" min="40" max="40" width="10.25"/>
    <col customWidth="1" min="41" max="42" width="7.88"/>
  </cols>
  <sheetData>
    <row r="1" ht="15.75" customHeight="1">
      <c r="A1" s="445"/>
      <c r="B1" s="445"/>
      <c r="C1" s="37"/>
      <c r="AK1" s="61"/>
    </row>
    <row r="2" ht="15.75" customHeight="1">
      <c r="A2" s="446"/>
      <c r="B2" s="446"/>
      <c r="C2" s="27"/>
      <c r="D2" s="447" t="s">
        <v>680</v>
      </c>
      <c r="E2" s="45"/>
      <c r="F2" s="46"/>
      <c r="G2" s="447" t="s">
        <v>681</v>
      </c>
      <c r="H2" s="45"/>
      <c r="I2" s="46"/>
      <c r="J2" s="447" t="s">
        <v>682</v>
      </c>
      <c r="K2" s="45"/>
      <c r="L2" s="46"/>
      <c r="M2" s="447" t="s">
        <v>49</v>
      </c>
      <c r="N2" s="45"/>
      <c r="O2" s="46"/>
      <c r="P2" s="447" t="s">
        <v>683</v>
      </c>
      <c r="Q2" s="45"/>
      <c r="R2" s="46"/>
      <c r="S2" s="447" t="s">
        <v>29</v>
      </c>
      <c r="T2" s="45"/>
      <c r="U2" s="46"/>
      <c r="V2" s="447" t="s">
        <v>28</v>
      </c>
      <c r="W2" s="45"/>
      <c r="X2" s="46"/>
      <c r="Y2" s="448" t="s">
        <v>684</v>
      </c>
      <c r="Z2" s="45"/>
      <c r="AA2" s="46"/>
      <c r="AB2" s="448" t="s">
        <v>685</v>
      </c>
      <c r="AC2" s="45"/>
      <c r="AD2" s="46"/>
      <c r="AE2" s="448" t="s">
        <v>686</v>
      </c>
      <c r="AF2" s="45"/>
      <c r="AG2" s="46"/>
      <c r="AH2" s="448" t="s">
        <v>687</v>
      </c>
      <c r="AI2" s="45"/>
      <c r="AJ2" s="46"/>
      <c r="AK2" s="449" t="s">
        <v>72</v>
      </c>
      <c r="AL2" s="45"/>
      <c r="AM2" s="46"/>
      <c r="AN2" s="448" t="s">
        <v>623</v>
      </c>
      <c r="AO2" s="45"/>
      <c r="AP2" s="46"/>
    </row>
    <row r="3" ht="15.75" customHeight="1">
      <c r="A3" s="446" t="s">
        <v>60</v>
      </c>
      <c r="B3" s="446" t="s">
        <v>688</v>
      </c>
      <c r="C3" s="43" t="s">
        <v>61</v>
      </c>
      <c r="D3" s="192" t="s">
        <v>689</v>
      </c>
      <c r="E3" s="192" t="s">
        <v>690</v>
      </c>
      <c r="F3" s="192" t="s">
        <v>691</v>
      </c>
      <c r="G3" s="192" t="s">
        <v>689</v>
      </c>
      <c r="H3" s="192" t="s">
        <v>690</v>
      </c>
      <c r="I3" s="192" t="s">
        <v>691</v>
      </c>
      <c r="J3" s="192" t="s">
        <v>689</v>
      </c>
      <c r="K3" s="192" t="s">
        <v>690</v>
      </c>
      <c r="L3" s="192" t="s">
        <v>691</v>
      </c>
      <c r="M3" s="192" t="s">
        <v>689</v>
      </c>
      <c r="N3" s="192" t="s">
        <v>690</v>
      </c>
      <c r="O3" s="192" t="s">
        <v>691</v>
      </c>
      <c r="P3" s="192" t="s">
        <v>689</v>
      </c>
      <c r="Q3" s="192" t="s">
        <v>690</v>
      </c>
      <c r="R3" s="192" t="s">
        <v>691</v>
      </c>
      <c r="S3" s="192" t="s">
        <v>689</v>
      </c>
      <c r="T3" s="192" t="s">
        <v>690</v>
      </c>
      <c r="U3" s="192" t="s">
        <v>691</v>
      </c>
      <c r="V3" s="192" t="s">
        <v>689</v>
      </c>
      <c r="W3" s="192" t="s">
        <v>690</v>
      </c>
      <c r="X3" s="192" t="s">
        <v>691</v>
      </c>
      <c r="Y3" s="450" t="s">
        <v>689</v>
      </c>
      <c r="Z3" s="450" t="s">
        <v>690</v>
      </c>
      <c r="AA3" s="450" t="s">
        <v>691</v>
      </c>
      <c r="AB3" s="450" t="s">
        <v>689</v>
      </c>
      <c r="AC3" s="450" t="s">
        <v>690</v>
      </c>
      <c r="AD3" s="450" t="s">
        <v>691</v>
      </c>
      <c r="AE3" s="450" t="s">
        <v>689</v>
      </c>
      <c r="AF3" s="450" t="s">
        <v>690</v>
      </c>
      <c r="AG3" s="450" t="s">
        <v>691</v>
      </c>
      <c r="AH3" s="450" t="s">
        <v>689</v>
      </c>
      <c r="AI3" s="450" t="s">
        <v>690</v>
      </c>
      <c r="AJ3" s="450" t="s">
        <v>691</v>
      </c>
      <c r="AK3" s="451" t="s">
        <v>692</v>
      </c>
      <c r="AL3" s="450" t="s">
        <v>693</v>
      </c>
      <c r="AM3" s="450" t="s">
        <v>694</v>
      </c>
      <c r="AN3" s="450" t="s">
        <v>689</v>
      </c>
      <c r="AO3" s="450" t="s">
        <v>690</v>
      </c>
      <c r="AP3" s="450" t="s">
        <v>691</v>
      </c>
    </row>
    <row r="4" ht="15.75" customHeight="1">
      <c r="A4" s="446">
        <v>1.0</v>
      </c>
      <c r="B4" s="25" t="s">
        <v>55</v>
      </c>
      <c r="C4" s="452" t="s">
        <v>695</v>
      </c>
      <c r="D4" s="192">
        <v>70.0</v>
      </c>
      <c r="E4" s="192">
        <v>60.0</v>
      </c>
      <c r="F4" s="192">
        <v>80.0</v>
      </c>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v>3.0</v>
      </c>
      <c r="AI4" s="192">
        <v>8.0</v>
      </c>
      <c r="AJ4" s="192">
        <v>36.0</v>
      </c>
      <c r="AK4" s="192">
        <f t="shared" ref="AK4:AM4" si="1">AVERAGE(D4,G4,J4,M4,P4,Y4,S4,V4,AB4,AE4,AH4)</f>
        <v>36.5</v>
      </c>
      <c r="AL4" s="192">
        <f t="shared" si="1"/>
        <v>34</v>
      </c>
      <c r="AM4" s="192">
        <f t="shared" si="1"/>
        <v>58</v>
      </c>
      <c r="AN4" s="453">
        <f t="shared" ref="AN4:AN16" si="3">RANK(AK4,$AK$4:$AK$16)</f>
        <v>1</v>
      </c>
      <c r="AO4" s="453">
        <f t="shared" ref="AO4:AO16" si="4">RANK(AL4,$AL$4:$AL$16)</f>
        <v>2</v>
      </c>
      <c r="AP4" s="453">
        <f t="shared" ref="AP4:AP16" si="5">RANK(AM4,$AM$4:$AM$16)</f>
        <v>1</v>
      </c>
    </row>
    <row r="5" ht="15.75" customHeight="1">
      <c r="A5" s="446">
        <v>2.0</v>
      </c>
      <c r="B5" s="25" t="s">
        <v>55</v>
      </c>
      <c r="C5" s="452" t="s">
        <v>696</v>
      </c>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v>60.0</v>
      </c>
      <c r="AF5" s="192"/>
      <c r="AG5" s="192"/>
      <c r="AH5" s="192">
        <v>4.0</v>
      </c>
      <c r="AI5" s="192">
        <v>6.0</v>
      </c>
      <c r="AJ5" s="192">
        <v>3.0</v>
      </c>
      <c r="AK5" s="192">
        <f t="shared" ref="AK5:AM5" si="2">AVERAGE(D5,G5,J5,M5,P5,Y5,S5,V5,AB5,AE5,AH5)</f>
        <v>32</v>
      </c>
      <c r="AL5" s="192">
        <f t="shared" si="2"/>
        <v>6</v>
      </c>
      <c r="AM5" s="192">
        <f t="shared" si="2"/>
        <v>3</v>
      </c>
      <c r="AN5" s="453">
        <f t="shared" si="3"/>
        <v>2</v>
      </c>
      <c r="AO5" s="453">
        <f t="shared" si="4"/>
        <v>4</v>
      </c>
      <c r="AP5" s="453">
        <f t="shared" si="5"/>
        <v>10</v>
      </c>
    </row>
    <row r="6" ht="15.75" customHeight="1">
      <c r="A6" s="446">
        <v>3.0</v>
      </c>
      <c r="B6" s="25" t="s">
        <v>55</v>
      </c>
      <c r="C6" s="452" t="s">
        <v>697</v>
      </c>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v>5.0</v>
      </c>
      <c r="AI6" s="192">
        <v>6.0</v>
      </c>
      <c r="AJ6" s="192">
        <v>5.0</v>
      </c>
      <c r="AK6" s="192">
        <f t="shared" ref="AK6:AM6" si="6">AVERAGE(D6,G6,J6,M6,P6,Y6,S6,V6,AB6,AE6,AH6)</f>
        <v>5</v>
      </c>
      <c r="AL6" s="192">
        <f t="shared" si="6"/>
        <v>6</v>
      </c>
      <c r="AM6" s="192">
        <f t="shared" si="6"/>
        <v>5</v>
      </c>
      <c r="AN6" s="453">
        <f t="shared" si="3"/>
        <v>13</v>
      </c>
      <c r="AO6" s="453">
        <f t="shared" si="4"/>
        <v>4</v>
      </c>
      <c r="AP6" s="453">
        <f t="shared" si="5"/>
        <v>8</v>
      </c>
    </row>
    <row r="7" ht="15.75" customHeight="1">
      <c r="A7" s="446">
        <v>4.0</v>
      </c>
      <c r="B7" s="25" t="s">
        <v>55</v>
      </c>
      <c r="C7" s="452" t="s">
        <v>698</v>
      </c>
      <c r="D7" s="192"/>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v>6.0</v>
      </c>
      <c r="AI7" s="192">
        <v>6.0</v>
      </c>
      <c r="AJ7" s="192">
        <v>6.0</v>
      </c>
      <c r="AK7" s="192">
        <f t="shared" ref="AK7:AM7" si="7">AVERAGE(D7,G7,J7,M7,P7,Y7,S7,V7,AB7,AE7,AH7)</f>
        <v>6</v>
      </c>
      <c r="AL7" s="192">
        <f t="shared" si="7"/>
        <v>6</v>
      </c>
      <c r="AM7" s="192">
        <f t="shared" si="7"/>
        <v>6</v>
      </c>
      <c r="AN7" s="453">
        <f t="shared" si="3"/>
        <v>12</v>
      </c>
      <c r="AO7" s="453">
        <f t="shared" si="4"/>
        <v>4</v>
      </c>
      <c r="AP7" s="453">
        <f t="shared" si="5"/>
        <v>6</v>
      </c>
    </row>
    <row r="8" ht="15.75" customHeight="1">
      <c r="A8" s="446">
        <v>5.0</v>
      </c>
      <c r="B8" s="25" t="s">
        <v>55</v>
      </c>
      <c r="C8" s="452" t="s">
        <v>699</v>
      </c>
      <c r="D8" s="192"/>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v>7.0</v>
      </c>
      <c r="AI8" s="192">
        <v>6.0</v>
      </c>
      <c r="AJ8" s="192">
        <v>9.0</v>
      </c>
      <c r="AK8" s="192">
        <f t="shared" ref="AK8:AM8" si="8">AVERAGE(D8,G8,J8,M8,P8,Y8,S8,V8,AB8,AE8,AH8)</f>
        <v>7</v>
      </c>
      <c r="AL8" s="192">
        <f t="shared" si="8"/>
        <v>6</v>
      </c>
      <c r="AM8" s="192">
        <f t="shared" si="8"/>
        <v>9</v>
      </c>
      <c r="AN8" s="453">
        <f t="shared" si="3"/>
        <v>11</v>
      </c>
      <c r="AO8" s="453">
        <f t="shared" si="4"/>
        <v>4</v>
      </c>
      <c r="AP8" s="453">
        <f t="shared" si="5"/>
        <v>3</v>
      </c>
    </row>
    <row r="9" ht="15.75" customHeight="1">
      <c r="A9" s="446">
        <v>6.0</v>
      </c>
      <c r="B9" s="25" t="s">
        <v>55</v>
      </c>
      <c r="C9" s="452" t="s">
        <v>700</v>
      </c>
      <c r="D9" s="192"/>
      <c r="E9" s="192"/>
      <c r="F9" s="192"/>
      <c r="G9" s="192"/>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v>8.0</v>
      </c>
      <c r="AI9" s="192">
        <v>6.0</v>
      </c>
      <c r="AJ9" s="192">
        <v>3.0</v>
      </c>
      <c r="AK9" s="192">
        <f t="shared" ref="AK9:AM9" si="9">AVERAGE(D9,G9,J9,M9,P9,Y9,S9,V9,AB9,AE9,AH9)</f>
        <v>8</v>
      </c>
      <c r="AL9" s="192">
        <f t="shared" si="9"/>
        <v>6</v>
      </c>
      <c r="AM9" s="192">
        <f t="shared" si="9"/>
        <v>3</v>
      </c>
      <c r="AN9" s="453">
        <f t="shared" si="3"/>
        <v>10</v>
      </c>
      <c r="AO9" s="453">
        <f t="shared" si="4"/>
        <v>4</v>
      </c>
      <c r="AP9" s="453">
        <f t="shared" si="5"/>
        <v>10</v>
      </c>
    </row>
    <row r="10" ht="15.75" customHeight="1">
      <c r="A10" s="446">
        <v>7.0</v>
      </c>
      <c r="B10" s="25" t="s">
        <v>55</v>
      </c>
      <c r="C10" s="452" t="s">
        <v>701</v>
      </c>
      <c r="D10" s="192"/>
      <c r="E10" s="192"/>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v>12.0</v>
      </c>
      <c r="AI10" s="192">
        <v>6.0</v>
      </c>
      <c r="AJ10" s="192">
        <v>7.0</v>
      </c>
      <c r="AK10" s="192">
        <f t="shared" ref="AK10:AM10" si="10">AVERAGE(D10,G10,J10,M10,P10,Y10,S10,V10,AB10,AE10,AH10)</f>
        <v>12</v>
      </c>
      <c r="AL10" s="192">
        <f t="shared" si="10"/>
        <v>6</v>
      </c>
      <c r="AM10" s="192">
        <f t="shared" si="10"/>
        <v>7</v>
      </c>
      <c r="AN10" s="453">
        <f t="shared" si="3"/>
        <v>6</v>
      </c>
      <c r="AO10" s="453">
        <f t="shared" si="4"/>
        <v>4</v>
      </c>
      <c r="AP10" s="453">
        <f t="shared" si="5"/>
        <v>4</v>
      </c>
    </row>
    <row r="11" ht="15.75" customHeight="1">
      <c r="A11" s="446">
        <v>8.0</v>
      </c>
      <c r="B11" s="25" t="s">
        <v>55</v>
      </c>
      <c r="C11" s="452" t="s">
        <v>702</v>
      </c>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v>14.0</v>
      </c>
      <c r="AI11" s="192">
        <v>6.0</v>
      </c>
      <c r="AJ11" s="192">
        <v>2.0</v>
      </c>
      <c r="AK11" s="192">
        <f t="shared" ref="AK11:AM11" si="11">AVERAGE(D11,G11,J11,M11,P11,Y11,S11,V11,AB11,AE11,AH11)</f>
        <v>14</v>
      </c>
      <c r="AL11" s="192">
        <f t="shared" si="11"/>
        <v>6</v>
      </c>
      <c r="AM11" s="192">
        <f t="shared" si="11"/>
        <v>2</v>
      </c>
      <c r="AN11" s="453">
        <f t="shared" si="3"/>
        <v>3</v>
      </c>
      <c r="AO11" s="453">
        <f t="shared" si="4"/>
        <v>4</v>
      </c>
      <c r="AP11" s="453">
        <f t="shared" si="5"/>
        <v>12</v>
      </c>
    </row>
    <row r="12" ht="15.75" customHeight="1">
      <c r="A12" s="446">
        <v>9.0</v>
      </c>
      <c r="B12" s="25" t="s">
        <v>55</v>
      </c>
      <c r="C12" s="452" t="s">
        <v>703</v>
      </c>
      <c r="D12" s="192"/>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v>12.0</v>
      </c>
      <c r="AI12" s="192">
        <v>6.0</v>
      </c>
      <c r="AJ12" s="192">
        <v>0.0</v>
      </c>
      <c r="AK12" s="192">
        <f t="shared" ref="AK12:AM12" si="12">AVERAGE(D12,G12,J12,M12,P12,Y12,S12,V12,AB12,AE12,AH12)</f>
        <v>12</v>
      </c>
      <c r="AL12" s="192">
        <f t="shared" si="12"/>
        <v>6</v>
      </c>
      <c r="AM12" s="192">
        <f t="shared" si="12"/>
        <v>0</v>
      </c>
      <c r="AN12" s="453">
        <f t="shared" si="3"/>
        <v>6</v>
      </c>
      <c r="AO12" s="453">
        <f t="shared" si="4"/>
        <v>4</v>
      </c>
      <c r="AP12" s="453">
        <f t="shared" si="5"/>
        <v>13</v>
      </c>
    </row>
    <row r="13" ht="15.75" customHeight="1">
      <c r="A13" s="446">
        <v>10.0</v>
      </c>
      <c r="B13" s="25" t="s">
        <v>55</v>
      </c>
      <c r="C13" s="452" t="s">
        <v>704</v>
      </c>
      <c r="D13" s="192"/>
      <c r="E13" s="192"/>
      <c r="F13" s="192"/>
      <c r="G13" s="192"/>
      <c r="H13" s="192"/>
      <c r="I13" s="192"/>
      <c r="J13" s="192"/>
      <c r="K13" s="192"/>
      <c r="L13" s="192"/>
      <c r="M13" s="192"/>
      <c r="N13" s="192"/>
      <c r="O13" s="192"/>
      <c r="P13" s="192"/>
      <c r="Q13" s="192"/>
      <c r="R13" s="192"/>
      <c r="S13" s="192"/>
      <c r="T13" s="192"/>
      <c r="U13" s="192"/>
      <c r="V13" s="192"/>
      <c r="W13" s="192"/>
      <c r="X13" s="192">
        <v>72.0</v>
      </c>
      <c r="Y13" s="192"/>
      <c r="Z13" s="192"/>
      <c r="AA13" s="192"/>
      <c r="AB13" s="192"/>
      <c r="AC13" s="192"/>
      <c r="AD13" s="192"/>
      <c r="AE13" s="192"/>
      <c r="AF13" s="192"/>
      <c r="AG13" s="192"/>
      <c r="AH13" s="192">
        <v>14.0</v>
      </c>
      <c r="AI13" s="192">
        <v>6.0</v>
      </c>
      <c r="AJ13" s="192">
        <v>1.0</v>
      </c>
      <c r="AK13" s="192">
        <f t="shared" ref="AK13:AM13" si="13">AVERAGE(D13,G13,J13,M13,P13,Y13,S13,V13,AB13,AE13,AH13)</f>
        <v>14</v>
      </c>
      <c r="AL13" s="192">
        <f t="shared" si="13"/>
        <v>6</v>
      </c>
      <c r="AM13" s="192">
        <f t="shared" si="13"/>
        <v>36.5</v>
      </c>
      <c r="AN13" s="453">
        <f t="shared" si="3"/>
        <v>3</v>
      </c>
      <c r="AO13" s="453">
        <f t="shared" si="4"/>
        <v>4</v>
      </c>
      <c r="AP13" s="453">
        <f t="shared" si="5"/>
        <v>2</v>
      </c>
    </row>
    <row r="14" ht="15.75" customHeight="1">
      <c r="A14" s="446">
        <v>11.0</v>
      </c>
      <c r="B14" s="25" t="s">
        <v>55</v>
      </c>
      <c r="C14" s="43" t="s">
        <v>705</v>
      </c>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v>12.0</v>
      </c>
      <c r="AI14" s="192">
        <v>6.0</v>
      </c>
      <c r="AJ14" s="192">
        <v>7.0</v>
      </c>
      <c r="AK14" s="192">
        <f t="shared" ref="AK14:AM14" si="14">AVERAGE(D14,G14,J14,M14,P14,Y14,S14,V14,AB14,AE14,AH14)</f>
        <v>12</v>
      </c>
      <c r="AL14" s="192">
        <f t="shared" si="14"/>
        <v>6</v>
      </c>
      <c r="AM14" s="192">
        <f t="shared" si="14"/>
        <v>7</v>
      </c>
      <c r="AN14" s="453">
        <f t="shared" si="3"/>
        <v>6</v>
      </c>
      <c r="AO14" s="453">
        <f t="shared" si="4"/>
        <v>4</v>
      </c>
      <c r="AP14" s="453">
        <f t="shared" si="5"/>
        <v>4</v>
      </c>
    </row>
    <row r="15" ht="15.75" customHeight="1">
      <c r="A15" s="446">
        <v>12.0</v>
      </c>
      <c r="B15" s="25" t="s">
        <v>55</v>
      </c>
      <c r="C15" s="43" t="s">
        <v>706</v>
      </c>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v>12.0</v>
      </c>
      <c r="AI15" s="192">
        <v>65.0</v>
      </c>
      <c r="AJ15" s="192">
        <v>5.0</v>
      </c>
      <c r="AK15" s="192">
        <f t="shared" ref="AK15:AM15" si="15">AVERAGE(D15,G15,J15,M15,P15,Y15,S15,V15,AB15,AE15,AH15)</f>
        <v>12</v>
      </c>
      <c r="AL15" s="192">
        <f t="shared" si="15"/>
        <v>65</v>
      </c>
      <c r="AM15" s="192">
        <f t="shared" si="15"/>
        <v>5</v>
      </c>
      <c r="AN15" s="453">
        <f t="shared" si="3"/>
        <v>6</v>
      </c>
      <c r="AO15" s="453">
        <f t="shared" si="4"/>
        <v>1</v>
      </c>
      <c r="AP15" s="453">
        <f t="shared" si="5"/>
        <v>8</v>
      </c>
    </row>
    <row r="16" ht="15.75" customHeight="1">
      <c r="A16" s="446">
        <v>13.0</v>
      </c>
      <c r="B16" s="25" t="s">
        <v>55</v>
      </c>
      <c r="C16" s="43" t="s">
        <v>707</v>
      </c>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v>14.0</v>
      </c>
      <c r="AI16" s="192">
        <v>8.0</v>
      </c>
      <c r="AJ16" s="192">
        <v>6.0</v>
      </c>
      <c r="AK16" s="192">
        <f t="shared" ref="AK16:AM16" si="16">AVERAGE(D16,G16,J16,M16,P16,Y16,S16,V16,AB16,AE16,AH16)</f>
        <v>14</v>
      </c>
      <c r="AL16" s="192">
        <f t="shared" si="16"/>
        <v>8</v>
      </c>
      <c r="AM16" s="192">
        <f t="shared" si="16"/>
        <v>6</v>
      </c>
      <c r="AN16" s="453">
        <f t="shared" si="3"/>
        <v>3</v>
      </c>
      <c r="AO16" s="453">
        <f t="shared" si="4"/>
        <v>3</v>
      </c>
      <c r="AP16" s="453">
        <f t="shared" si="5"/>
        <v>6</v>
      </c>
    </row>
    <row r="17" ht="15.75" hidden="1" customHeight="1">
      <c r="A17" s="446">
        <v>14.0</v>
      </c>
      <c r="B17" s="192" t="s">
        <v>675</v>
      </c>
      <c r="C17" s="72" t="s">
        <v>708</v>
      </c>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t="str">
        <f t="shared" ref="AK17:AM17" si="17">AVERAGE(D17,G17,J17,M17,P17,Y17,S17,V17,AB17,AE17,AH17)</f>
        <v>#DIV/0!</v>
      </c>
      <c r="AL17" s="192" t="str">
        <f t="shared" si="17"/>
        <v>#DIV/0!</v>
      </c>
      <c r="AM17" s="192" t="str">
        <f t="shared" si="17"/>
        <v>#DIV/0!</v>
      </c>
      <c r="AN17" s="453" t="str">
        <f>RANK(AK17,AK17:AK29)</f>
        <v>#DIV/0!</v>
      </c>
      <c r="AO17" s="454" t="str">
        <f t="shared" ref="AO17:AP17" si="18">AVERAGE(H17,K17,N17,Q17,T17,AC17,W17,Z17,AF17,AI17,AL17)</f>
        <v>#DIV/0!</v>
      </c>
      <c r="AP17" s="454" t="str">
        <f t="shared" si="18"/>
        <v>#DIV/0!</v>
      </c>
    </row>
    <row r="18" ht="15.75" hidden="1" customHeight="1">
      <c r="A18" s="446">
        <v>15.0</v>
      </c>
      <c r="B18" s="192" t="s">
        <v>675</v>
      </c>
      <c r="C18" s="43" t="s">
        <v>709</v>
      </c>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t="str">
        <f t="shared" ref="AK18:AP18" si="19">AVERAGE(D18,G18,J18,M18,P18,Y18,S18,V18,AB18,AE18,AH18)</f>
        <v>#DIV/0!</v>
      </c>
      <c r="AL18" s="192" t="str">
        <f t="shared" si="19"/>
        <v>#DIV/0!</v>
      </c>
      <c r="AM18" s="192" t="str">
        <f t="shared" si="19"/>
        <v>#DIV/0!</v>
      </c>
      <c r="AN18" s="455" t="str">
        <f t="shared" si="19"/>
        <v>#DIV/0!</v>
      </c>
      <c r="AO18" s="454" t="str">
        <f t="shared" si="19"/>
        <v>#DIV/0!</v>
      </c>
      <c r="AP18" s="454" t="str">
        <f t="shared" si="19"/>
        <v>#DIV/0!</v>
      </c>
    </row>
    <row r="19" ht="15.75" customHeight="1">
      <c r="A19" s="446">
        <v>16.0</v>
      </c>
      <c r="B19" s="446" t="s">
        <v>667</v>
      </c>
      <c r="C19" s="72" t="s">
        <v>710</v>
      </c>
      <c r="D19" s="192">
        <v>1.0</v>
      </c>
      <c r="E19" s="192">
        <v>5.0</v>
      </c>
      <c r="F19" s="192">
        <v>7.0</v>
      </c>
      <c r="G19" s="192">
        <v>20.0</v>
      </c>
      <c r="H19" s="192">
        <v>10.0</v>
      </c>
      <c r="I19" s="192">
        <v>50.0</v>
      </c>
      <c r="J19" s="192">
        <v>30.0</v>
      </c>
      <c r="K19" s="192">
        <v>40.0</v>
      </c>
      <c r="L19" s="192">
        <v>60.0</v>
      </c>
      <c r="M19" s="192">
        <v>2.0</v>
      </c>
      <c r="N19" s="192">
        <v>3.0</v>
      </c>
      <c r="O19" s="192">
        <v>4.0</v>
      </c>
      <c r="P19" s="192">
        <v>1.0</v>
      </c>
      <c r="Q19" s="192">
        <v>2.0</v>
      </c>
      <c r="R19" s="192">
        <v>3.0</v>
      </c>
      <c r="S19" s="192">
        <v>19.0</v>
      </c>
      <c r="T19" s="192"/>
      <c r="U19" s="192"/>
      <c r="V19" s="192"/>
      <c r="W19" s="192"/>
      <c r="X19" s="192"/>
      <c r="Y19" s="192">
        <v>25.0</v>
      </c>
      <c r="Z19" s="192"/>
      <c r="AA19" s="192"/>
      <c r="AB19" s="192">
        <v>28.0</v>
      </c>
      <c r="AC19" s="192"/>
      <c r="AD19" s="192"/>
      <c r="AE19" s="192">
        <v>31.0</v>
      </c>
      <c r="AF19" s="192"/>
      <c r="AG19" s="192"/>
      <c r="AH19" s="192">
        <v>34.0</v>
      </c>
      <c r="AI19" s="192"/>
      <c r="AJ19" s="192"/>
      <c r="AK19" s="192">
        <f t="shared" ref="AK19:AM19" si="20">AVERAGE(D19,G19,J19,M19,P19,Y19,S19,V19,AB19,AE19,AH19)</f>
        <v>19.1</v>
      </c>
      <c r="AL19" s="192">
        <f t="shared" si="20"/>
        <v>12</v>
      </c>
      <c r="AM19" s="192">
        <f t="shared" si="20"/>
        <v>24.8</v>
      </c>
      <c r="AN19" s="453" t="str">
        <f t="shared" ref="AN19:AN41" si="22">RANK(AK19,$AK$19:$AK$41)</f>
        <v>#DIV/0!</v>
      </c>
      <c r="AO19" s="453" t="str">
        <f t="shared" ref="AO19:AO41" si="23">RANK(AL19,$AL$19:$AL$41)</f>
        <v>#DIV/0!</v>
      </c>
      <c r="AP19" s="453" t="str">
        <f>RANK(AM19,$AM$19:$AM$41)</f>
        <v>#DIV/0!</v>
      </c>
    </row>
    <row r="20" ht="15.75" customHeight="1">
      <c r="A20" s="446">
        <v>17.0</v>
      </c>
      <c r="B20" s="446" t="s">
        <v>667</v>
      </c>
      <c r="C20" s="43" t="s">
        <v>711</v>
      </c>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t="str">
        <f t="shared" ref="AK20:AM20" si="21">AVERAGE(D20,G20,J20,M20,P20,Y20,S20,V20,AB20,AE20,AH20)</f>
        <v>#DIV/0!</v>
      </c>
      <c r="AL20" s="192" t="str">
        <f t="shared" si="21"/>
        <v>#DIV/0!</v>
      </c>
      <c r="AM20" s="192" t="str">
        <f t="shared" si="21"/>
        <v>#DIV/0!</v>
      </c>
      <c r="AN20" s="453" t="str">
        <f t="shared" si="22"/>
        <v>#DIV/0!</v>
      </c>
      <c r="AO20" s="453" t="str">
        <f t="shared" si="23"/>
        <v>#DIV/0!</v>
      </c>
      <c r="AP20" s="454" t="str">
        <f t="shared" ref="AP20:AP41" si="25">AVERAGE(I20,L20,O20,R20,U20,AD20,X20,AA20,AG20,AJ20,AM20)</f>
        <v>#DIV/0!</v>
      </c>
    </row>
    <row r="21" ht="15.75" customHeight="1">
      <c r="A21" s="446">
        <v>18.0</v>
      </c>
      <c r="B21" s="446" t="s">
        <v>667</v>
      </c>
      <c r="C21" s="43" t="s">
        <v>712</v>
      </c>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t="str">
        <f t="shared" ref="AK21:AM21" si="24">AVERAGE(D21,G21,J21,M21,P21,Y21,S21,V21,AB21,AE21,AH21)</f>
        <v>#DIV/0!</v>
      </c>
      <c r="AL21" s="192" t="str">
        <f t="shared" si="24"/>
        <v>#DIV/0!</v>
      </c>
      <c r="AM21" s="192" t="str">
        <f t="shared" si="24"/>
        <v>#DIV/0!</v>
      </c>
      <c r="AN21" s="453" t="str">
        <f t="shared" si="22"/>
        <v>#DIV/0!</v>
      </c>
      <c r="AO21" s="453" t="str">
        <f t="shared" si="23"/>
        <v>#DIV/0!</v>
      </c>
      <c r="AP21" s="454" t="str">
        <f t="shared" si="25"/>
        <v>#DIV/0!</v>
      </c>
    </row>
    <row r="22" ht="15.75" customHeight="1">
      <c r="A22" s="446">
        <v>19.0</v>
      </c>
      <c r="B22" s="446" t="s">
        <v>667</v>
      </c>
      <c r="C22" s="43" t="s">
        <v>713</v>
      </c>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t="str">
        <f t="shared" ref="AK22:AM22" si="26">AVERAGE(D22,G22,J22,M22,P22,Y22,S22,V22,AB22,AE22,AH22)</f>
        <v>#DIV/0!</v>
      </c>
      <c r="AL22" s="192" t="str">
        <f t="shared" si="26"/>
        <v>#DIV/0!</v>
      </c>
      <c r="AM22" s="192" t="str">
        <f t="shared" si="26"/>
        <v>#DIV/0!</v>
      </c>
      <c r="AN22" s="453" t="str">
        <f t="shared" si="22"/>
        <v>#DIV/0!</v>
      </c>
      <c r="AO22" s="453" t="str">
        <f t="shared" si="23"/>
        <v>#DIV/0!</v>
      </c>
      <c r="AP22" s="454" t="str">
        <f t="shared" si="25"/>
        <v>#DIV/0!</v>
      </c>
    </row>
    <row r="23" ht="15.75" customHeight="1">
      <c r="A23" s="446">
        <v>20.0</v>
      </c>
      <c r="B23" s="446" t="s">
        <v>667</v>
      </c>
      <c r="C23" s="43" t="s">
        <v>714</v>
      </c>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t="str">
        <f t="shared" ref="AK23:AM23" si="27">AVERAGE(D23,G23,J23,M23,P23,Y23,S23,V23,AB23,AE23,AH23)</f>
        <v>#DIV/0!</v>
      </c>
      <c r="AL23" s="192" t="str">
        <f t="shared" si="27"/>
        <v>#DIV/0!</v>
      </c>
      <c r="AM23" s="192" t="str">
        <f t="shared" si="27"/>
        <v>#DIV/0!</v>
      </c>
      <c r="AN23" s="453" t="str">
        <f t="shared" si="22"/>
        <v>#DIV/0!</v>
      </c>
      <c r="AO23" s="453" t="str">
        <f t="shared" si="23"/>
        <v>#DIV/0!</v>
      </c>
      <c r="AP23" s="454" t="str">
        <f t="shared" si="25"/>
        <v>#DIV/0!</v>
      </c>
    </row>
    <row r="24" ht="15.75" customHeight="1">
      <c r="A24" s="446">
        <v>21.0</v>
      </c>
      <c r="B24" s="446" t="s">
        <v>667</v>
      </c>
      <c r="C24" s="43" t="s">
        <v>715</v>
      </c>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t="str">
        <f t="shared" ref="AK24:AM24" si="28">AVERAGE(D24,G24,J24,M24,P24,Y24,S24,V24,AB24,AE24,AH24)</f>
        <v>#DIV/0!</v>
      </c>
      <c r="AL24" s="192" t="str">
        <f t="shared" si="28"/>
        <v>#DIV/0!</v>
      </c>
      <c r="AM24" s="192" t="str">
        <f t="shared" si="28"/>
        <v>#DIV/0!</v>
      </c>
      <c r="AN24" s="453" t="str">
        <f t="shared" si="22"/>
        <v>#DIV/0!</v>
      </c>
      <c r="AO24" s="453" t="str">
        <f t="shared" si="23"/>
        <v>#DIV/0!</v>
      </c>
      <c r="AP24" s="454" t="str">
        <f t="shared" si="25"/>
        <v>#DIV/0!</v>
      </c>
    </row>
    <row r="25" ht="15.75" customHeight="1">
      <c r="A25" s="446">
        <v>22.0</v>
      </c>
      <c r="B25" s="446" t="s">
        <v>667</v>
      </c>
      <c r="C25" s="43" t="s">
        <v>716</v>
      </c>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t="str">
        <f t="shared" ref="AK25:AM25" si="29">AVERAGE(D25,G25,J25,M25,P25,Y25,S25,V25,AB25,AE25,AH25)</f>
        <v>#DIV/0!</v>
      </c>
      <c r="AL25" s="192" t="str">
        <f t="shared" si="29"/>
        <v>#DIV/0!</v>
      </c>
      <c r="AM25" s="192" t="str">
        <f t="shared" si="29"/>
        <v>#DIV/0!</v>
      </c>
      <c r="AN25" s="453" t="str">
        <f t="shared" si="22"/>
        <v>#DIV/0!</v>
      </c>
      <c r="AO25" s="453" t="str">
        <f t="shared" si="23"/>
        <v>#DIV/0!</v>
      </c>
      <c r="AP25" s="454" t="str">
        <f t="shared" si="25"/>
        <v>#DIV/0!</v>
      </c>
    </row>
    <row r="26" ht="15.75" customHeight="1">
      <c r="A26" s="446">
        <v>23.0</v>
      </c>
      <c r="B26" s="446" t="s">
        <v>667</v>
      </c>
      <c r="C26" s="43" t="s">
        <v>717</v>
      </c>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t="str">
        <f t="shared" ref="AK26:AM26" si="30">AVERAGE(D26,G26,J26,M26,P26,Y26,S26,V26,AB26,AE26,AH26)</f>
        <v>#DIV/0!</v>
      </c>
      <c r="AL26" s="192" t="str">
        <f t="shared" si="30"/>
        <v>#DIV/0!</v>
      </c>
      <c r="AM26" s="192" t="str">
        <f t="shared" si="30"/>
        <v>#DIV/0!</v>
      </c>
      <c r="AN26" s="453" t="str">
        <f t="shared" si="22"/>
        <v>#DIV/0!</v>
      </c>
      <c r="AO26" s="453" t="str">
        <f t="shared" si="23"/>
        <v>#DIV/0!</v>
      </c>
      <c r="AP26" s="454" t="str">
        <f t="shared" si="25"/>
        <v>#DIV/0!</v>
      </c>
    </row>
    <row r="27" ht="15.75" customHeight="1">
      <c r="A27" s="446">
        <v>24.0</v>
      </c>
      <c r="B27" s="446" t="s">
        <v>667</v>
      </c>
      <c r="C27" s="43" t="s">
        <v>718</v>
      </c>
      <c r="D27" s="42"/>
      <c r="E27" s="42"/>
      <c r="F27" s="4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t="str">
        <f t="shared" ref="AK27:AM27" si="31">AVERAGE(D27,G27,J27,M27,P27,Y27,S27,V27,AB27,AE27,AH27)</f>
        <v>#DIV/0!</v>
      </c>
      <c r="AL27" s="192" t="str">
        <f t="shared" si="31"/>
        <v>#DIV/0!</v>
      </c>
      <c r="AM27" s="192" t="str">
        <f t="shared" si="31"/>
        <v>#DIV/0!</v>
      </c>
      <c r="AN27" s="453" t="str">
        <f t="shared" si="22"/>
        <v>#DIV/0!</v>
      </c>
      <c r="AO27" s="453" t="str">
        <f t="shared" si="23"/>
        <v>#DIV/0!</v>
      </c>
      <c r="AP27" s="454" t="str">
        <f t="shared" si="25"/>
        <v>#DIV/0!</v>
      </c>
    </row>
    <row r="28" ht="15.75" customHeight="1">
      <c r="A28" s="446">
        <v>25.0</v>
      </c>
      <c r="B28" s="446" t="s">
        <v>667</v>
      </c>
      <c r="C28" s="43" t="s">
        <v>719</v>
      </c>
      <c r="D28" s="42"/>
      <c r="E28" s="42"/>
      <c r="F28" s="4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t="str">
        <f t="shared" ref="AK28:AM28" si="32">AVERAGE(D28,G28,J28,M28,P28,Y28,S28,V28,AB28,AE28,AH28)</f>
        <v>#DIV/0!</v>
      </c>
      <c r="AL28" s="192" t="str">
        <f t="shared" si="32"/>
        <v>#DIV/0!</v>
      </c>
      <c r="AM28" s="192" t="str">
        <f t="shared" si="32"/>
        <v>#DIV/0!</v>
      </c>
      <c r="AN28" s="453" t="str">
        <f t="shared" si="22"/>
        <v>#DIV/0!</v>
      </c>
      <c r="AO28" s="453" t="str">
        <f t="shared" si="23"/>
        <v>#DIV/0!</v>
      </c>
      <c r="AP28" s="454" t="str">
        <f t="shared" si="25"/>
        <v>#DIV/0!</v>
      </c>
    </row>
    <row r="29" ht="15.75" customHeight="1">
      <c r="A29" s="446">
        <v>26.0</v>
      </c>
      <c r="B29" s="446" t="s">
        <v>667</v>
      </c>
      <c r="C29" s="43" t="s">
        <v>720</v>
      </c>
      <c r="D29" s="42"/>
      <c r="E29" s="42"/>
      <c r="F29" s="4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t="str">
        <f t="shared" ref="AK29:AM29" si="33">AVERAGE(D29,G29,J29,M29,P29,Y29,S29,V29,AB29,AE29,AH29)</f>
        <v>#DIV/0!</v>
      </c>
      <c r="AL29" s="192" t="str">
        <f t="shared" si="33"/>
        <v>#DIV/0!</v>
      </c>
      <c r="AM29" s="192" t="str">
        <f t="shared" si="33"/>
        <v>#DIV/0!</v>
      </c>
      <c r="AN29" s="453" t="str">
        <f t="shared" si="22"/>
        <v>#DIV/0!</v>
      </c>
      <c r="AO29" s="453" t="str">
        <f t="shared" si="23"/>
        <v>#DIV/0!</v>
      </c>
      <c r="AP29" s="454" t="str">
        <f t="shared" si="25"/>
        <v>#DIV/0!</v>
      </c>
    </row>
    <row r="30" ht="15.75" customHeight="1">
      <c r="A30" s="446">
        <v>27.0</v>
      </c>
      <c r="B30" s="446" t="s">
        <v>667</v>
      </c>
      <c r="C30" s="43" t="s">
        <v>721</v>
      </c>
      <c r="D30" s="42"/>
      <c r="E30" s="42"/>
      <c r="F30" s="4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t="str">
        <f t="shared" ref="AK30:AM30" si="34">AVERAGE(D30,G30,J30,M30,P30,Y30,S30,V30,AB30,AE30,AH30)</f>
        <v>#DIV/0!</v>
      </c>
      <c r="AL30" s="192" t="str">
        <f t="shared" si="34"/>
        <v>#DIV/0!</v>
      </c>
      <c r="AM30" s="192" t="str">
        <f t="shared" si="34"/>
        <v>#DIV/0!</v>
      </c>
      <c r="AN30" s="453" t="str">
        <f t="shared" si="22"/>
        <v>#DIV/0!</v>
      </c>
      <c r="AO30" s="453" t="str">
        <f t="shared" si="23"/>
        <v>#DIV/0!</v>
      </c>
      <c r="AP30" s="454" t="str">
        <f t="shared" si="25"/>
        <v>#DIV/0!</v>
      </c>
    </row>
    <row r="31" ht="15.75" customHeight="1">
      <c r="A31" s="446">
        <v>28.0</v>
      </c>
      <c r="B31" s="446" t="s">
        <v>667</v>
      </c>
      <c r="C31" s="43" t="s">
        <v>722</v>
      </c>
      <c r="D31" s="42"/>
      <c r="E31" s="42"/>
      <c r="F31" s="4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t="str">
        <f t="shared" ref="AK31:AM31" si="35">AVERAGE(D31,G31,J31,M31,P31,Y31,S31,V31,AB31,AE31,AH31)</f>
        <v>#DIV/0!</v>
      </c>
      <c r="AL31" s="192" t="str">
        <f t="shared" si="35"/>
        <v>#DIV/0!</v>
      </c>
      <c r="AM31" s="192" t="str">
        <f t="shared" si="35"/>
        <v>#DIV/0!</v>
      </c>
      <c r="AN31" s="453" t="str">
        <f t="shared" si="22"/>
        <v>#DIV/0!</v>
      </c>
      <c r="AO31" s="453" t="str">
        <f t="shared" si="23"/>
        <v>#DIV/0!</v>
      </c>
      <c r="AP31" s="454" t="str">
        <f t="shared" si="25"/>
        <v>#DIV/0!</v>
      </c>
    </row>
    <row r="32" ht="15.75" customHeight="1">
      <c r="A32" s="446">
        <v>29.0</v>
      </c>
      <c r="B32" s="446" t="s">
        <v>667</v>
      </c>
      <c r="C32" s="43" t="s">
        <v>723</v>
      </c>
      <c r="D32" s="42"/>
      <c r="E32" s="42"/>
      <c r="F32" s="4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t="str">
        <f t="shared" ref="AK32:AM32" si="36">AVERAGE(D32,G32,J32,M32,P32,Y32,S32,V32,AB32,AE32,AH32)</f>
        <v>#DIV/0!</v>
      </c>
      <c r="AL32" s="192" t="str">
        <f t="shared" si="36"/>
        <v>#DIV/0!</v>
      </c>
      <c r="AM32" s="192" t="str">
        <f t="shared" si="36"/>
        <v>#DIV/0!</v>
      </c>
      <c r="AN32" s="453" t="str">
        <f t="shared" si="22"/>
        <v>#DIV/0!</v>
      </c>
      <c r="AO32" s="453" t="str">
        <f t="shared" si="23"/>
        <v>#DIV/0!</v>
      </c>
      <c r="AP32" s="454" t="str">
        <f t="shared" si="25"/>
        <v>#DIV/0!</v>
      </c>
    </row>
    <row r="33" ht="15.75" customHeight="1">
      <c r="A33" s="446">
        <v>30.0</v>
      </c>
      <c r="B33" s="446" t="s">
        <v>667</v>
      </c>
      <c r="C33" s="43" t="s">
        <v>724</v>
      </c>
      <c r="D33" s="42"/>
      <c r="E33" s="42"/>
      <c r="F33" s="4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t="str">
        <f t="shared" ref="AK33:AM33" si="37">AVERAGE(D33,G33,J33,M33,P33,Y33,S33,V33,AB33,AE33,AH33)</f>
        <v>#DIV/0!</v>
      </c>
      <c r="AL33" s="192" t="str">
        <f t="shared" si="37"/>
        <v>#DIV/0!</v>
      </c>
      <c r="AM33" s="192" t="str">
        <f t="shared" si="37"/>
        <v>#DIV/0!</v>
      </c>
      <c r="AN33" s="453" t="str">
        <f t="shared" si="22"/>
        <v>#DIV/0!</v>
      </c>
      <c r="AO33" s="453" t="str">
        <f t="shared" si="23"/>
        <v>#DIV/0!</v>
      </c>
      <c r="AP33" s="454" t="str">
        <f t="shared" si="25"/>
        <v>#DIV/0!</v>
      </c>
    </row>
    <row r="34" ht="15.75" customHeight="1">
      <c r="A34" s="446">
        <v>31.0</v>
      </c>
      <c r="B34" s="446" t="s">
        <v>667</v>
      </c>
      <c r="C34" s="43" t="s">
        <v>725</v>
      </c>
      <c r="D34" s="42"/>
      <c r="E34" s="42"/>
      <c r="F34" s="4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t="str">
        <f t="shared" ref="AK34:AM34" si="38">AVERAGE(D34,G34,J34,M34,P34,Y34,S34,V34,AB34,AE34,AH34)</f>
        <v>#DIV/0!</v>
      </c>
      <c r="AL34" s="192" t="str">
        <f t="shared" si="38"/>
        <v>#DIV/0!</v>
      </c>
      <c r="AM34" s="192" t="str">
        <f t="shared" si="38"/>
        <v>#DIV/0!</v>
      </c>
      <c r="AN34" s="453" t="str">
        <f t="shared" si="22"/>
        <v>#DIV/0!</v>
      </c>
      <c r="AO34" s="453" t="str">
        <f t="shared" si="23"/>
        <v>#DIV/0!</v>
      </c>
      <c r="AP34" s="454" t="str">
        <f t="shared" si="25"/>
        <v>#DIV/0!</v>
      </c>
    </row>
    <row r="35" ht="15.75" customHeight="1">
      <c r="A35" s="446">
        <v>32.0</v>
      </c>
      <c r="B35" s="446" t="s">
        <v>667</v>
      </c>
      <c r="C35" s="43" t="s">
        <v>726</v>
      </c>
      <c r="D35" s="42"/>
      <c r="E35" s="42"/>
      <c r="F35" s="4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t="str">
        <f t="shared" ref="AK35:AM35" si="39">AVERAGE(D35,G35,J35,M35,P35,Y35,S35,V35,AB35,AE35,AH35)</f>
        <v>#DIV/0!</v>
      </c>
      <c r="AL35" s="192" t="str">
        <f t="shared" si="39"/>
        <v>#DIV/0!</v>
      </c>
      <c r="AM35" s="192" t="str">
        <f t="shared" si="39"/>
        <v>#DIV/0!</v>
      </c>
      <c r="AN35" s="453" t="str">
        <f t="shared" si="22"/>
        <v>#DIV/0!</v>
      </c>
      <c r="AO35" s="453" t="str">
        <f t="shared" si="23"/>
        <v>#DIV/0!</v>
      </c>
      <c r="AP35" s="454" t="str">
        <f t="shared" si="25"/>
        <v>#DIV/0!</v>
      </c>
    </row>
    <row r="36" ht="15.75" customHeight="1">
      <c r="A36" s="446">
        <v>33.0</v>
      </c>
      <c r="B36" s="446" t="s">
        <v>667</v>
      </c>
      <c r="C36" s="43" t="s">
        <v>727</v>
      </c>
      <c r="D36" s="42"/>
      <c r="E36" s="42"/>
      <c r="F36" s="4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t="str">
        <f t="shared" ref="AK36:AM36" si="40">AVERAGE(D36,G36,J36,M36,P36,Y36,S36,V36,AB36,AE36,AH36)</f>
        <v>#DIV/0!</v>
      </c>
      <c r="AL36" s="192" t="str">
        <f t="shared" si="40"/>
        <v>#DIV/0!</v>
      </c>
      <c r="AM36" s="192" t="str">
        <f t="shared" si="40"/>
        <v>#DIV/0!</v>
      </c>
      <c r="AN36" s="453" t="str">
        <f t="shared" si="22"/>
        <v>#DIV/0!</v>
      </c>
      <c r="AO36" s="453" t="str">
        <f t="shared" si="23"/>
        <v>#DIV/0!</v>
      </c>
      <c r="AP36" s="454" t="str">
        <f t="shared" si="25"/>
        <v>#DIV/0!</v>
      </c>
    </row>
    <row r="37" ht="15.75" customHeight="1">
      <c r="A37" s="446">
        <v>34.0</v>
      </c>
      <c r="B37" s="446" t="s">
        <v>667</v>
      </c>
      <c r="C37" s="43" t="s">
        <v>728</v>
      </c>
      <c r="D37" s="42"/>
      <c r="E37" s="42"/>
      <c r="F37" s="4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t="str">
        <f t="shared" ref="AK37:AM37" si="41">AVERAGE(D37,G37,J37,M37,P37,Y37,S37,V37,AB37,AE37,AH37)</f>
        <v>#DIV/0!</v>
      </c>
      <c r="AL37" s="192" t="str">
        <f t="shared" si="41"/>
        <v>#DIV/0!</v>
      </c>
      <c r="AM37" s="192" t="str">
        <f t="shared" si="41"/>
        <v>#DIV/0!</v>
      </c>
      <c r="AN37" s="453" t="str">
        <f t="shared" si="22"/>
        <v>#DIV/0!</v>
      </c>
      <c r="AO37" s="453" t="str">
        <f t="shared" si="23"/>
        <v>#DIV/0!</v>
      </c>
      <c r="AP37" s="454" t="str">
        <f t="shared" si="25"/>
        <v>#DIV/0!</v>
      </c>
    </row>
    <row r="38" ht="15.75" customHeight="1">
      <c r="A38" s="446">
        <v>35.0</v>
      </c>
      <c r="B38" s="446" t="s">
        <v>667</v>
      </c>
      <c r="C38" s="43" t="s">
        <v>729</v>
      </c>
      <c r="D38" s="42"/>
      <c r="E38" s="42"/>
      <c r="F38" s="4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t="str">
        <f t="shared" ref="AK38:AM38" si="42">AVERAGE(D38,G38,J38,M38,P38,Y38,S38,V38,AB38,AE38,AH38)</f>
        <v>#DIV/0!</v>
      </c>
      <c r="AL38" s="192" t="str">
        <f t="shared" si="42"/>
        <v>#DIV/0!</v>
      </c>
      <c r="AM38" s="192" t="str">
        <f t="shared" si="42"/>
        <v>#DIV/0!</v>
      </c>
      <c r="AN38" s="453" t="str">
        <f t="shared" si="22"/>
        <v>#DIV/0!</v>
      </c>
      <c r="AO38" s="453" t="str">
        <f t="shared" si="23"/>
        <v>#DIV/0!</v>
      </c>
      <c r="AP38" s="454" t="str">
        <f t="shared" si="25"/>
        <v>#DIV/0!</v>
      </c>
    </row>
    <row r="39" ht="15.75" customHeight="1">
      <c r="A39" s="446">
        <v>36.0</v>
      </c>
      <c r="B39" s="446" t="s">
        <v>667</v>
      </c>
      <c r="C39" s="43" t="s">
        <v>730</v>
      </c>
      <c r="D39" s="42"/>
      <c r="E39" s="42"/>
      <c r="F39" s="4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t="str">
        <f t="shared" ref="AK39:AM39" si="43">AVERAGE(D39,G39,J39,M39,P39,Y39,S39,V39,AB39,AE39,AH39)</f>
        <v>#DIV/0!</v>
      </c>
      <c r="AL39" s="192" t="str">
        <f t="shared" si="43"/>
        <v>#DIV/0!</v>
      </c>
      <c r="AM39" s="192" t="str">
        <f t="shared" si="43"/>
        <v>#DIV/0!</v>
      </c>
      <c r="AN39" s="453" t="str">
        <f t="shared" si="22"/>
        <v>#DIV/0!</v>
      </c>
      <c r="AO39" s="453" t="str">
        <f t="shared" si="23"/>
        <v>#DIV/0!</v>
      </c>
      <c r="AP39" s="454" t="str">
        <f t="shared" si="25"/>
        <v>#DIV/0!</v>
      </c>
    </row>
    <row r="40" ht="15.75" customHeight="1">
      <c r="A40" s="446">
        <v>37.0</v>
      </c>
      <c r="B40" s="446" t="s">
        <v>667</v>
      </c>
      <c r="C40" s="43" t="s">
        <v>731</v>
      </c>
      <c r="D40" s="42"/>
      <c r="E40" s="42"/>
      <c r="F40" s="4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t="str">
        <f t="shared" ref="AK40:AM40" si="44">AVERAGE(D40,G40,J40,M40,P40,Y40,S40,V40,AB40,AE40,AH40)</f>
        <v>#DIV/0!</v>
      </c>
      <c r="AL40" s="192" t="str">
        <f t="shared" si="44"/>
        <v>#DIV/0!</v>
      </c>
      <c r="AM40" s="192" t="str">
        <f t="shared" si="44"/>
        <v>#DIV/0!</v>
      </c>
      <c r="AN40" s="453" t="str">
        <f t="shared" si="22"/>
        <v>#DIV/0!</v>
      </c>
      <c r="AO40" s="453" t="str">
        <f t="shared" si="23"/>
        <v>#DIV/0!</v>
      </c>
      <c r="AP40" s="454" t="str">
        <f t="shared" si="25"/>
        <v>#DIV/0!</v>
      </c>
    </row>
    <row r="41" ht="15.75" customHeight="1">
      <c r="A41" s="446">
        <v>38.0</v>
      </c>
      <c r="B41" s="446" t="s">
        <v>667</v>
      </c>
      <c r="C41" s="43" t="s">
        <v>732</v>
      </c>
      <c r="D41" s="42"/>
      <c r="E41" s="42"/>
      <c r="F41" s="4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t="str">
        <f t="shared" ref="AK41:AM41" si="45">AVERAGE(D41,G41,J41,M41,P41,Y41,S41,V41,AB41,AE41,AH41)</f>
        <v>#DIV/0!</v>
      </c>
      <c r="AL41" s="192" t="str">
        <f t="shared" si="45"/>
        <v>#DIV/0!</v>
      </c>
      <c r="AM41" s="192" t="str">
        <f t="shared" si="45"/>
        <v>#DIV/0!</v>
      </c>
      <c r="AN41" s="453" t="str">
        <f t="shared" si="22"/>
        <v>#DIV/0!</v>
      </c>
      <c r="AO41" s="453" t="str">
        <f t="shared" si="23"/>
        <v>#DIV/0!</v>
      </c>
      <c r="AP41" s="454" t="str">
        <f t="shared" si="25"/>
        <v>#DIV/0!</v>
      </c>
    </row>
    <row r="42" ht="15.75" hidden="1" customHeight="1">
      <c r="A42" s="446">
        <v>39.0</v>
      </c>
      <c r="B42" s="192" t="s">
        <v>4</v>
      </c>
      <c r="C42" s="452" t="s">
        <v>733</v>
      </c>
      <c r="D42" s="56"/>
      <c r="E42" s="56"/>
      <c r="F42" s="72"/>
      <c r="G42" s="72"/>
      <c r="H42" s="72"/>
      <c r="I42" s="72"/>
      <c r="J42" s="72"/>
      <c r="K42" s="72"/>
      <c r="L42" s="72"/>
      <c r="M42" s="72"/>
      <c r="N42" s="72"/>
      <c r="O42" s="72"/>
      <c r="P42" s="72"/>
      <c r="Q42" s="72"/>
      <c r="R42" s="72"/>
      <c r="S42" s="72"/>
      <c r="T42" s="192"/>
      <c r="U42" s="192"/>
      <c r="V42" s="192"/>
      <c r="W42" s="192"/>
      <c r="X42" s="192"/>
      <c r="Y42" s="192"/>
      <c r="Z42" s="192"/>
      <c r="AA42" s="192"/>
      <c r="AB42" s="192"/>
      <c r="AC42" s="192"/>
      <c r="AD42" s="192"/>
      <c r="AE42" s="192"/>
      <c r="AF42" s="192"/>
      <c r="AG42" s="192"/>
      <c r="AH42" s="192"/>
      <c r="AI42" s="192"/>
      <c r="AJ42" s="192"/>
      <c r="AK42" s="192" t="str">
        <f t="shared" ref="AK42:AM42" si="46">AVERAGE(D42,G42,J42,M42,P42,Y42,S42,V42,AB42,AE42,AH42)</f>
        <v>#DIV/0!</v>
      </c>
      <c r="AL42" s="192" t="str">
        <f t="shared" si="46"/>
        <v>#DIV/0!</v>
      </c>
      <c r="AM42" s="192" t="str">
        <f t="shared" si="46"/>
        <v>#DIV/0!</v>
      </c>
      <c r="AN42" s="453" t="str">
        <f t="shared" ref="AN42:AN69" si="48">RANK(AK42,$AK$42:$AK$69)</f>
        <v>#DIV/0!</v>
      </c>
      <c r="AO42" s="454" t="str">
        <f t="shared" ref="AO42:AO69" si="49">RANK(AL42,$AL$42:$AL$69)</f>
        <v>#DIV/0!</v>
      </c>
      <c r="AP42" s="454" t="str">
        <f t="shared" ref="AP42:AP69" si="50">RANK(AM42,$AM$42:$AM$69)</f>
        <v>#DIV/0!</v>
      </c>
    </row>
    <row r="43" ht="15.75" hidden="1" customHeight="1">
      <c r="A43" s="446">
        <v>40.0</v>
      </c>
      <c r="B43" s="192" t="s">
        <v>4</v>
      </c>
      <c r="C43" s="452" t="s">
        <v>734</v>
      </c>
      <c r="D43" s="56"/>
      <c r="E43" s="56"/>
      <c r="F43" s="72"/>
      <c r="G43" s="72"/>
      <c r="H43" s="72"/>
      <c r="I43" s="72"/>
      <c r="J43" s="72"/>
      <c r="K43" s="72"/>
      <c r="L43" s="72"/>
      <c r="M43" s="72"/>
      <c r="N43" s="72"/>
      <c r="O43" s="72"/>
      <c r="P43" s="72"/>
      <c r="Q43" s="72"/>
      <c r="R43" s="72"/>
      <c r="S43" s="72"/>
      <c r="T43" s="192"/>
      <c r="U43" s="192"/>
      <c r="V43" s="192"/>
      <c r="W43" s="192"/>
      <c r="X43" s="192"/>
      <c r="Y43" s="192"/>
      <c r="Z43" s="192"/>
      <c r="AA43" s="192"/>
      <c r="AB43" s="192"/>
      <c r="AC43" s="192"/>
      <c r="AD43" s="192"/>
      <c r="AE43" s="192"/>
      <c r="AF43" s="192"/>
      <c r="AG43" s="192"/>
      <c r="AH43" s="192"/>
      <c r="AI43" s="192"/>
      <c r="AJ43" s="192"/>
      <c r="AK43" s="192" t="str">
        <f t="shared" ref="AK43:AM43" si="47">AVERAGE(D43,G43,J43,M43,P43,Y43,S43,V43,AB43,AE43,AH43)</f>
        <v>#DIV/0!</v>
      </c>
      <c r="AL43" s="192" t="str">
        <f t="shared" si="47"/>
        <v>#DIV/0!</v>
      </c>
      <c r="AM43" s="192" t="str">
        <f t="shared" si="47"/>
        <v>#DIV/0!</v>
      </c>
      <c r="AN43" s="453" t="str">
        <f t="shared" si="48"/>
        <v>#DIV/0!</v>
      </c>
      <c r="AO43" s="454" t="str">
        <f t="shared" si="49"/>
        <v>#DIV/0!</v>
      </c>
      <c r="AP43" s="454" t="str">
        <f t="shared" si="50"/>
        <v>#DIV/0!</v>
      </c>
    </row>
    <row r="44" ht="15.75" hidden="1" customHeight="1">
      <c r="A44" s="446">
        <v>41.0</v>
      </c>
      <c r="B44" s="192" t="s">
        <v>4</v>
      </c>
      <c r="C44" s="452" t="s">
        <v>735</v>
      </c>
      <c r="D44" s="56"/>
      <c r="E44" s="56"/>
      <c r="F44" s="72"/>
      <c r="G44" s="72"/>
      <c r="H44" s="72"/>
      <c r="I44" s="72"/>
      <c r="J44" s="72"/>
      <c r="K44" s="72"/>
      <c r="L44" s="72"/>
      <c r="M44" s="72"/>
      <c r="N44" s="72"/>
      <c r="O44" s="72"/>
      <c r="P44" s="72"/>
      <c r="Q44" s="72"/>
      <c r="R44" s="72"/>
      <c r="S44" s="72"/>
      <c r="T44" s="192"/>
      <c r="U44" s="192"/>
      <c r="V44" s="192"/>
      <c r="W44" s="192"/>
      <c r="X44" s="192"/>
      <c r="Y44" s="192"/>
      <c r="Z44" s="192"/>
      <c r="AA44" s="192"/>
      <c r="AB44" s="192"/>
      <c r="AC44" s="192"/>
      <c r="AD44" s="192"/>
      <c r="AE44" s="192"/>
      <c r="AF44" s="192"/>
      <c r="AG44" s="192"/>
      <c r="AH44" s="192"/>
      <c r="AI44" s="192"/>
      <c r="AJ44" s="192"/>
      <c r="AK44" s="192" t="str">
        <f t="shared" ref="AK44:AM44" si="51">AVERAGE(D44,G44,J44,M44,P44,Y44,S44,V44,AB44,AE44,AH44)</f>
        <v>#DIV/0!</v>
      </c>
      <c r="AL44" s="192" t="str">
        <f t="shared" si="51"/>
        <v>#DIV/0!</v>
      </c>
      <c r="AM44" s="192" t="str">
        <f t="shared" si="51"/>
        <v>#DIV/0!</v>
      </c>
      <c r="AN44" s="453" t="str">
        <f t="shared" si="48"/>
        <v>#DIV/0!</v>
      </c>
      <c r="AO44" s="454" t="str">
        <f t="shared" si="49"/>
        <v>#DIV/0!</v>
      </c>
      <c r="AP44" s="454" t="str">
        <f t="shared" si="50"/>
        <v>#DIV/0!</v>
      </c>
    </row>
    <row r="45" ht="15.75" hidden="1" customHeight="1">
      <c r="A45" s="446">
        <v>42.0</v>
      </c>
      <c r="B45" s="192" t="s">
        <v>4</v>
      </c>
      <c r="C45" s="452" t="s">
        <v>736</v>
      </c>
      <c r="D45" s="56"/>
      <c r="E45" s="56"/>
      <c r="F45" s="72"/>
      <c r="G45" s="72"/>
      <c r="H45" s="72"/>
      <c r="I45" s="72"/>
      <c r="J45" s="72"/>
      <c r="K45" s="72"/>
      <c r="L45" s="72"/>
      <c r="M45" s="72"/>
      <c r="N45" s="72"/>
      <c r="O45" s="72"/>
      <c r="P45" s="72"/>
      <c r="Q45" s="72"/>
      <c r="R45" s="72"/>
      <c r="S45" s="72"/>
      <c r="T45" s="192"/>
      <c r="U45" s="192"/>
      <c r="V45" s="192"/>
      <c r="W45" s="192"/>
      <c r="X45" s="192"/>
      <c r="Y45" s="192"/>
      <c r="Z45" s="192"/>
      <c r="AA45" s="192"/>
      <c r="AB45" s="192"/>
      <c r="AC45" s="192"/>
      <c r="AD45" s="192"/>
      <c r="AE45" s="192"/>
      <c r="AF45" s="192"/>
      <c r="AG45" s="192"/>
      <c r="AH45" s="192"/>
      <c r="AI45" s="192"/>
      <c r="AJ45" s="192"/>
      <c r="AK45" s="192" t="str">
        <f t="shared" ref="AK45:AM45" si="52">AVERAGE(D45,G45,J45,M45,P45,Y45,S45,V45,AB45,AE45,AH45)</f>
        <v>#DIV/0!</v>
      </c>
      <c r="AL45" s="192" t="str">
        <f t="shared" si="52"/>
        <v>#DIV/0!</v>
      </c>
      <c r="AM45" s="192" t="str">
        <f t="shared" si="52"/>
        <v>#DIV/0!</v>
      </c>
      <c r="AN45" s="453" t="str">
        <f t="shared" si="48"/>
        <v>#DIV/0!</v>
      </c>
      <c r="AO45" s="454" t="str">
        <f t="shared" si="49"/>
        <v>#DIV/0!</v>
      </c>
      <c r="AP45" s="454" t="str">
        <f t="shared" si="50"/>
        <v>#DIV/0!</v>
      </c>
    </row>
    <row r="46" ht="15.75" hidden="1" customHeight="1">
      <c r="A46" s="446">
        <v>43.0</v>
      </c>
      <c r="B46" s="192" t="s">
        <v>4</v>
      </c>
      <c r="C46" s="452" t="s">
        <v>737</v>
      </c>
      <c r="D46" s="56"/>
      <c r="E46" s="56"/>
      <c r="F46" s="72"/>
      <c r="G46" s="72"/>
      <c r="H46" s="72"/>
      <c r="I46" s="72"/>
      <c r="J46" s="72"/>
      <c r="K46" s="72"/>
      <c r="L46" s="72"/>
      <c r="M46" s="72"/>
      <c r="N46" s="72"/>
      <c r="O46" s="72"/>
      <c r="P46" s="72"/>
      <c r="Q46" s="72"/>
      <c r="R46" s="72"/>
      <c r="S46" s="72"/>
      <c r="T46" s="192"/>
      <c r="U46" s="192"/>
      <c r="V46" s="192"/>
      <c r="W46" s="192"/>
      <c r="X46" s="192"/>
      <c r="Y46" s="192"/>
      <c r="Z46" s="192"/>
      <c r="AA46" s="192"/>
      <c r="AB46" s="192"/>
      <c r="AC46" s="192"/>
      <c r="AD46" s="192"/>
      <c r="AE46" s="192"/>
      <c r="AF46" s="192"/>
      <c r="AG46" s="192"/>
      <c r="AH46" s="192"/>
      <c r="AI46" s="192"/>
      <c r="AJ46" s="192"/>
      <c r="AK46" s="192" t="str">
        <f t="shared" ref="AK46:AM46" si="53">AVERAGE(D46,G46,J46,M46,P46,Y46,S46,V46,AB46,AE46,AH46)</f>
        <v>#DIV/0!</v>
      </c>
      <c r="AL46" s="192" t="str">
        <f t="shared" si="53"/>
        <v>#DIV/0!</v>
      </c>
      <c r="AM46" s="192" t="str">
        <f t="shared" si="53"/>
        <v>#DIV/0!</v>
      </c>
      <c r="AN46" s="453" t="str">
        <f t="shared" si="48"/>
        <v>#DIV/0!</v>
      </c>
      <c r="AO46" s="454" t="str">
        <f t="shared" si="49"/>
        <v>#DIV/0!</v>
      </c>
      <c r="AP46" s="454" t="str">
        <f t="shared" si="50"/>
        <v>#DIV/0!</v>
      </c>
    </row>
    <row r="47" ht="15.75" hidden="1" customHeight="1">
      <c r="A47" s="446">
        <v>44.0</v>
      </c>
      <c r="B47" s="192" t="s">
        <v>4</v>
      </c>
      <c r="C47" s="452" t="s">
        <v>738</v>
      </c>
      <c r="D47" s="56"/>
      <c r="E47" s="56"/>
      <c r="F47" s="72"/>
      <c r="G47" s="72"/>
      <c r="H47" s="72"/>
      <c r="I47" s="72"/>
      <c r="J47" s="72"/>
      <c r="K47" s="72"/>
      <c r="L47" s="72"/>
      <c r="M47" s="72"/>
      <c r="N47" s="72"/>
      <c r="O47" s="72"/>
      <c r="P47" s="72"/>
      <c r="Q47" s="72"/>
      <c r="R47" s="72"/>
      <c r="S47" s="72"/>
      <c r="T47" s="192"/>
      <c r="U47" s="192"/>
      <c r="V47" s="192"/>
      <c r="W47" s="192"/>
      <c r="X47" s="192"/>
      <c r="Y47" s="192"/>
      <c r="Z47" s="192"/>
      <c r="AA47" s="192"/>
      <c r="AB47" s="192"/>
      <c r="AC47" s="192"/>
      <c r="AD47" s="192"/>
      <c r="AE47" s="192"/>
      <c r="AF47" s="192"/>
      <c r="AG47" s="192"/>
      <c r="AH47" s="192"/>
      <c r="AI47" s="192"/>
      <c r="AJ47" s="192"/>
      <c r="AK47" s="192" t="str">
        <f t="shared" ref="AK47:AM47" si="54">AVERAGE(D47,G47,J47,M47,P47,Y47,S47,V47,AB47,AE47,AH47)</f>
        <v>#DIV/0!</v>
      </c>
      <c r="AL47" s="192" t="str">
        <f t="shared" si="54"/>
        <v>#DIV/0!</v>
      </c>
      <c r="AM47" s="192" t="str">
        <f t="shared" si="54"/>
        <v>#DIV/0!</v>
      </c>
      <c r="AN47" s="453" t="str">
        <f t="shared" si="48"/>
        <v>#DIV/0!</v>
      </c>
      <c r="AO47" s="454" t="str">
        <f t="shared" si="49"/>
        <v>#DIV/0!</v>
      </c>
      <c r="AP47" s="454" t="str">
        <f t="shared" si="50"/>
        <v>#DIV/0!</v>
      </c>
    </row>
    <row r="48" ht="15.75" hidden="1" customHeight="1">
      <c r="A48" s="446">
        <v>45.0</v>
      </c>
      <c r="B48" s="192" t="s">
        <v>4</v>
      </c>
      <c r="C48" s="452" t="s">
        <v>739</v>
      </c>
      <c r="D48" s="56"/>
      <c r="E48" s="56"/>
      <c r="F48" s="72"/>
      <c r="G48" s="72"/>
      <c r="H48" s="72"/>
      <c r="I48" s="72"/>
      <c r="J48" s="72"/>
      <c r="K48" s="72"/>
      <c r="L48" s="72"/>
      <c r="M48" s="72"/>
      <c r="N48" s="72"/>
      <c r="O48" s="72"/>
      <c r="P48" s="72"/>
      <c r="Q48" s="72"/>
      <c r="R48" s="72"/>
      <c r="S48" s="72"/>
      <c r="T48" s="192"/>
      <c r="U48" s="192"/>
      <c r="V48" s="192"/>
      <c r="W48" s="192"/>
      <c r="X48" s="192"/>
      <c r="Y48" s="192"/>
      <c r="Z48" s="192"/>
      <c r="AA48" s="192"/>
      <c r="AB48" s="192"/>
      <c r="AC48" s="192"/>
      <c r="AD48" s="192"/>
      <c r="AE48" s="192"/>
      <c r="AF48" s="192"/>
      <c r="AG48" s="192"/>
      <c r="AH48" s="192"/>
      <c r="AI48" s="192"/>
      <c r="AJ48" s="192"/>
      <c r="AK48" s="192" t="str">
        <f t="shared" ref="AK48:AM48" si="55">AVERAGE(D48,G48,J48,M48,P48,Y48,S48,V48,AB48,AE48,AH48)</f>
        <v>#DIV/0!</v>
      </c>
      <c r="AL48" s="192" t="str">
        <f t="shared" si="55"/>
        <v>#DIV/0!</v>
      </c>
      <c r="AM48" s="192" t="str">
        <f t="shared" si="55"/>
        <v>#DIV/0!</v>
      </c>
      <c r="AN48" s="453" t="str">
        <f t="shared" si="48"/>
        <v>#DIV/0!</v>
      </c>
      <c r="AO48" s="454" t="str">
        <f t="shared" si="49"/>
        <v>#DIV/0!</v>
      </c>
      <c r="AP48" s="454" t="str">
        <f t="shared" si="50"/>
        <v>#DIV/0!</v>
      </c>
    </row>
    <row r="49" ht="15.75" hidden="1" customHeight="1">
      <c r="A49" s="446">
        <v>46.0</v>
      </c>
      <c r="B49" s="192" t="s">
        <v>4</v>
      </c>
      <c r="C49" s="452" t="s">
        <v>740</v>
      </c>
      <c r="D49" s="56"/>
      <c r="E49" s="56"/>
      <c r="F49" s="72"/>
      <c r="G49" s="72"/>
      <c r="H49" s="72"/>
      <c r="I49" s="72"/>
      <c r="J49" s="72"/>
      <c r="K49" s="72"/>
      <c r="L49" s="72"/>
      <c r="M49" s="72"/>
      <c r="N49" s="72"/>
      <c r="O49" s="72"/>
      <c r="P49" s="72"/>
      <c r="Q49" s="72"/>
      <c r="R49" s="72"/>
      <c r="S49" s="72"/>
      <c r="T49" s="192"/>
      <c r="U49" s="192"/>
      <c r="V49" s="192"/>
      <c r="W49" s="192"/>
      <c r="X49" s="192"/>
      <c r="Y49" s="192"/>
      <c r="Z49" s="192"/>
      <c r="AA49" s="192"/>
      <c r="AB49" s="192"/>
      <c r="AC49" s="192"/>
      <c r="AD49" s="192"/>
      <c r="AE49" s="192"/>
      <c r="AF49" s="192"/>
      <c r="AG49" s="192"/>
      <c r="AH49" s="192"/>
      <c r="AI49" s="192"/>
      <c r="AJ49" s="192"/>
      <c r="AK49" s="192" t="str">
        <f t="shared" ref="AK49:AM49" si="56">AVERAGE(D49,G49,J49,M49,P49,Y49,S49,V49,AB49,AE49,AH49)</f>
        <v>#DIV/0!</v>
      </c>
      <c r="AL49" s="192" t="str">
        <f t="shared" si="56"/>
        <v>#DIV/0!</v>
      </c>
      <c r="AM49" s="192" t="str">
        <f t="shared" si="56"/>
        <v>#DIV/0!</v>
      </c>
      <c r="AN49" s="453" t="str">
        <f t="shared" si="48"/>
        <v>#DIV/0!</v>
      </c>
      <c r="AO49" s="454" t="str">
        <f t="shared" si="49"/>
        <v>#DIV/0!</v>
      </c>
      <c r="AP49" s="454" t="str">
        <f t="shared" si="50"/>
        <v>#DIV/0!</v>
      </c>
    </row>
    <row r="50" ht="15.75" hidden="1" customHeight="1">
      <c r="A50" s="446">
        <v>47.0</v>
      </c>
      <c r="B50" s="192" t="s">
        <v>4</v>
      </c>
      <c r="C50" s="452" t="s">
        <v>741</v>
      </c>
      <c r="D50" s="56"/>
      <c r="E50" s="56"/>
      <c r="F50" s="72"/>
      <c r="G50" s="72"/>
      <c r="H50" s="72"/>
      <c r="I50" s="72"/>
      <c r="J50" s="72"/>
      <c r="K50" s="72"/>
      <c r="L50" s="72"/>
      <c r="M50" s="72"/>
      <c r="N50" s="72"/>
      <c r="O50" s="72"/>
      <c r="P50" s="72"/>
      <c r="Q50" s="72"/>
      <c r="R50" s="72"/>
      <c r="S50" s="72"/>
      <c r="T50" s="192"/>
      <c r="U50" s="192"/>
      <c r="V50" s="192"/>
      <c r="W50" s="192"/>
      <c r="X50" s="192"/>
      <c r="Y50" s="192"/>
      <c r="Z50" s="192"/>
      <c r="AA50" s="192"/>
      <c r="AB50" s="192"/>
      <c r="AC50" s="192"/>
      <c r="AD50" s="192"/>
      <c r="AE50" s="192"/>
      <c r="AF50" s="192"/>
      <c r="AG50" s="192"/>
      <c r="AH50" s="192"/>
      <c r="AI50" s="192"/>
      <c r="AJ50" s="192"/>
      <c r="AK50" s="192" t="str">
        <f t="shared" ref="AK50:AM50" si="57">AVERAGE(D50,G50,J50,M50,P50,Y50,S50,V50,AB50,AE50,AH50)</f>
        <v>#DIV/0!</v>
      </c>
      <c r="AL50" s="192" t="str">
        <f t="shared" si="57"/>
        <v>#DIV/0!</v>
      </c>
      <c r="AM50" s="192" t="str">
        <f t="shared" si="57"/>
        <v>#DIV/0!</v>
      </c>
      <c r="AN50" s="453" t="str">
        <f t="shared" si="48"/>
        <v>#DIV/0!</v>
      </c>
      <c r="AO50" s="454" t="str">
        <f t="shared" si="49"/>
        <v>#DIV/0!</v>
      </c>
      <c r="AP50" s="454" t="str">
        <f t="shared" si="50"/>
        <v>#DIV/0!</v>
      </c>
    </row>
    <row r="51" ht="15.75" hidden="1" customHeight="1">
      <c r="A51" s="446">
        <v>48.0</v>
      </c>
      <c r="B51" s="192" t="s">
        <v>4</v>
      </c>
      <c r="C51" s="452" t="s">
        <v>742</v>
      </c>
      <c r="D51" s="56"/>
      <c r="E51" s="56"/>
      <c r="F51" s="72"/>
      <c r="G51" s="72"/>
      <c r="H51" s="72"/>
      <c r="I51" s="72"/>
      <c r="J51" s="72"/>
      <c r="K51" s="72"/>
      <c r="L51" s="72"/>
      <c r="M51" s="72"/>
      <c r="N51" s="72"/>
      <c r="O51" s="72"/>
      <c r="P51" s="72"/>
      <c r="Q51" s="72"/>
      <c r="R51" s="72"/>
      <c r="S51" s="72"/>
      <c r="T51" s="192"/>
      <c r="U51" s="192"/>
      <c r="V51" s="192"/>
      <c r="W51" s="192"/>
      <c r="X51" s="192"/>
      <c r="Y51" s="192"/>
      <c r="Z51" s="192"/>
      <c r="AA51" s="192"/>
      <c r="AB51" s="192"/>
      <c r="AC51" s="192"/>
      <c r="AD51" s="192"/>
      <c r="AE51" s="192"/>
      <c r="AF51" s="192"/>
      <c r="AG51" s="192"/>
      <c r="AH51" s="192"/>
      <c r="AI51" s="192"/>
      <c r="AJ51" s="192"/>
      <c r="AK51" s="192" t="str">
        <f t="shared" ref="AK51:AM51" si="58">AVERAGE(D51,G51,J51,M51,P51,Y51,S51,V51,AB51,AE51,AH51)</f>
        <v>#DIV/0!</v>
      </c>
      <c r="AL51" s="192" t="str">
        <f t="shared" si="58"/>
        <v>#DIV/0!</v>
      </c>
      <c r="AM51" s="192" t="str">
        <f t="shared" si="58"/>
        <v>#DIV/0!</v>
      </c>
      <c r="AN51" s="453" t="str">
        <f t="shared" si="48"/>
        <v>#DIV/0!</v>
      </c>
      <c r="AO51" s="454" t="str">
        <f t="shared" si="49"/>
        <v>#DIV/0!</v>
      </c>
      <c r="AP51" s="454" t="str">
        <f t="shared" si="50"/>
        <v>#DIV/0!</v>
      </c>
    </row>
    <row r="52" ht="15.75" hidden="1" customHeight="1">
      <c r="A52" s="446">
        <v>49.0</v>
      </c>
      <c r="B52" s="192" t="s">
        <v>4</v>
      </c>
      <c r="C52" s="452" t="s">
        <v>743</v>
      </c>
      <c r="D52" s="56"/>
      <c r="E52" s="56"/>
      <c r="F52" s="72"/>
      <c r="G52" s="72"/>
      <c r="H52" s="72"/>
      <c r="I52" s="72"/>
      <c r="J52" s="72"/>
      <c r="K52" s="72"/>
      <c r="L52" s="72"/>
      <c r="M52" s="72"/>
      <c r="N52" s="72"/>
      <c r="O52" s="72"/>
      <c r="P52" s="72"/>
      <c r="Q52" s="72"/>
      <c r="R52" s="72"/>
      <c r="S52" s="72"/>
      <c r="T52" s="192"/>
      <c r="U52" s="192"/>
      <c r="V52" s="192"/>
      <c r="W52" s="192"/>
      <c r="X52" s="192"/>
      <c r="Y52" s="192"/>
      <c r="Z52" s="192"/>
      <c r="AA52" s="192"/>
      <c r="AB52" s="192"/>
      <c r="AC52" s="192"/>
      <c r="AD52" s="192"/>
      <c r="AE52" s="192"/>
      <c r="AF52" s="192"/>
      <c r="AG52" s="192"/>
      <c r="AH52" s="192"/>
      <c r="AI52" s="192"/>
      <c r="AJ52" s="192"/>
      <c r="AK52" s="192" t="str">
        <f t="shared" ref="AK52:AM52" si="59">AVERAGE(D52,G52,J52,M52,P52,Y52,S52,V52,AB52,AE52,AH52)</f>
        <v>#DIV/0!</v>
      </c>
      <c r="AL52" s="192" t="str">
        <f t="shared" si="59"/>
        <v>#DIV/0!</v>
      </c>
      <c r="AM52" s="192" t="str">
        <f t="shared" si="59"/>
        <v>#DIV/0!</v>
      </c>
      <c r="AN52" s="453" t="str">
        <f t="shared" si="48"/>
        <v>#DIV/0!</v>
      </c>
      <c r="AO52" s="454" t="str">
        <f t="shared" si="49"/>
        <v>#DIV/0!</v>
      </c>
      <c r="AP52" s="454" t="str">
        <f t="shared" si="50"/>
        <v>#DIV/0!</v>
      </c>
    </row>
    <row r="53" ht="15.75" hidden="1" customHeight="1">
      <c r="A53" s="446">
        <v>50.0</v>
      </c>
      <c r="B53" s="192" t="s">
        <v>4</v>
      </c>
      <c r="C53" s="452" t="s">
        <v>595</v>
      </c>
      <c r="D53" s="56"/>
      <c r="E53" s="56"/>
      <c r="F53" s="72"/>
      <c r="G53" s="72"/>
      <c r="H53" s="72"/>
      <c r="I53" s="72"/>
      <c r="J53" s="72"/>
      <c r="K53" s="72"/>
      <c r="L53" s="72"/>
      <c r="M53" s="72"/>
      <c r="N53" s="72"/>
      <c r="O53" s="72"/>
      <c r="P53" s="72"/>
      <c r="Q53" s="72"/>
      <c r="R53" s="72"/>
      <c r="S53" s="72"/>
      <c r="T53" s="192"/>
      <c r="U53" s="192"/>
      <c r="V53" s="192"/>
      <c r="W53" s="192"/>
      <c r="X53" s="192"/>
      <c r="Y53" s="192"/>
      <c r="Z53" s="192"/>
      <c r="AA53" s="192"/>
      <c r="AB53" s="192"/>
      <c r="AC53" s="192"/>
      <c r="AD53" s="192"/>
      <c r="AE53" s="192"/>
      <c r="AF53" s="192"/>
      <c r="AG53" s="192"/>
      <c r="AH53" s="192"/>
      <c r="AI53" s="192"/>
      <c r="AJ53" s="192"/>
      <c r="AK53" s="192" t="str">
        <f t="shared" ref="AK53:AM53" si="60">AVERAGE(D53,G53,J53,M53,P53,Y53,S53,V53,AB53,AE53,AH53)</f>
        <v>#DIV/0!</v>
      </c>
      <c r="AL53" s="192" t="str">
        <f t="shared" si="60"/>
        <v>#DIV/0!</v>
      </c>
      <c r="AM53" s="192" t="str">
        <f t="shared" si="60"/>
        <v>#DIV/0!</v>
      </c>
      <c r="AN53" s="453" t="str">
        <f t="shared" si="48"/>
        <v>#DIV/0!</v>
      </c>
      <c r="AO53" s="454" t="str">
        <f t="shared" si="49"/>
        <v>#DIV/0!</v>
      </c>
      <c r="AP53" s="454" t="str">
        <f t="shared" si="50"/>
        <v>#DIV/0!</v>
      </c>
    </row>
    <row r="54" ht="15.75" hidden="1" customHeight="1">
      <c r="A54" s="446">
        <v>51.0</v>
      </c>
      <c r="B54" s="192" t="s">
        <v>4</v>
      </c>
      <c r="C54" s="452" t="s">
        <v>744</v>
      </c>
      <c r="D54" s="56"/>
      <c r="E54" s="56"/>
      <c r="F54" s="72"/>
      <c r="G54" s="72"/>
      <c r="H54" s="72"/>
      <c r="I54" s="72"/>
      <c r="J54" s="72"/>
      <c r="K54" s="72"/>
      <c r="L54" s="72"/>
      <c r="M54" s="72"/>
      <c r="N54" s="72"/>
      <c r="O54" s="72"/>
      <c r="P54" s="72"/>
      <c r="Q54" s="72"/>
      <c r="R54" s="72"/>
      <c r="S54" s="72"/>
      <c r="T54" s="192"/>
      <c r="U54" s="192"/>
      <c r="V54" s="192"/>
      <c r="W54" s="192"/>
      <c r="X54" s="192"/>
      <c r="Y54" s="192"/>
      <c r="Z54" s="192"/>
      <c r="AA54" s="192"/>
      <c r="AB54" s="192"/>
      <c r="AC54" s="192"/>
      <c r="AD54" s="192"/>
      <c r="AE54" s="192"/>
      <c r="AF54" s="192"/>
      <c r="AG54" s="192"/>
      <c r="AH54" s="192"/>
      <c r="AI54" s="192"/>
      <c r="AJ54" s="192"/>
      <c r="AK54" s="192" t="str">
        <f t="shared" ref="AK54:AM54" si="61">AVERAGE(D54,G54,J54,M54,P54,Y54,S54,V54,AB54,AE54,AH54)</f>
        <v>#DIV/0!</v>
      </c>
      <c r="AL54" s="192" t="str">
        <f t="shared" si="61"/>
        <v>#DIV/0!</v>
      </c>
      <c r="AM54" s="192" t="str">
        <f t="shared" si="61"/>
        <v>#DIV/0!</v>
      </c>
      <c r="AN54" s="453" t="str">
        <f t="shared" si="48"/>
        <v>#DIV/0!</v>
      </c>
      <c r="AO54" s="454" t="str">
        <f t="shared" si="49"/>
        <v>#DIV/0!</v>
      </c>
      <c r="AP54" s="454" t="str">
        <f t="shared" si="50"/>
        <v>#DIV/0!</v>
      </c>
    </row>
    <row r="55" ht="15.75" hidden="1" customHeight="1">
      <c r="A55" s="446">
        <v>52.0</v>
      </c>
      <c r="B55" s="192" t="s">
        <v>4</v>
      </c>
      <c r="C55" s="452" t="s">
        <v>745</v>
      </c>
      <c r="D55" s="56"/>
      <c r="E55" s="56"/>
      <c r="F55" s="72"/>
      <c r="G55" s="72"/>
      <c r="H55" s="72"/>
      <c r="I55" s="72"/>
      <c r="J55" s="72"/>
      <c r="K55" s="72"/>
      <c r="L55" s="72"/>
      <c r="M55" s="72"/>
      <c r="N55" s="72"/>
      <c r="O55" s="72"/>
      <c r="P55" s="72"/>
      <c r="Q55" s="72"/>
      <c r="R55" s="72"/>
      <c r="S55" s="72"/>
      <c r="T55" s="192"/>
      <c r="U55" s="192"/>
      <c r="V55" s="192"/>
      <c r="W55" s="192"/>
      <c r="X55" s="192"/>
      <c r="Y55" s="192"/>
      <c r="Z55" s="192"/>
      <c r="AA55" s="192"/>
      <c r="AB55" s="192"/>
      <c r="AC55" s="192"/>
      <c r="AD55" s="192"/>
      <c r="AE55" s="192"/>
      <c r="AF55" s="192"/>
      <c r="AG55" s="192"/>
      <c r="AH55" s="192"/>
      <c r="AI55" s="192"/>
      <c r="AJ55" s="192"/>
      <c r="AK55" s="192" t="str">
        <f t="shared" ref="AK55:AM55" si="62">AVERAGE(D55,G55,J55,M55,P55,Y55,S55,V55,AB55,AE55,AH55)</f>
        <v>#DIV/0!</v>
      </c>
      <c r="AL55" s="192" t="str">
        <f t="shared" si="62"/>
        <v>#DIV/0!</v>
      </c>
      <c r="AM55" s="192" t="str">
        <f t="shared" si="62"/>
        <v>#DIV/0!</v>
      </c>
      <c r="AN55" s="453" t="str">
        <f t="shared" si="48"/>
        <v>#DIV/0!</v>
      </c>
      <c r="AO55" s="454" t="str">
        <f t="shared" si="49"/>
        <v>#DIV/0!</v>
      </c>
      <c r="AP55" s="454" t="str">
        <f t="shared" si="50"/>
        <v>#DIV/0!</v>
      </c>
    </row>
    <row r="56" ht="15.75" hidden="1" customHeight="1">
      <c r="A56" s="446">
        <v>53.0</v>
      </c>
      <c r="B56" s="192" t="s">
        <v>4</v>
      </c>
      <c r="C56" s="452" t="s">
        <v>746</v>
      </c>
      <c r="D56" s="56"/>
      <c r="E56" s="56"/>
      <c r="F56" s="72"/>
      <c r="G56" s="72"/>
      <c r="H56" s="72"/>
      <c r="I56" s="72"/>
      <c r="J56" s="72"/>
      <c r="K56" s="72"/>
      <c r="L56" s="72"/>
      <c r="M56" s="72"/>
      <c r="N56" s="72"/>
      <c r="O56" s="72"/>
      <c r="P56" s="72"/>
      <c r="Q56" s="72"/>
      <c r="R56" s="72"/>
      <c r="S56" s="72"/>
      <c r="T56" s="192"/>
      <c r="U56" s="192"/>
      <c r="V56" s="192"/>
      <c r="W56" s="192"/>
      <c r="X56" s="192"/>
      <c r="Y56" s="192"/>
      <c r="Z56" s="192"/>
      <c r="AA56" s="192"/>
      <c r="AB56" s="192"/>
      <c r="AC56" s="192"/>
      <c r="AD56" s="192"/>
      <c r="AE56" s="192"/>
      <c r="AF56" s="192"/>
      <c r="AG56" s="192"/>
      <c r="AH56" s="192"/>
      <c r="AI56" s="192"/>
      <c r="AJ56" s="192"/>
      <c r="AK56" s="192" t="str">
        <f t="shared" ref="AK56:AM56" si="63">AVERAGE(D56,G56,J56,M56,P56,Y56,S56,V56,AB56,AE56,AH56)</f>
        <v>#DIV/0!</v>
      </c>
      <c r="AL56" s="192" t="str">
        <f t="shared" si="63"/>
        <v>#DIV/0!</v>
      </c>
      <c r="AM56" s="192" t="str">
        <f t="shared" si="63"/>
        <v>#DIV/0!</v>
      </c>
      <c r="AN56" s="453" t="str">
        <f t="shared" si="48"/>
        <v>#DIV/0!</v>
      </c>
      <c r="AO56" s="454" t="str">
        <f t="shared" si="49"/>
        <v>#DIV/0!</v>
      </c>
      <c r="AP56" s="454" t="str">
        <f t="shared" si="50"/>
        <v>#DIV/0!</v>
      </c>
    </row>
    <row r="57" ht="15.75" hidden="1" customHeight="1">
      <c r="A57" s="446">
        <v>54.0</v>
      </c>
      <c r="B57" s="192" t="s">
        <v>4</v>
      </c>
      <c r="C57" s="452" t="s">
        <v>747</v>
      </c>
      <c r="D57" s="56"/>
      <c r="E57" s="56"/>
      <c r="F57" s="72"/>
      <c r="G57" s="72"/>
      <c r="H57" s="72"/>
      <c r="I57" s="72"/>
      <c r="J57" s="72"/>
      <c r="K57" s="72"/>
      <c r="L57" s="72"/>
      <c r="M57" s="72"/>
      <c r="N57" s="72"/>
      <c r="O57" s="72"/>
      <c r="P57" s="72"/>
      <c r="Q57" s="72"/>
      <c r="R57" s="72"/>
      <c r="S57" s="72"/>
      <c r="T57" s="192"/>
      <c r="U57" s="192"/>
      <c r="V57" s="192"/>
      <c r="W57" s="192"/>
      <c r="X57" s="192"/>
      <c r="Y57" s="192"/>
      <c r="Z57" s="192"/>
      <c r="AA57" s="192"/>
      <c r="AB57" s="192"/>
      <c r="AC57" s="192"/>
      <c r="AD57" s="192"/>
      <c r="AE57" s="192"/>
      <c r="AF57" s="192"/>
      <c r="AG57" s="192"/>
      <c r="AH57" s="192"/>
      <c r="AI57" s="192"/>
      <c r="AJ57" s="192"/>
      <c r="AK57" s="192" t="str">
        <f t="shared" ref="AK57:AM57" si="64">AVERAGE(D57,G57,J57,M57,P57,Y57,S57,V57,AB57,AE57,AH57)</f>
        <v>#DIV/0!</v>
      </c>
      <c r="AL57" s="192" t="str">
        <f t="shared" si="64"/>
        <v>#DIV/0!</v>
      </c>
      <c r="AM57" s="192" t="str">
        <f t="shared" si="64"/>
        <v>#DIV/0!</v>
      </c>
      <c r="AN57" s="453" t="str">
        <f t="shared" si="48"/>
        <v>#DIV/0!</v>
      </c>
      <c r="AO57" s="454" t="str">
        <f t="shared" si="49"/>
        <v>#DIV/0!</v>
      </c>
      <c r="AP57" s="454" t="str">
        <f t="shared" si="50"/>
        <v>#DIV/0!</v>
      </c>
    </row>
    <row r="58" ht="15.75" hidden="1" customHeight="1">
      <c r="A58" s="446">
        <v>55.0</v>
      </c>
      <c r="B58" s="192" t="s">
        <v>4</v>
      </c>
      <c r="C58" s="452" t="s">
        <v>748</v>
      </c>
      <c r="D58" s="56"/>
      <c r="E58" s="56"/>
      <c r="F58" s="72"/>
      <c r="G58" s="72"/>
      <c r="H58" s="72"/>
      <c r="I58" s="72"/>
      <c r="J58" s="72"/>
      <c r="K58" s="72"/>
      <c r="L58" s="72"/>
      <c r="M58" s="72"/>
      <c r="N58" s="72"/>
      <c r="O58" s="72"/>
      <c r="P58" s="72"/>
      <c r="Q58" s="72"/>
      <c r="R58" s="72"/>
      <c r="S58" s="72"/>
      <c r="T58" s="192"/>
      <c r="U58" s="192"/>
      <c r="V58" s="192"/>
      <c r="W58" s="192"/>
      <c r="X58" s="192"/>
      <c r="Y58" s="192"/>
      <c r="Z58" s="192"/>
      <c r="AA58" s="192"/>
      <c r="AB58" s="192"/>
      <c r="AC58" s="192"/>
      <c r="AD58" s="192"/>
      <c r="AE58" s="192"/>
      <c r="AF58" s="192"/>
      <c r="AG58" s="192"/>
      <c r="AH58" s="192"/>
      <c r="AI58" s="192"/>
      <c r="AJ58" s="192"/>
      <c r="AK58" s="192" t="str">
        <f t="shared" ref="AK58:AM58" si="65">AVERAGE(D58,G58,J58,M58,P58,Y58,S58,V58,AB58,AE58,AH58)</f>
        <v>#DIV/0!</v>
      </c>
      <c r="AL58" s="192" t="str">
        <f t="shared" si="65"/>
        <v>#DIV/0!</v>
      </c>
      <c r="AM58" s="192" t="str">
        <f t="shared" si="65"/>
        <v>#DIV/0!</v>
      </c>
      <c r="AN58" s="453" t="str">
        <f t="shared" si="48"/>
        <v>#DIV/0!</v>
      </c>
      <c r="AO58" s="454" t="str">
        <f t="shared" si="49"/>
        <v>#DIV/0!</v>
      </c>
      <c r="AP58" s="454" t="str">
        <f t="shared" si="50"/>
        <v>#DIV/0!</v>
      </c>
    </row>
    <row r="59" ht="15.75" hidden="1" customHeight="1">
      <c r="A59" s="446">
        <v>56.0</v>
      </c>
      <c r="B59" s="192" t="s">
        <v>4</v>
      </c>
      <c r="C59" s="452" t="s">
        <v>749</v>
      </c>
      <c r="D59" s="56"/>
      <c r="E59" s="56"/>
      <c r="F59" s="72"/>
      <c r="G59" s="72"/>
      <c r="H59" s="72"/>
      <c r="I59" s="72"/>
      <c r="J59" s="72"/>
      <c r="K59" s="72"/>
      <c r="L59" s="72"/>
      <c r="M59" s="72"/>
      <c r="N59" s="72"/>
      <c r="O59" s="72"/>
      <c r="P59" s="72"/>
      <c r="Q59" s="72"/>
      <c r="R59" s="72"/>
      <c r="S59" s="72"/>
      <c r="T59" s="192"/>
      <c r="U59" s="192"/>
      <c r="V59" s="192"/>
      <c r="W59" s="192"/>
      <c r="X59" s="192"/>
      <c r="Y59" s="192"/>
      <c r="Z59" s="192"/>
      <c r="AA59" s="192"/>
      <c r="AB59" s="192"/>
      <c r="AC59" s="192"/>
      <c r="AD59" s="192"/>
      <c r="AE59" s="192"/>
      <c r="AF59" s="192"/>
      <c r="AG59" s="192"/>
      <c r="AH59" s="192"/>
      <c r="AI59" s="192"/>
      <c r="AJ59" s="192"/>
      <c r="AK59" s="192" t="str">
        <f t="shared" ref="AK59:AM59" si="66">AVERAGE(D59,G59,J59,M59,P59,Y59,S59,V59,AB59,AE59,AH59)</f>
        <v>#DIV/0!</v>
      </c>
      <c r="AL59" s="192" t="str">
        <f t="shared" si="66"/>
        <v>#DIV/0!</v>
      </c>
      <c r="AM59" s="192" t="str">
        <f t="shared" si="66"/>
        <v>#DIV/0!</v>
      </c>
      <c r="AN59" s="453" t="str">
        <f t="shared" si="48"/>
        <v>#DIV/0!</v>
      </c>
      <c r="AO59" s="454" t="str">
        <f t="shared" si="49"/>
        <v>#DIV/0!</v>
      </c>
      <c r="AP59" s="454" t="str">
        <f t="shared" si="50"/>
        <v>#DIV/0!</v>
      </c>
    </row>
    <row r="60" ht="15.75" hidden="1" customHeight="1">
      <c r="A60" s="446">
        <v>57.0</v>
      </c>
      <c r="B60" s="192" t="s">
        <v>4</v>
      </c>
      <c r="C60" s="452" t="s">
        <v>750</v>
      </c>
      <c r="D60" s="56"/>
      <c r="E60" s="56"/>
      <c r="F60" s="72"/>
      <c r="G60" s="72"/>
      <c r="H60" s="72"/>
      <c r="I60" s="72"/>
      <c r="J60" s="72"/>
      <c r="K60" s="72"/>
      <c r="L60" s="72"/>
      <c r="M60" s="72"/>
      <c r="N60" s="72"/>
      <c r="O60" s="72"/>
      <c r="P60" s="72"/>
      <c r="Q60" s="72"/>
      <c r="R60" s="72"/>
      <c r="S60" s="72"/>
      <c r="T60" s="192"/>
      <c r="U60" s="192"/>
      <c r="V60" s="192"/>
      <c r="W60" s="192"/>
      <c r="X60" s="192"/>
      <c r="Y60" s="192"/>
      <c r="Z60" s="192"/>
      <c r="AA60" s="192"/>
      <c r="AB60" s="192"/>
      <c r="AC60" s="192"/>
      <c r="AD60" s="192"/>
      <c r="AE60" s="192"/>
      <c r="AF60" s="192"/>
      <c r="AG60" s="192"/>
      <c r="AH60" s="192"/>
      <c r="AI60" s="192"/>
      <c r="AJ60" s="192"/>
      <c r="AK60" s="192" t="str">
        <f t="shared" ref="AK60:AM60" si="67">AVERAGE(D60,G60,J60,M60,P60,Y60,S60,V60,AB60,AE60,AH60)</f>
        <v>#DIV/0!</v>
      </c>
      <c r="AL60" s="192" t="str">
        <f t="shared" si="67"/>
        <v>#DIV/0!</v>
      </c>
      <c r="AM60" s="192" t="str">
        <f t="shared" si="67"/>
        <v>#DIV/0!</v>
      </c>
      <c r="AN60" s="453" t="str">
        <f t="shared" si="48"/>
        <v>#DIV/0!</v>
      </c>
      <c r="AO60" s="454" t="str">
        <f t="shared" si="49"/>
        <v>#DIV/0!</v>
      </c>
      <c r="AP60" s="454" t="str">
        <f t="shared" si="50"/>
        <v>#DIV/0!</v>
      </c>
    </row>
    <row r="61" ht="15.75" hidden="1" customHeight="1">
      <c r="A61" s="446">
        <v>58.0</v>
      </c>
      <c r="B61" s="192" t="s">
        <v>4</v>
      </c>
      <c r="C61" s="452" t="s">
        <v>751</v>
      </c>
      <c r="D61" s="56"/>
      <c r="E61" s="56"/>
      <c r="F61" s="72"/>
      <c r="G61" s="72"/>
      <c r="H61" s="72"/>
      <c r="I61" s="72"/>
      <c r="J61" s="72"/>
      <c r="K61" s="72"/>
      <c r="L61" s="72"/>
      <c r="M61" s="72"/>
      <c r="N61" s="72"/>
      <c r="O61" s="72"/>
      <c r="P61" s="72"/>
      <c r="Q61" s="72"/>
      <c r="R61" s="72"/>
      <c r="S61" s="72"/>
      <c r="T61" s="192"/>
      <c r="U61" s="192"/>
      <c r="V61" s="192"/>
      <c r="W61" s="192"/>
      <c r="X61" s="192"/>
      <c r="Y61" s="192"/>
      <c r="Z61" s="192"/>
      <c r="AA61" s="192"/>
      <c r="AB61" s="192"/>
      <c r="AC61" s="192"/>
      <c r="AD61" s="192"/>
      <c r="AE61" s="192"/>
      <c r="AF61" s="192"/>
      <c r="AG61" s="192"/>
      <c r="AH61" s="192"/>
      <c r="AI61" s="192"/>
      <c r="AJ61" s="192"/>
      <c r="AK61" s="192" t="str">
        <f t="shared" ref="AK61:AM61" si="68">AVERAGE(D61,G61,J61,M61,P61,Y61,S61,V61,AB61,AE61,AH61)</f>
        <v>#DIV/0!</v>
      </c>
      <c r="AL61" s="192" t="str">
        <f t="shared" si="68"/>
        <v>#DIV/0!</v>
      </c>
      <c r="AM61" s="192" t="str">
        <f t="shared" si="68"/>
        <v>#DIV/0!</v>
      </c>
      <c r="AN61" s="453" t="str">
        <f t="shared" si="48"/>
        <v>#DIV/0!</v>
      </c>
      <c r="AO61" s="454" t="str">
        <f t="shared" si="49"/>
        <v>#DIV/0!</v>
      </c>
      <c r="AP61" s="454" t="str">
        <f t="shared" si="50"/>
        <v>#DIV/0!</v>
      </c>
    </row>
    <row r="62" ht="15.75" hidden="1" customHeight="1">
      <c r="A62" s="446">
        <v>59.0</v>
      </c>
      <c r="B62" s="192" t="s">
        <v>4</v>
      </c>
      <c r="C62" s="452" t="s">
        <v>752</v>
      </c>
      <c r="D62" s="56"/>
      <c r="E62" s="56"/>
      <c r="F62" s="72"/>
      <c r="G62" s="72"/>
      <c r="H62" s="72"/>
      <c r="I62" s="72"/>
      <c r="J62" s="72"/>
      <c r="K62" s="72"/>
      <c r="L62" s="72"/>
      <c r="M62" s="72"/>
      <c r="N62" s="72"/>
      <c r="O62" s="72"/>
      <c r="P62" s="72"/>
      <c r="Q62" s="72"/>
      <c r="R62" s="72"/>
      <c r="S62" s="72"/>
      <c r="T62" s="192"/>
      <c r="U62" s="192"/>
      <c r="V62" s="192"/>
      <c r="W62" s="192"/>
      <c r="X62" s="192"/>
      <c r="Y62" s="192"/>
      <c r="Z62" s="192"/>
      <c r="AA62" s="192"/>
      <c r="AB62" s="192"/>
      <c r="AC62" s="192"/>
      <c r="AD62" s="192"/>
      <c r="AE62" s="192"/>
      <c r="AF62" s="192"/>
      <c r="AG62" s="192"/>
      <c r="AH62" s="192"/>
      <c r="AI62" s="192"/>
      <c r="AJ62" s="192"/>
      <c r="AK62" s="192" t="str">
        <f t="shared" ref="AK62:AM62" si="69">AVERAGE(D62,G62,J62,M62,P62,Y62,S62,V62,AB62,AE62,AH62)</f>
        <v>#DIV/0!</v>
      </c>
      <c r="AL62" s="192" t="str">
        <f t="shared" si="69"/>
        <v>#DIV/0!</v>
      </c>
      <c r="AM62" s="192" t="str">
        <f t="shared" si="69"/>
        <v>#DIV/0!</v>
      </c>
      <c r="AN62" s="453" t="str">
        <f t="shared" si="48"/>
        <v>#DIV/0!</v>
      </c>
      <c r="AO62" s="454" t="str">
        <f t="shared" si="49"/>
        <v>#DIV/0!</v>
      </c>
      <c r="AP62" s="454" t="str">
        <f t="shared" si="50"/>
        <v>#DIV/0!</v>
      </c>
    </row>
    <row r="63" ht="15.75" hidden="1" customHeight="1">
      <c r="A63" s="446">
        <v>60.0</v>
      </c>
      <c r="B63" s="192" t="s">
        <v>4</v>
      </c>
      <c r="C63" s="452" t="s">
        <v>753</v>
      </c>
      <c r="D63" s="56"/>
      <c r="E63" s="56"/>
      <c r="F63" s="72"/>
      <c r="G63" s="72"/>
      <c r="H63" s="72"/>
      <c r="I63" s="72"/>
      <c r="J63" s="72"/>
      <c r="K63" s="72"/>
      <c r="L63" s="72"/>
      <c r="M63" s="72"/>
      <c r="N63" s="72"/>
      <c r="O63" s="72"/>
      <c r="P63" s="72"/>
      <c r="Q63" s="72"/>
      <c r="R63" s="72"/>
      <c r="S63" s="72"/>
      <c r="T63" s="192"/>
      <c r="U63" s="192"/>
      <c r="V63" s="192"/>
      <c r="W63" s="192"/>
      <c r="X63" s="192"/>
      <c r="Y63" s="192"/>
      <c r="Z63" s="192"/>
      <c r="AA63" s="192"/>
      <c r="AB63" s="192"/>
      <c r="AC63" s="192"/>
      <c r="AD63" s="192"/>
      <c r="AE63" s="192"/>
      <c r="AF63" s="192"/>
      <c r="AG63" s="192"/>
      <c r="AH63" s="192"/>
      <c r="AI63" s="192"/>
      <c r="AJ63" s="192"/>
      <c r="AK63" s="192" t="str">
        <f t="shared" ref="AK63:AM63" si="70">AVERAGE(D63,G63,J63,M63,P63,Y63,S63,V63,AB63,AE63,AH63)</f>
        <v>#DIV/0!</v>
      </c>
      <c r="AL63" s="192" t="str">
        <f t="shared" si="70"/>
        <v>#DIV/0!</v>
      </c>
      <c r="AM63" s="192" t="str">
        <f t="shared" si="70"/>
        <v>#DIV/0!</v>
      </c>
      <c r="AN63" s="453" t="str">
        <f t="shared" si="48"/>
        <v>#DIV/0!</v>
      </c>
      <c r="AO63" s="454" t="str">
        <f t="shared" si="49"/>
        <v>#DIV/0!</v>
      </c>
      <c r="AP63" s="454" t="str">
        <f t="shared" si="50"/>
        <v>#DIV/0!</v>
      </c>
    </row>
    <row r="64" ht="15.75" hidden="1" customHeight="1">
      <c r="A64" s="446">
        <v>61.0</v>
      </c>
      <c r="B64" s="192" t="s">
        <v>4</v>
      </c>
      <c r="C64" s="452" t="s">
        <v>754</v>
      </c>
      <c r="D64" s="56"/>
      <c r="E64" s="56"/>
      <c r="F64" s="72"/>
      <c r="G64" s="72"/>
      <c r="H64" s="72"/>
      <c r="I64" s="72"/>
      <c r="J64" s="72"/>
      <c r="K64" s="72"/>
      <c r="L64" s="72"/>
      <c r="M64" s="72"/>
      <c r="N64" s="72"/>
      <c r="O64" s="72"/>
      <c r="P64" s="72"/>
      <c r="Q64" s="72"/>
      <c r="R64" s="72"/>
      <c r="S64" s="72"/>
      <c r="T64" s="192"/>
      <c r="U64" s="192"/>
      <c r="V64" s="192"/>
      <c r="W64" s="192"/>
      <c r="X64" s="192"/>
      <c r="Y64" s="192"/>
      <c r="Z64" s="192"/>
      <c r="AA64" s="192"/>
      <c r="AB64" s="192"/>
      <c r="AC64" s="192"/>
      <c r="AD64" s="192"/>
      <c r="AE64" s="192"/>
      <c r="AF64" s="192"/>
      <c r="AG64" s="192"/>
      <c r="AH64" s="192"/>
      <c r="AI64" s="192"/>
      <c r="AJ64" s="192"/>
      <c r="AK64" s="192" t="str">
        <f t="shared" ref="AK64:AM64" si="71">AVERAGE(D64,G64,J64,M64,P64,Y64,S64,V64,AB64,AE64,AH64)</f>
        <v>#DIV/0!</v>
      </c>
      <c r="AL64" s="192" t="str">
        <f t="shared" si="71"/>
        <v>#DIV/0!</v>
      </c>
      <c r="AM64" s="192" t="str">
        <f t="shared" si="71"/>
        <v>#DIV/0!</v>
      </c>
      <c r="AN64" s="453" t="str">
        <f t="shared" si="48"/>
        <v>#DIV/0!</v>
      </c>
      <c r="AO64" s="454" t="str">
        <f t="shared" si="49"/>
        <v>#DIV/0!</v>
      </c>
      <c r="AP64" s="454" t="str">
        <f t="shared" si="50"/>
        <v>#DIV/0!</v>
      </c>
    </row>
    <row r="65" ht="15.75" hidden="1" customHeight="1">
      <c r="A65" s="446">
        <v>62.0</v>
      </c>
      <c r="B65" s="192" t="s">
        <v>4</v>
      </c>
      <c r="C65" s="452" t="s">
        <v>755</v>
      </c>
      <c r="D65" s="56"/>
      <c r="E65" s="56"/>
      <c r="F65" s="72"/>
      <c r="G65" s="72"/>
      <c r="H65" s="72"/>
      <c r="I65" s="72"/>
      <c r="J65" s="72"/>
      <c r="K65" s="72"/>
      <c r="L65" s="72"/>
      <c r="M65" s="72"/>
      <c r="N65" s="72"/>
      <c r="O65" s="72"/>
      <c r="P65" s="72"/>
      <c r="Q65" s="72"/>
      <c r="R65" s="72"/>
      <c r="S65" s="72"/>
      <c r="T65" s="192"/>
      <c r="U65" s="192"/>
      <c r="V65" s="192"/>
      <c r="W65" s="192"/>
      <c r="X65" s="192"/>
      <c r="Y65" s="192"/>
      <c r="Z65" s="192"/>
      <c r="AA65" s="192"/>
      <c r="AB65" s="192"/>
      <c r="AC65" s="192"/>
      <c r="AD65" s="192"/>
      <c r="AE65" s="192"/>
      <c r="AF65" s="192"/>
      <c r="AG65" s="192"/>
      <c r="AH65" s="192"/>
      <c r="AI65" s="192"/>
      <c r="AJ65" s="192"/>
      <c r="AK65" s="192" t="str">
        <f t="shared" ref="AK65:AM65" si="72">AVERAGE(D65,G65,J65,M65,P65,Y65,S65,V65,AB65,AE65,AH65)</f>
        <v>#DIV/0!</v>
      </c>
      <c r="AL65" s="192" t="str">
        <f t="shared" si="72"/>
        <v>#DIV/0!</v>
      </c>
      <c r="AM65" s="192" t="str">
        <f t="shared" si="72"/>
        <v>#DIV/0!</v>
      </c>
      <c r="AN65" s="453" t="str">
        <f t="shared" si="48"/>
        <v>#DIV/0!</v>
      </c>
      <c r="AO65" s="454" t="str">
        <f t="shared" si="49"/>
        <v>#DIV/0!</v>
      </c>
      <c r="AP65" s="454" t="str">
        <f t="shared" si="50"/>
        <v>#DIV/0!</v>
      </c>
    </row>
    <row r="66" ht="15.75" hidden="1" customHeight="1">
      <c r="A66" s="446">
        <v>63.0</v>
      </c>
      <c r="B66" s="192" t="s">
        <v>4</v>
      </c>
      <c r="C66" s="452" t="s">
        <v>756</v>
      </c>
      <c r="D66" s="56"/>
      <c r="E66" s="56"/>
      <c r="F66" s="72"/>
      <c r="G66" s="72"/>
      <c r="H66" s="72"/>
      <c r="I66" s="72"/>
      <c r="J66" s="72"/>
      <c r="K66" s="72"/>
      <c r="L66" s="72"/>
      <c r="M66" s="72"/>
      <c r="N66" s="72"/>
      <c r="O66" s="72"/>
      <c r="P66" s="72"/>
      <c r="Q66" s="72"/>
      <c r="R66" s="72"/>
      <c r="S66" s="72"/>
      <c r="T66" s="192"/>
      <c r="U66" s="192"/>
      <c r="V66" s="192"/>
      <c r="W66" s="192"/>
      <c r="X66" s="192"/>
      <c r="Y66" s="192"/>
      <c r="Z66" s="192"/>
      <c r="AA66" s="192"/>
      <c r="AB66" s="192"/>
      <c r="AC66" s="192"/>
      <c r="AD66" s="192"/>
      <c r="AE66" s="192"/>
      <c r="AF66" s="192"/>
      <c r="AG66" s="192"/>
      <c r="AH66" s="192"/>
      <c r="AI66" s="192"/>
      <c r="AJ66" s="192"/>
      <c r="AK66" s="192" t="str">
        <f t="shared" ref="AK66:AM66" si="73">AVERAGE(D66,G66,J66,M66,P66,Y66,S66,V66,AB66,AE66,AH66)</f>
        <v>#DIV/0!</v>
      </c>
      <c r="AL66" s="192" t="str">
        <f t="shared" si="73"/>
        <v>#DIV/0!</v>
      </c>
      <c r="AM66" s="192" t="str">
        <f t="shared" si="73"/>
        <v>#DIV/0!</v>
      </c>
      <c r="AN66" s="453" t="str">
        <f t="shared" si="48"/>
        <v>#DIV/0!</v>
      </c>
      <c r="AO66" s="454" t="str">
        <f t="shared" si="49"/>
        <v>#DIV/0!</v>
      </c>
      <c r="AP66" s="454" t="str">
        <f t="shared" si="50"/>
        <v>#DIV/0!</v>
      </c>
    </row>
    <row r="67" ht="15.75" hidden="1" customHeight="1">
      <c r="A67" s="446">
        <v>64.0</v>
      </c>
      <c r="B67" s="192" t="s">
        <v>4</v>
      </c>
      <c r="C67" s="452" t="s">
        <v>606</v>
      </c>
      <c r="D67" s="56"/>
      <c r="E67" s="56"/>
      <c r="F67" s="72"/>
      <c r="G67" s="72"/>
      <c r="H67" s="72"/>
      <c r="I67" s="72"/>
      <c r="J67" s="72"/>
      <c r="K67" s="72"/>
      <c r="L67" s="72"/>
      <c r="M67" s="72"/>
      <c r="N67" s="72"/>
      <c r="O67" s="72"/>
      <c r="P67" s="72"/>
      <c r="Q67" s="72"/>
      <c r="R67" s="72"/>
      <c r="S67" s="72"/>
      <c r="T67" s="192"/>
      <c r="U67" s="192"/>
      <c r="V67" s="192"/>
      <c r="W67" s="192"/>
      <c r="X67" s="192"/>
      <c r="Y67" s="192"/>
      <c r="Z67" s="192"/>
      <c r="AA67" s="192"/>
      <c r="AB67" s="192"/>
      <c r="AC67" s="192"/>
      <c r="AD67" s="192"/>
      <c r="AE67" s="192"/>
      <c r="AF67" s="192"/>
      <c r="AG67" s="192"/>
      <c r="AH67" s="192"/>
      <c r="AI67" s="192"/>
      <c r="AJ67" s="192"/>
      <c r="AK67" s="192" t="str">
        <f t="shared" ref="AK67:AM67" si="74">AVERAGE(D67,G67,J67,M67,P67,Y67,S67,V67,AB67,AE67,AH67)</f>
        <v>#DIV/0!</v>
      </c>
      <c r="AL67" s="192" t="str">
        <f t="shared" si="74"/>
        <v>#DIV/0!</v>
      </c>
      <c r="AM67" s="192" t="str">
        <f t="shared" si="74"/>
        <v>#DIV/0!</v>
      </c>
      <c r="AN67" s="453" t="str">
        <f t="shared" si="48"/>
        <v>#DIV/0!</v>
      </c>
      <c r="AO67" s="454" t="str">
        <f t="shared" si="49"/>
        <v>#DIV/0!</v>
      </c>
      <c r="AP67" s="454" t="str">
        <f t="shared" si="50"/>
        <v>#DIV/0!</v>
      </c>
    </row>
    <row r="68" ht="15.75" hidden="1" customHeight="1">
      <c r="A68" s="446">
        <v>65.0</v>
      </c>
      <c r="B68" s="192" t="s">
        <v>4</v>
      </c>
      <c r="C68" s="452" t="s">
        <v>757</v>
      </c>
      <c r="D68" s="56"/>
      <c r="E68" s="56"/>
      <c r="F68" s="72"/>
      <c r="G68" s="72"/>
      <c r="H68" s="72"/>
      <c r="I68" s="72"/>
      <c r="J68" s="72"/>
      <c r="K68" s="72"/>
      <c r="L68" s="72"/>
      <c r="M68" s="72"/>
      <c r="N68" s="72"/>
      <c r="O68" s="72"/>
      <c r="P68" s="72"/>
      <c r="Q68" s="72"/>
      <c r="R68" s="72"/>
      <c r="S68" s="72"/>
      <c r="T68" s="192"/>
      <c r="U68" s="192"/>
      <c r="V68" s="192"/>
      <c r="W68" s="192"/>
      <c r="X68" s="192"/>
      <c r="Y68" s="192"/>
      <c r="Z68" s="192"/>
      <c r="AA68" s="192"/>
      <c r="AB68" s="192"/>
      <c r="AC68" s="192"/>
      <c r="AD68" s="192"/>
      <c r="AE68" s="192"/>
      <c r="AF68" s="192"/>
      <c r="AG68" s="192"/>
      <c r="AH68" s="192"/>
      <c r="AI68" s="192"/>
      <c r="AJ68" s="192"/>
      <c r="AK68" s="192" t="str">
        <f t="shared" ref="AK68:AM68" si="75">AVERAGE(D68,G68,J68,M68,P68,Y68,S68,V68,AB68,AE68,AH68)</f>
        <v>#DIV/0!</v>
      </c>
      <c r="AL68" s="192" t="str">
        <f t="shared" si="75"/>
        <v>#DIV/0!</v>
      </c>
      <c r="AM68" s="192" t="str">
        <f t="shared" si="75"/>
        <v>#DIV/0!</v>
      </c>
      <c r="AN68" s="453" t="str">
        <f t="shared" si="48"/>
        <v>#DIV/0!</v>
      </c>
      <c r="AO68" s="454" t="str">
        <f t="shared" si="49"/>
        <v>#DIV/0!</v>
      </c>
      <c r="AP68" s="454" t="str">
        <f t="shared" si="50"/>
        <v>#DIV/0!</v>
      </c>
    </row>
    <row r="69" ht="15.75" hidden="1" customHeight="1">
      <c r="A69" s="446">
        <v>66.0</v>
      </c>
      <c r="B69" s="192" t="s">
        <v>4</v>
      </c>
      <c r="C69" s="452" t="s">
        <v>758</v>
      </c>
      <c r="D69" s="56"/>
      <c r="E69" s="56"/>
      <c r="F69" s="72"/>
      <c r="G69" s="72"/>
      <c r="H69" s="72"/>
      <c r="I69" s="72"/>
      <c r="J69" s="72"/>
      <c r="K69" s="72"/>
      <c r="L69" s="72"/>
      <c r="M69" s="72"/>
      <c r="N69" s="72"/>
      <c r="O69" s="72"/>
      <c r="P69" s="72"/>
      <c r="Q69" s="72"/>
      <c r="R69" s="72"/>
      <c r="S69" s="72"/>
      <c r="T69" s="192"/>
      <c r="U69" s="192"/>
      <c r="V69" s="192"/>
      <c r="W69" s="192"/>
      <c r="X69" s="192"/>
      <c r="Y69" s="192"/>
      <c r="Z69" s="192"/>
      <c r="AA69" s="192"/>
      <c r="AB69" s="192"/>
      <c r="AC69" s="192"/>
      <c r="AD69" s="192"/>
      <c r="AE69" s="192"/>
      <c r="AF69" s="192"/>
      <c r="AG69" s="192"/>
      <c r="AH69" s="192"/>
      <c r="AI69" s="192"/>
      <c r="AJ69" s="192"/>
      <c r="AK69" s="192" t="str">
        <f t="shared" ref="AK69:AM69" si="76">AVERAGE(D69,G69,J69,M69,P69,Y69,S69,V69,AB69,AE69,AH69)</f>
        <v>#DIV/0!</v>
      </c>
      <c r="AL69" s="192" t="str">
        <f t="shared" si="76"/>
        <v>#DIV/0!</v>
      </c>
      <c r="AM69" s="192" t="str">
        <f t="shared" si="76"/>
        <v>#DIV/0!</v>
      </c>
      <c r="AN69" s="453" t="str">
        <f t="shared" si="48"/>
        <v>#DIV/0!</v>
      </c>
      <c r="AO69" s="454" t="str">
        <f t="shared" si="49"/>
        <v>#DIV/0!</v>
      </c>
      <c r="AP69" s="454" t="str">
        <f t="shared" si="50"/>
        <v>#DIV/0!</v>
      </c>
    </row>
    <row r="70" ht="15.75" hidden="1" customHeight="1">
      <c r="A70" s="446">
        <v>67.0</v>
      </c>
      <c r="B70" s="25" t="s">
        <v>42</v>
      </c>
      <c r="C70" s="452" t="s">
        <v>759</v>
      </c>
      <c r="D70" s="56"/>
      <c r="E70" s="56"/>
      <c r="F70" s="72"/>
      <c r="G70" s="72"/>
      <c r="H70" s="72"/>
      <c r="I70" s="72"/>
      <c r="J70" s="72"/>
      <c r="K70" s="72"/>
      <c r="L70" s="72"/>
      <c r="M70" s="72"/>
      <c r="N70" s="72"/>
      <c r="O70" s="72"/>
      <c r="P70" s="72"/>
      <c r="Q70" s="72"/>
      <c r="R70" s="72"/>
      <c r="S70" s="72"/>
      <c r="T70" s="192"/>
      <c r="U70" s="192"/>
      <c r="V70" s="192"/>
      <c r="W70" s="192"/>
      <c r="X70" s="192"/>
      <c r="Y70" s="192"/>
      <c r="Z70" s="192"/>
      <c r="AA70" s="192"/>
      <c r="AB70" s="192"/>
      <c r="AC70" s="192"/>
      <c r="AD70" s="192"/>
      <c r="AE70" s="192"/>
      <c r="AF70" s="192"/>
      <c r="AG70" s="192"/>
      <c r="AH70" s="192"/>
      <c r="AI70" s="192"/>
      <c r="AJ70" s="192"/>
      <c r="AK70" s="192" t="str">
        <f t="shared" ref="AK70:AM70" si="77">AVERAGE(D70,G70,J70,M70,P70,Y70,S70,V70,AB70,AE70,AH70)</f>
        <v>#DIV/0!</v>
      </c>
      <c r="AL70" s="192" t="str">
        <f t="shared" si="77"/>
        <v>#DIV/0!</v>
      </c>
      <c r="AM70" s="192" t="str">
        <f t="shared" si="77"/>
        <v>#DIV/0!</v>
      </c>
      <c r="AN70" s="455" t="str">
        <f t="shared" ref="AN70:AN110" si="79">RANK(AK70,$AK$70:$AK$110)</f>
        <v>#DIV/0!</v>
      </c>
      <c r="AO70" s="454" t="str">
        <f t="shared" ref="AO70:AO110" si="80">RANK(AL70,$AL$70:$AL$110)</f>
        <v>#DIV/0!</v>
      </c>
      <c r="AP70" s="454" t="str">
        <f t="shared" ref="AP70:AP110" si="81">RANK(AM70,$AM$70:$AN$110)</f>
        <v>#DIV/0!</v>
      </c>
    </row>
    <row r="71" ht="15.75" hidden="1" customHeight="1">
      <c r="A71" s="446">
        <v>68.0</v>
      </c>
      <c r="B71" s="25" t="s">
        <v>42</v>
      </c>
      <c r="C71" s="452" t="s">
        <v>563</v>
      </c>
      <c r="D71" s="56"/>
      <c r="E71" s="56"/>
      <c r="F71" s="72"/>
      <c r="G71" s="72"/>
      <c r="H71" s="72"/>
      <c r="I71" s="72"/>
      <c r="J71" s="72"/>
      <c r="K71" s="72"/>
      <c r="L71" s="72"/>
      <c r="M71" s="72"/>
      <c r="N71" s="72"/>
      <c r="O71" s="72"/>
      <c r="P71" s="72"/>
      <c r="Q71" s="72"/>
      <c r="R71" s="72"/>
      <c r="S71" s="72"/>
      <c r="T71" s="192"/>
      <c r="U71" s="192"/>
      <c r="V71" s="192"/>
      <c r="W71" s="192"/>
      <c r="X71" s="192"/>
      <c r="Y71" s="192"/>
      <c r="Z71" s="192"/>
      <c r="AA71" s="192"/>
      <c r="AB71" s="192"/>
      <c r="AC71" s="192"/>
      <c r="AD71" s="192"/>
      <c r="AE71" s="192"/>
      <c r="AF71" s="192"/>
      <c r="AG71" s="192"/>
      <c r="AH71" s="192"/>
      <c r="AI71" s="192"/>
      <c r="AJ71" s="192"/>
      <c r="AK71" s="192" t="str">
        <f t="shared" ref="AK71:AM71" si="78">AVERAGE(D71,G71,J71,M71,P71,Y71,S71,V71,AB71,AE71,AH71)</f>
        <v>#DIV/0!</v>
      </c>
      <c r="AL71" s="192" t="str">
        <f t="shared" si="78"/>
        <v>#DIV/0!</v>
      </c>
      <c r="AM71" s="192" t="str">
        <f t="shared" si="78"/>
        <v>#DIV/0!</v>
      </c>
      <c r="AN71" s="455" t="str">
        <f t="shared" si="79"/>
        <v>#DIV/0!</v>
      </c>
      <c r="AO71" s="454" t="str">
        <f t="shared" si="80"/>
        <v>#DIV/0!</v>
      </c>
      <c r="AP71" s="454" t="str">
        <f t="shared" si="81"/>
        <v>#DIV/0!</v>
      </c>
    </row>
    <row r="72" ht="15.75" hidden="1" customHeight="1">
      <c r="A72" s="446">
        <v>69.0</v>
      </c>
      <c r="B72" s="25" t="s">
        <v>42</v>
      </c>
      <c r="C72" s="452" t="s">
        <v>760</v>
      </c>
      <c r="D72" s="56"/>
      <c r="E72" s="56"/>
      <c r="F72" s="72"/>
      <c r="G72" s="72"/>
      <c r="H72" s="72"/>
      <c r="I72" s="72"/>
      <c r="J72" s="72"/>
      <c r="K72" s="72"/>
      <c r="L72" s="72"/>
      <c r="M72" s="72"/>
      <c r="N72" s="72"/>
      <c r="O72" s="72"/>
      <c r="P72" s="72"/>
      <c r="Q72" s="72"/>
      <c r="R72" s="72"/>
      <c r="S72" s="72"/>
      <c r="T72" s="192"/>
      <c r="U72" s="192"/>
      <c r="V72" s="192"/>
      <c r="W72" s="192"/>
      <c r="X72" s="192"/>
      <c r="Y72" s="192"/>
      <c r="Z72" s="192"/>
      <c r="AA72" s="192"/>
      <c r="AB72" s="192"/>
      <c r="AC72" s="192"/>
      <c r="AD72" s="192"/>
      <c r="AE72" s="192"/>
      <c r="AF72" s="192"/>
      <c r="AG72" s="192"/>
      <c r="AH72" s="192"/>
      <c r="AI72" s="192"/>
      <c r="AJ72" s="192"/>
      <c r="AK72" s="192" t="str">
        <f t="shared" ref="AK72:AM72" si="82">AVERAGE(D72,G72,J72,M72,P72,Y72,S72,V72,AB72,AE72,AH72)</f>
        <v>#DIV/0!</v>
      </c>
      <c r="AL72" s="192" t="str">
        <f t="shared" si="82"/>
        <v>#DIV/0!</v>
      </c>
      <c r="AM72" s="192" t="str">
        <f t="shared" si="82"/>
        <v>#DIV/0!</v>
      </c>
      <c r="AN72" s="455" t="str">
        <f t="shared" si="79"/>
        <v>#DIV/0!</v>
      </c>
      <c r="AO72" s="454" t="str">
        <f t="shared" si="80"/>
        <v>#DIV/0!</v>
      </c>
      <c r="AP72" s="454" t="str">
        <f t="shared" si="81"/>
        <v>#DIV/0!</v>
      </c>
    </row>
    <row r="73" ht="15.75" hidden="1" customHeight="1">
      <c r="A73" s="446">
        <v>70.0</v>
      </c>
      <c r="B73" s="25" t="s">
        <v>42</v>
      </c>
      <c r="C73" s="452" t="s">
        <v>761</v>
      </c>
      <c r="D73" s="56"/>
      <c r="E73" s="56"/>
      <c r="F73" s="72"/>
      <c r="G73" s="72"/>
      <c r="H73" s="72"/>
      <c r="I73" s="72"/>
      <c r="J73" s="72"/>
      <c r="K73" s="72"/>
      <c r="L73" s="72"/>
      <c r="M73" s="72"/>
      <c r="N73" s="72"/>
      <c r="O73" s="72"/>
      <c r="P73" s="72"/>
      <c r="Q73" s="72"/>
      <c r="R73" s="72"/>
      <c r="S73" s="72"/>
      <c r="T73" s="192"/>
      <c r="U73" s="192"/>
      <c r="V73" s="192"/>
      <c r="W73" s="192"/>
      <c r="X73" s="192"/>
      <c r="Y73" s="192"/>
      <c r="Z73" s="192"/>
      <c r="AA73" s="192"/>
      <c r="AB73" s="192"/>
      <c r="AC73" s="192"/>
      <c r="AD73" s="192"/>
      <c r="AE73" s="192"/>
      <c r="AF73" s="192"/>
      <c r="AG73" s="192"/>
      <c r="AH73" s="192"/>
      <c r="AI73" s="192"/>
      <c r="AJ73" s="192"/>
      <c r="AK73" s="192" t="str">
        <f t="shared" ref="AK73:AM73" si="83">AVERAGE(D73,G73,J73,M73,P73,Y73,S73,V73,AB73,AE73,AH73)</f>
        <v>#DIV/0!</v>
      </c>
      <c r="AL73" s="192" t="str">
        <f t="shared" si="83"/>
        <v>#DIV/0!</v>
      </c>
      <c r="AM73" s="192" t="str">
        <f t="shared" si="83"/>
        <v>#DIV/0!</v>
      </c>
      <c r="AN73" s="455" t="str">
        <f t="shared" si="79"/>
        <v>#DIV/0!</v>
      </c>
      <c r="AO73" s="454" t="str">
        <f t="shared" si="80"/>
        <v>#DIV/0!</v>
      </c>
      <c r="AP73" s="454" t="str">
        <f t="shared" si="81"/>
        <v>#DIV/0!</v>
      </c>
    </row>
    <row r="74" ht="15.75" hidden="1" customHeight="1">
      <c r="A74" s="446">
        <v>71.0</v>
      </c>
      <c r="B74" s="25" t="s">
        <v>42</v>
      </c>
      <c r="C74" s="452" t="s">
        <v>762</v>
      </c>
      <c r="D74" s="56"/>
      <c r="E74" s="56"/>
      <c r="F74" s="72"/>
      <c r="G74" s="72"/>
      <c r="H74" s="72"/>
      <c r="I74" s="72"/>
      <c r="J74" s="72"/>
      <c r="K74" s="72"/>
      <c r="L74" s="72"/>
      <c r="M74" s="72"/>
      <c r="N74" s="72"/>
      <c r="O74" s="72"/>
      <c r="P74" s="72"/>
      <c r="Q74" s="72"/>
      <c r="R74" s="72"/>
      <c r="S74" s="72"/>
      <c r="T74" s="192"/>
      <c r="U74" s="192"/>
      <c r="V74" s="192"/>
      <c r="W74" s="192"/>
      <c r="X74" s="192"/>
      <c r="Y74" s="192"/>
      <c r="Z74" s="192"/>
      <c r="AA74" s="192"/>
      <c r="AB74" s="192"/>
      <c r="AC74" s="192"/>
      <c r="AD74" s="192"/>
      <c r="AE74" s="192"/>
      <c r="AF74" s="192"/>
      <c r="AG74" s="192"/>
      <c r="AH74" s="192"/>
      <c r="AI74" s="192"/>
      <c r="AJ74" s="192"/>
      <c r="AK74" s="192" t="str">
        <f t="shared" ref="AK74:AM74" si="84">AVERAGE(D74,G74,J74,M74,P74,Y74,S74,V74,AB74,AE74,AH74)</f>
        <v>#DIV/0!</v>
      </c>
      <c r="AL74" s="192" t="str">
        <f t="shared" si="84"/>
        <v>#DIV/0!</v>
      </c>
      <c r="AM74" s="192" t="str">
        <f t="shared" si="84"/>
        <v>#DIV/0!</v>
      </c>
      <c r="AN74" s="455" t="str">
        <f t="shared" si="79"/>
        <v>#DIV/0!</v>
      </c>
      <c r="AO74" s="454" t="str">
        <f t="shared" si="80"/>
        <v>#DIV/0!</v>
      </c>
      <c r="AP74" s="454" t="str">
        <f t="shared" si="81"/>
        <v>#DIV/0!</v>
      </c>
    </row>
    <row r="75" ht="15.75" hidden="1" customHeight="1">
      <c r="A75" s="446">
        <v>72.0</v>
      </c>
      <c r="B75" s="25" t="s">
        <v>42</v>
      </c>
      <c r="C75" s="452" t="s">
        <v>539</v>
      </c>
      <c r="D75" s="56"/>
      <c r="E75" s="56"/>
      <c r="F75" s="72"/>
      <c r="G75" s="72"/>
      <c r="H75" s="72"/>
      <c r="I75" s="72"/>
      <c r="J75" s="72"/>
      <c r="K75" s="72"/>
      <c r="L75" s="72"/>
      <c r="M75" s="72"/>
      <c r="N75" s="72"/>
      <c r="O75" s="72"/>
      <c r="P75" s="72"/>
      <c r="Q75" s="72"/>
      <c r="R75" s="72"/>
      <c r="S75" s="72"/>
      <c r="T75" s="192"/>
      <c r="U75" s="192"/>
      <c r="V75" s="192"/>
      <c r="W75" s="192"/>
      <c r="X75" s="192"/>
      <c r="Y75" s="192"/>
      <c r="Z75" s="192"/>
      <c r="AA75" s="192"/>
      <c r="AB75" s="192"/>
      <c r="AC75" s="192"/>
      <c r="AD75" s="192"/>
      <c r="AE75" s="192"/>
      <c r="AF75" s="192"/>
      <c r="AG75" s="192"/>
      <c r="AH75" s="192"/>
      <c r="AI75" s="192"/>
      <c r="AJ75" s="192"/>
      <c r="AK75" s="192" t="str">
        <f t="shared" ref="AK75:AM75" si="85">AVERAGE(D75,G75,J75,M75,P75,Y75,S75,V75,AB75,AE75,AH75)</f>
        <v>#DIV/0!</v>
      </c>
      <c r="AL75" s="192" t="str">
        <f t="shared" si="85"/>
        <v>#DIV/0!</v>
      </c>
      <c r="AM75" s="192" t="str">
        <f t="shared" si="85"/>
        <v>#DIV/0!</v>
      </c>
      <c r="AN75" s="455" t="str">
        <f t="shared" si="79"/>
        <v>#DIV/0!</v>
      </c>
      <c r="AO75" s="454" t="str">
        <f t="shared" si="80"/>
        <v>#DIV/0!</v>
      </c>
      <c r="AP75" s="454" t="str">
        <f t="shared" si="81"/>
        <v>#DIV/0!</v>
      </c>
    </row>
    <row r="76" ht="15.75" hidden="1" customHeight="1">
      <c r="A76" s="446">
        <v>73.0</v>
      </c>
      <c r="B76" s="25" t="s">
        <v>42</v>
      </c>
      <c r="C76" s="452" t="s">
        <v>763</v>
      </c>
      <c r="D76" s="56"/>
      <c r="E76" s="56"/>
      <c r="F76" s="72"/>
      <c r="G76" s="72"/>
      <c r="H76" s="72"/>
      <c r="I76" s="72"/>
      <c r="J76" s="72"/>
      <c r="K76" s="72"/>
      <c r="L76" s="72"/>
      <c r="M76" s="72"/>
      <c r="N76" s="72"/>
      <c r="O76" s="72"/>
      <c r="P76" s="72"/>
      <c r="Q76" s="72"/>
      <c r="R76" s="72"/>
      <c r="S76" s="72"/>
      <c r="T76" s="192"/>
      <c r="U76" s="192"/>
      <c r="V76" s="192"/>
      <c r="W76" s="192"/>
      <c r="X76" s="192"/>
      <c r="Y76" s="192"/>
      <c r="Z76" s="192"/>
      <c r="AA76" s="192"/>
      <c r="AB76" s="192"/>
      <c r="AC76" s="192"/>
      <c r="AD76" s="192"/>
      <c r="AE76" s="192"/>
      <c r="AF76" s="192"/>
      <c r="AG76" s="192"/>
      <c r="AH76" s="192"/>
      <c r="AI76" s="192"/>
      <c r="AJ76" s="192"/>
      <c r="AK76" s="192" t="str">
        <f t="shared" ref="AK76:AM76" si="86">AVERAGE(D76,G76,J76,M76,P76,Y76,S76,V76,AB76,AE76,AH76)</f>
        <v>#DIV/0!</v>
      </c>
      <c r="AL76" s="192" t="str">
        <f t="shared" si="86"/>
        <v>#DIV/0!</v>
      </c>
      <c r="AM76" s="192" t="str">
        <f t="shared" si="86"/>
        <v>#DIV/0!</v>
      </c>
      <c r="AN76" s="455" t="str">
        <f t="shared" si="79"/>
        <v>#DIV/0!</v>
      </c>
      <c r="AO76" s="454" t="str">
        <f t="shared" si="80"/>
        <v>#DIV/0!</v>
      </c>
      <c r="AP76" s="454" t="str">
        <f t="shared" si="81"/>
        <v>#DIV/0!</v>
      </c>
    </row>
    <row r="77" ht="15.75" hidden="1" customHeight="1">
      <c r="A77" s="446">
        <v>74.0</v>
      </c>
      <c r="B77" s="25" t="s">
        <v>42</v>
      </c>
      <c r="C77" s="452" t="s">
        <v>541</v>
      </c>
      <c r="D77" s="56"/>
      <c r="E77" s="56"/>
      <c r="F77" s="72"/>
      <c r="G77" s="72"/>
      <c r="H77" s="72"/>
      <c r="I77" s="72"/>
      <c r="J77" s="72"/>
      <c r="K77" s="72"/>
      <c r="L77" s="72"/>
      <c r="M77" s="72"/>
      <c r="N77" s="72"/>
      <c r="O77" s="72"/>
      <c r="P77" s="72"/>
      <c r="Q77" s="72"/>
      <c r="R77" s="72"/>
      <c r="S77" s="72"/>
      <c r="T77" s="192"/>
      <c r="U77" s="192"/>
      <c r="V77" s="192"/>
      <c r="W77" s="192"/>
      <c r="X77" s="192"/>
      <c r="Y77" s="192"/>
      <c r="Z77" s="192"/>
      <c r="AA77" s="192"/>
      <c r="AB77" s="192"/>
      <c r="AC77" s="192"/>
      <c r="AD77" s="192"/>
      <c r="AE77" s="192"/>
      <c r="AF77" s="192"/>
      <c r="AG77" s="192"/>
      <c r="AH77" s="192"/>
      <c r="AI77" s="192"/>
      <c r="AJ77" s="192"/>
      <c r="AK77" s="192" t="str">
        <f t="shared" ref="AK77:AM77" si="87">AVERAGE(D77,G77,J77,M77,P77,Y77,S77,V77,AB77,AE77,AH77)</f>
        <v>#DIV/0!</v>
      </c>
      <c r="AL77" s="192" t="str">
        <f t="shared" si="87"/>
        <v>#DIV/0!</v>
      </c>
      <c r="AM77" s="192" t="str">
        <f t="shared" si="87"/>
        <v>#DIV/0!</v>
      </c>
      <c r="AN77" s="455" t="str">
        <f t="shared" si="79"/>
        <v>#DIV/0!</v>
      </c>
      <c r="AO77" s="454" t="str">
        <f t="shared" si="80"/>
        <v>#DIV/0!</v>
      </c>
      <c r="AP77" s="454" t="str">
        <f t="shared" si="81"/>
        <v>#DIV/0!</v>
      </c>
    </row>
    <row r="78" ht="15.75" hidden="1" customHeight="1">
      <c r="A78" s="446">
        <v>75.0</v>
      </c>
      <c r="B78" s="25" t="s">
        <v>42</v>
      </c>
      <c r="C78" s="452" t="s">
        <v>764</v>
      </c>
      <c r="D78" s="56"/>
      <c r="E78" s="56"/>
      <c r="F78" s="72"/>
      <c r="G78" s="72"/>
      <c r="H78" s="72"/>
      <c r="I78" s="72"/>
      <c r="J78" s="72"/>
      <c r="K78" s="72"/>
      <c r="L78" s="72"/>
      <c r="M78" s="72"/>
      <c r="N78" s="72"/>
      <c r="O78" s="72"/>
      <c r="P78" s="72"/>
      <c r="Q78" s="72"/>
      <c r="R78" s="72"/>
      <c r="S78" s="72"/>
      <c r="T78" s="192"/>
      <c r="U78" s="192"/>
      <c r="V78" s="192"/>
      <c r="W78" s="192"/>
      <c r="X78" s="192"/>
      <c r="Y78" s="192"/>
      <c r="Z78" s="192"/>
      <c r="AA78" s="192"/>
      <c r="AB78" s="192"/>
      <c r="AC78" s="192"/>
      <c r="AD78" s="192"/>
      <c r="AE78" s="192"/>
      <c r="AF78" s="192"/>
      <c r="AG78" s="192"/>
      <c r="AH78" s="192"/>
      <c r="AI78" s="192"/>
      <c r="AJ78" s="192"/>
      <c r="AK78" s="192" t="str">
        <f t="shared" ref="AK78:AM78" si="88">AVERAGE(D78,G78,J78,M78,P78,Y78,S78,V78,AB78,AE78,AH78)</f>
        <v>#DIV/0!</v>
      </c>
      <c r="AL78" s="192" t="str">
        <f t="shared" si="88"/>
        <v>#DIV/0!</v>
      </c>
      <c r="AM78" s="192" t="str">
        <f t="shared" si="88"/>
        <v>#DIV/0!</v>
      </c>
      <c r="AN78" s="455" t="str">
        <f t="shared" si="79"/>
        <v>#DIV/0!</v>
      </c>
      <c r="AO78" s="454" t="str">
        <f t="shared" si="80"/>
        <v>#DIV/0!</v>
      </c>
      <c r="AP78" s="454" t="str">
        <f t="shared" si="81"/>
        <v>#DIV/0!</v>
      </c>
    </row>
    <row r="79" ht="15.75" hidden="1" customHeight="1">
      <c r="A79" s="446">
        <v>76.0</v>
      </c>
      <c r="B79" s="25" t="s">
        <v>42</v>
      </c>
      <c r="C79" s="452" t="s">
        <v>765</v>
      </c>
      <c r="D79" s="56"/>
      <c r="E79" s="56"/>
      <c r="F79" s="72"/>
      <c r="G79" s="72"/>
      <c r="H79" s="72"/>
      <c r="I79" s="72"/>
      <c r="J79" s="72"/>
      <c r="K79" s="72"/>
      <c r="L79" s="72"/>
      <c r="M79" s="72"/>
      <c r="N79" s="72"/>
      <c r="O79" s="72"/>
      <c r="P79" s="72"/>
      <c r="Q79" s="72"/>
      <c r="R79" s="72"/>
      <c r="S79" s="72"/>
      <c r="T79" s="192"/>
      <c r="U79" s="192"/>
      <c r="V79" s="192"/>
      <c r="W79" s="192"/>
      <c r="X79" s="192"/>
      <c r="Y79" s="192"/>
      <c r="Z79" s="192"/>
      <c r="AA79" s="192"/>
      <c r="AB79" s="192"/>
      <c r="AC79" s="192"/>
      <c r="AD79" s="192"/>
      <c r="AE79" s="192"/>
      <c r="AF79" s="192"/>
      <c r="AG79" s="192"/>
      <c r="AH79" s="192"/>
      <c r="AI79" s="192"/>
      <c r="AJ79" s="192"/>
      <c r="AK79" s="192" t="str">
        <f t="shared" ref="AK79:AM79" si="89">AVERAGE(D79,G79,J79,M79,P79,Y79,S79,V79,AB79,AE79,AH79)</f>
        <v>#DIV/0!</v>
      </c>
      <c r="AL79" s="192" t="str">
        <f t="shared" si="89"/>
        <v>#DIV/0!</v>
      </c>
      <c r="AM79" s="192" t="str">
        <f t="shared" si="89"/>
        <v>#DIV/0!</v>
      </c>
      <c r="AN79" s="455" t="str">
        <f t="shared" si="79"/>
        <v>#DIV/0!</v>
      </c>
      <c r="AO79" s="454" t="str">
        <f t="shared" si="80"/>
        <v>#DIV/0!</v>
      </c>
      <c r="AP79" s="454" t="str">
        <f t="shared" si="81"/>
        <v>#DIV/0!</v>
      </c>
    </row>
    <row r="80" ht="15.75" hidden="1" customHeight="1">
      <c r="A80" s="446">
        <v>77.0</v>
      </c>
      <c r="B80" s="25" t="s">
        <v>42</v>
      </c>
      <c r="C80" s="452" t="s">
        <v>766</v>
      </c>
      <c r="D80" s="56"/>
      <c r="E80" s="56"/>
      <c r="F80" s="72"/>
      <c r="G80" s="72"/>
      <c r="H80" s="72"/>
      <c r="I80" s="72"/>
      <c r="J80" s="72"/>
      <c r="K80" s="72"/>
      <c r="L80" s="72"/>
      <c r="M80" s="72"/>
      <c r="N80" s="72"/>
      <c r="O80" s="72"/>
      <c r="P80" s="72"/>
      <c r="Q80" s="72"/>
      <c r="R80" s="72"/>
      <c r="S80" s="72"/>
      <c r="T80" s="192"/>
      <c r="U80" s="192"/>
      <c r="V80" s="192"/>
      <c r="W80" s="192"/>
      <c r="X80" s="192"/>
      <c r="Y80" s="192"/>
      <c r="Z80" s="192"/>
      <c r="AA80" s="192"/>
      <c r="AB80" s="192"/>
      <c r="AC80" s="192"/>
      <c r="AD80" s="192"/>
      <c r="AE80" s="192"/>
      <c r="AF80" s="192"/>
      <c r="AG80" s="192"/>
      <c r="AH80" s="192"/>
      <c r="AI80" s="192"/>
      <c r="AJ80" s="192"/>
      <c r="AK80" s="192" t="str">
        <f t="shared" ref="AK80:AM80" si="90">AVERAGE(D80,G80,J80,M80,P80,Y80,S80,V80,AB80,AE80,AH80)</f>
        <v>#DIV/0!</v>
      </c>
      <c r="AL80" s="192" t="str">
        <f t="shared" si="90"/>
        <v>#DIV/0!</v>
      </c>
      <c r="AM80" s="192" t="str">
        <f t="shared" si="90"/>
        <v>#DIV/0!</v>
      </c>
      <c r="AN80" s="455" t="str">
        <f t="shared" si="79"/>
        <v>#DIV/0!</v>
      </c>
      <c r="AO80" s="454" t="str">
        <f t="shared" si="80"/>
        <v>#DIV/0!</v>
      </c>
      <c r="AP80" s="454" t="str">
        <f t="shared" si="81"/>
        <v>#DIV/0!</v>
      </c>
    </row>
    <row r="81" ht="15.75" hidden="1" customHeight="1">
      <c r="A81" s="446">
        <v>78.0</v>
      </c>
      <c r="B81" s="25" t="s">
        <v>42</v>
      </c>
      <c r="C81" s="452" t="s">
        <v>767</v>
      </c>
      <c r="D81" s="56"/>
      <c r="E81" s="56"/>
      <c r="F81" s="72"/>
      <c r="G81" s="72"/>
      <c r="H81" s="72"/>
      <c r="I81" s="72"/>
      <c r="J81" s="72"/>
      <c r="K81" s="72"/>
      <c r="L81" s="72"/>
      <c r="M81" s="72"/>
      <c r="N81" s="72"/>
      <c r="O81" s="72"/>
      <c r="P81" s="72"/>
      <c r="Q81" s="72"/>
      <c r="R81" s="72"/>
      <c r="S81" s="72"/>
      <c r="T81" s="192"/>
      <c r="U81" s="192"/>
      <c r="V81" s="192"/>
      <c r="W81" s="192"/>
      <c r="X81" s="192"/>
      <c r="Y81" s="192"/>
      <c r="Z81" s="192"/>
      <c r="AA81" s="192"/>
      <c r="AB81" s="192"/>
      <c r="AC81" s="192"/>
      <c r="AD81" s="192"/>
      <c r="AE81" s="192"/>
      <c r="AF81" s="192"/>
      <c r="AG81" s="192"/>
      <c r="AH81" s="192"/>
      <c r="AI81" s="192"/>
      <c r="AJ81" s="192"/>
      <c r="AK81" s="192" t="str">
        <f t="shared" ref="AK81:AM81" si="91">AVERAGE(D81,G81,J81,M81,P81,Y81,S81,V81,AB81,AE81,AH81)</f>
        <v>#DIV/0!</v>
      </c>
      <c r="AL81" s="192" t="str">
        <f t="shared" si="91"/>
        <v>#DIV/0!</v>
      </c>
      <c r="AM81" s="192" t="str">
        <f t="shared" si="91"/>
        <v>#DIV/0!</v>
      </c>
      <c r="AN81" s="455" t="str">
        <f t="shared" si="79"/>
        <v>#DIV/0!</v>
      </c>
      <c r="AO81" s="454" t="str">
        <f t="shared" si="80"/>
        <v>#DIV/0!</v>
      </c>
      <c r="AP81" s="454" t="str">
        <f t="shared" si="81"/>
        <v>#DIV/0!</v>
      </c>
    </row>
    <row r="82" ht="15.75" hidden="1" customHeight="1">
      <c r="A82" s="446">
        <v>79.0</v>
      </c>
      <c r="B82" s="25" t="s">
        <v>42</v>
      </c>
      <c r="C82" s="452" t="s">
        <v>768</v>
      </c>
      <c r="D82" s="56"/>
      <c r="E82" s="56"/>
      <c r="F82" s="72"/>
      <c r="G82" s="72"/>
      <c r="H82" s="72"/>
      <c r="I82" s="72"/>
      <c r="J82" s="72"/>
      <c r="K82" s="72"/>
      <c r="L82" s="72"/>
      <c r="M82" s="72"/>
      <c r="N82" s="72"/>
      <c r="O82" s="72"/>
      <c r="P82" s="72"/>
      <c r="Q82" s="72"/>
      <c r="R82" s="72"/>
      <c r="S82" s="72"/>
      <c r="T82" s="192"/>
      <c r="U82" s="192"/>
      <c r="V82" s="192"/>
      <c r="W82" s="192"/>
      <c r="X82" s="192"/>
      <c r="Y82" s="192"/>
      <c r="Z82" s="192"/>
      <c r="AA82" s="192"/>
      <c r="AB82" s="192"/>
      <c r="AC82" s="192"/>
      <c r="AD82" s="192"/>
      <c r="AE82" s="192"/>
      <c r="AF82" s="192"/>
      <c r="AG82" s="192"/>
      <c r="AH82" s="192"/>
      <c r="AI82" s="192"/>
      <c r="AJ82" s="192"/>
      <c r="AK82" s="192" t="str">
        <f t="shared" ref="AK82:AM82" si="92">AVERAGE(D82,G82,J82,M82,P82,Y82,S82,V82,AB82,AE82,AH82)</f>
        <v>#DIV/0!</v>
      </c>
      <c r="AL82" s="192" t="str">
        <f t="shared" si="92"/>
        <v>#DIV/0!</v>
      </c>
      <c r="AM82" s="192" t="str">
        <f t="shared" si="92"/>
        <v>#DIV/0!</v>
      </c>
      <c r="AN82" s="455" t="str">
        <f t="shared" si="79"/>
        <v>#DIV/0!</v>
      </c>
      <c r="AO82" s="454" t="str">
        <f t="shared" si="80"/>
        <v>#DIV/0!</v>
      </c>
      <c r="AP82" s="454" t="str">
        <f t="shared" si="81"/>
        <v>#DIV/0!</v>
      </c>
    </row>
    <row r="83" ht="15.75" hidden="1" customHeight="1">
      <c r="A83" s="446">
        <v>80.0</v>
      </c>
      <c r="B83" s="25" t="s">
        <v>42</v>
      </c>
      <c r="C83" s="452" t="s">
        <v>769</v>
      </c>
      <c r="D83" s="56"/>
      <c r="E83" s="56"/>
      <c r="F83" s="72"/>
      <c r="G83" s="72"/>
      <c r="H83" s="72"/>
      <c r="I83" s="72"/>
      <c r="J83" s="72"/>
      <c r="K83" s="72"/>
      <c r="L83" s="72"/>
      <c r="M83" s="72"/>
      <c r="N83" s="72"/>
      <c r="O83" s="72"/>
      <c r="P83" s="72"/>
      <c r="Q83" s="72"/>
      <c r="R83" s="72"/>
      <c r="S83" s="72"/>
      <c r="T83" s="192"/>
      <c r="U83" s="192"/>
      <c r="V83" s="192"/>
      <c r="W83" s="192"/>
      <c r="X83" s="192"/>
      <c r="Y83" s="192"/>
      <c r="Z83" s="192"/>
      <c r="AA83" s="192"/>
      <c r="AB83" s="192"/>
      <c r="AC83" s="192"/>
      <c r="AD83" s="192"/>
      <c r="AE83" s="192"/>
      <c r="AF83" s="192"/>
      <c r="AG83" s="192"/>
      <c r="AH83" s="192"/>
      <c r="AI83" s="192"/>
      <c r="AJ83" s="192"/>
      <c r="AK83" s="192" t="str">
        <f t="shared" ref="AK83:AM83" si="93">AVERAGE(D83,G83,J83,M83,P83,Y83,S83,V83,AB83,AE83,AH83)</f>
        <v>#DIV/0!</v>
      </c>
      <c r="AL83" s="192" t="str">
        <f t="shared" si="93"/>
        <v>#DIV/0!</v>
      </c>
      <c r="AM83" s="192" t="str">
        <f t="shared" si="93"/>
        <v>#DIV/0!</v>
      </c>
      <c r="AN83" s="455" t="str">
        <f t="shared" si="79"/>
        <v>#DIV/0!</v>
      </c>
      <c r="AO83" s="454" t="str">
        <f t="shared" si="80"/>
        <v>#DIV/0!</v>
      </c>
      <c r="AP83" s="454" t="str">
        <f t="shared" si="81"/>
        <v>#DIV/0!</v>
      </c>
    </row>
    <row r="84" ht="15.75" hidden="1" customHeight="1">
      <c r="A84" s="446">
        <v>81.0</v>
      </c>
      <c r="B84" s="25" t="s">
        <v>42</v>
      </c>
      <c r="C84" s="452" t="s">
        <v>770</v>
      </c>
      <c r="D84" s="56"/>
      <c r="E84" s="56"/>
      <c r="F84" s="72"/>
      <c r="G84" s="72"/>
      <c r="H84" s="72"/>
      <c r="I84" s="72"/>
      <c r="J84" s="72"/>
      <c r="K84" s="72"/>
      <c r="L84" s="72"/>
      <c r="M84" s="72"/>
      <c r="N84" s="72"/>
      <c r="O84" s="72"/>
      <c r="P84" s="72"/>
      <c r="Q84" s="72"/>
      <c r="R84" s="72"/>
      <c r="S84" s="72"/>
      <c r="T84" s="192"/>
      <c r="U84" s="192"/>
      <c r="V84" s="192"/>
      <c r="W84" s="192"/>
      <c r="X84" s="192"/>
      <c r="Y84" s="192"/>
      <c r="Z84" s="192"/>
      <c r="AA84" s="192"/>
      <c r="AB84" s="192"/>
      <c r="AC84" s="192"/>
      <c r="AD84" s="192"/>
      <c r="AE84" s="192"/>
      <c r="AF84" s="192"/>
      <c r="AG84" s="192"/>
      <c r="AH84" s="192"/>
      <c r="AI84" s="192"/>
      <c r="AJ84" s="192"/>
      <c r="AK84" s="192" t="str">
        <f t="shared" ref="AK84:AM84" si="94">AVERAGE(D84,G84,J84,M84,P84,Y84,S84,V84,AB84,AE84,AH84)</f>
        <v>#DIV/0!</v>
      </c>
      <c r="AL84" s="192" t="str">
        <f t="shared" si="94"/>
        <v>#DIV/0!</v>
      </c>
      <c r="AM84" s="192" t="str">
        <f t="shared" si="94"/>
        <v>#DIV/0!</v>
      </c>
      <c r="AN84" s="455" t="str">
        <f t="shared" si="79"/>
        <v>#DIV/0!</v>
      </c>
      <c r="AO84" s="454" t="str">
        <f t="shared" si="80"/>
        <v>#DIV/0!</v>
      </c>
      <c r="AP84" s="454" t="str">
        <f t="shared" si="81"/>
        <v>#DIV/0!</v>
      </c>
    </row>
    <row r="85" ht="15.75" hidden="1" customHeight="1">
      <c r="A85" s="446">
        <v>82.0</v>
      </c>
      <c r="B85" s="25" t="s">
        <v>42</v>
      </c>
      <c r="C85" s="452" t="s">
        <v>545</v>
      </c>
      <c r="D85" s="56"/>
      <c r="E85" s="56"/>
      <c r="F85" s="72"/>
      <c r="G85" s="72"/>
      <c r="H85" s="72"/>
      <c r="I85" s="72"/>
      <c r="J85" s="72"/>
      <c r="K85" s="72"/>
      <c r="L85" s="72"/>
      <c r="M85" s="72"/>
      <c r="N85" s="72"/>
      <c r="O85" s="72"/>
      <c r="P85" s="72"/>
      <c r="Q85" s="72"/>
      <c r="R85" s="72"/>
      <c r="S85" s="72"/>
      <c r="T85" s="192"/>
      <c r="U85" s="192"/>
      <c r="V85" s="192"/>
      <c r="W85" s="192"/>
      <c r="X85" s="192"/>
      <c r="Y85" s="192"/>
      <c r="Z85" s="192"/>
      <c r="AA85" s="192"/>
      <c r="AB85" s="192"/>
      <c r="AC85" s="192"/>
      <c r="AD85" s="192"/>
      <c r="AE85" s="192"/>
      <c r="AF85" s="192"/>
      <c r="AG85" s="192"/>
      <c r="AH85" s="192"/>
      <c r="AI85" s="192"/>
      <c r="AJ85" s="192"/>
      <c r="AK85" s="192" t="str">
        <f t="shared" ref="AK85:AM85" si="95">AVERAGE(D85,G85,J85,M85,P85,Y85,S85,V85,AB85,AE85,AH85)</f>
        <v>#DIV/0!</v>
      </c>
      <c r="AL85" s="192" t="str">
        <f t="shared" si="95"/>
        <v>#DIV/0!</v>
      </c>
      <c r="AM85" s="192" t="str">
        <f t="shared" si="95"/>
        <v>#DIV/0!</v>
      </c>
      <c r="AN85" s="455" t="str">
        <f t="shared" si="79"/>
        <v>#DIV/0!</v>
      </c>
      <c r="AO85" s="454" t="str">
        <f t="shared" si="80"/>
        <v>#DIV/0!</v>
      </c>
      <c r="AP85" s="454" t="str">
        <f t="shared" si="81"/>
        <v>#DIV/0!</v>
      </c>
    </row>
    <row r="86" ht="15.75" hidden="1" customHeight="1">
      <c r="A86" s="446">
        <v>83.0</v>
      </c>
      <c r="B86" s="25" t="s">
        <v>42</v>
      </c>
      <c r="C86" s="452" t="s">
        <v>771</v>
      </c>
      <c r="D86" s="56"/>
      <c r="E86" s="56"/>
      <c r="F86" s="72"/>
      <c r="G86" s="72"/>
      <c r="H86" s="72"/>
      <c r="I86" s="72"/>
      <c r="J86" s="72"/>
      <c r="K86" s="72"/>
      <c r="L86" s="72"/>
      <c r="M86" s="72"/>
      <c r="N86" s="72"/>
      <c r="O86" s="72"/>
      <c r="P86" s="72"/>
      <c r="Q86" s="72"/>
      <c r="R86" s="72"/>
      <c r="S86" s="72"/>
      <c r="T86" s="192"/>
      <c r="U86" s="192"/>
      <c r="V86" s="192"/>
      <c r="W86" s="192"/>
      <c r="X86" s="192"/>
      <c r="Y86" s="192"/>
      <c r="Z86" s="192"/>
      <c r="AA86" s="192"/>
      <c r="AB86" s="192"/>
      <c r="AC86" s="192"/>
      <c r="AD86" s="192"/>
      <c r="AE86" s="192"/>
      <c r="AF86" s="192"/>
      <c r="AG86" s="192"/>
      <c r="AH86" s="192"/>
      <c r="AI86" s="192"/>
      <c r="AJ86" s="192"/>
      <c r="AK86" s="192" t="str">
        <f t="shared" ref="AK86:AM86" si="96">AVERAGE(D86,G86,J86,M86,P86,Y86,S86,V86,AB86,AE86,AH86)</f>
        <v>#DIV/0!</v>
      </c>
      <c r="AL86" s="192" t="str">
        <f t="shared" si="96"/>
        <v>#DIV/0!</v>
      </c>
      <c r="AM86" s="192" t="str">
        <f t="shared" si="96"/>
        <v>#DIV/0!</v>
      </c>
      <c r="AN86" s="455" t="str">
        <f t="shared" si="79"/>
        <v>#DIV/0!</v>
      </c>
      <c r="AO86" s="454" t="str">
        <f t="shared" si="80"/>
        <v>#DIV/0!</v>
      </c>
      <c r="AP86" s="454" t="str">
        <f t="shared" si="81"/>
        <v>#DIV/0!</v>
      </c>
    </row>
    <row r="87" ht="15.75" hidden="1" customHeight="1">
      <c r="A87" s="446">
        <v>84.0</v>
      </c>
      <c r="B87" s="25" t="s">
        <v>42</v>
      </c>
      <c r="C87" s="452" t="s">
        <v>772</v>
      </c>
      <c r="D87" s="56"/>
      <c r="E87" s="56"/>
      <c r="F87" s="72"/>
      <c r="G87" s="72"/>
      <c r="H87" s="72"/>
      <c r="I87" s="72"/>
      <c r="J87" s="72"/>
      <c r="K87" s="72"/>
      <c r="L87" s="72"/>
      <c r="M87" s="72"/>
      <c r="N87" s="72"/>
      <c r="O87" s="72"/>
      <c r="P87" s="72"/>
      <c r="Q87" s="72"/>
      <c r="R87" s="72"/>
      <c r="S87" s="72"/>
      <c r="T87" s="192"/>
      <c r="U87" s="192"/>
      <c r="V87" s="192"/>
      <c r="W87" s="192"/>
      <c r="X87" s="192"/>
      <c r="Y87" s="192"/>
      <c r="Z87" s="192"/>
      <c r="AA87" s="192"/>
      <c r="AB87" s="192"/>
      <c r="AC87" s="192"/>
      <c r="AD87" s="192"/>
      <c r="AE87" s="192"/>
      <c r="AF87" s="192"/>
      <c r="AG87" s="192"/>
      <c r="AH87" s="192"/>
      <c r="AI87" s="192"/>
      <c r="AJ87" s="192"/>
      <c r="AK87" s="192" t="str">
        <f t="shared" ref="AK87:AM87" si="97">AVERAGE(D87,G87,J87,M87,P87,Y87,S87,V87,AB87,AE87,AH87)</f>
        <v>#DIV/0!</v>
      </c>
      <c r="AL87" s="192" t="str">
        <f t="shared" si="97"/>
        <v>#DIV/0!</v>
      </c>
      <c r="AM87" s="192" t="str">
        <f t="shared" si="97"/>
        <v>#DIV/0!</v>
      </c>
      <c r="AN87" s="455" t="str">
        <f t="shared" si="79"/>
        <v>#DIV/0!</v>
      </c>
      <c r="AO87" s="454" t="str">
        <f t="shared" si="80"/>
        <v>#DIV/0!</v>
      </c>
      <c r="AP87" s="454" t="str">
        <f t="shared" si="81"/>
        <v>#DIV/0!</v>
      </c>
    </row>
    <row r="88" ht="15.75" hidden="1" customHeight="1">
      <c r="A88" s="446">
        <v>85.0</v>
      </c>
      <c r="B88" s="25" t="s">
        <v>42</v>
      </c>
      <c r="C88" s="452" t="s">
        <v>773</v>
      </c>
      <c r="D88" s="56"/>
      <c r="E88" s="56"/>
      <c r="F88" s="72"/>
      <c r="G88" s="72"/>
      <c r="H88" s="72"/>
      <c r="I88" s="72"/>
      <c r="J88" s="72"/>
      <c r="K88" s="72"/>
      <c r="L88" s="72"/>
      <c r="M88" s="72"/>
      <c r="N88" s="72"/>
      <c r="O88" s="72"/>
      <c r="P88" s="72"/>
      <c r="Q88" s="72"/>
      <c r="R88" s="72"/>
      <c r="S88" s="72"/>
      <c r="T88" s="192"/>
      <c r="U88" s="192"/>
      <c r="V88" s="192"/>
      <c r="W88" s="192"/>
      <c r="X88" s="192"/>
      <c r="Y88" s="192"/>
      <c r="Z88" s="192"/>
      <c r="AA88" s="192"/>
      <c r="AB88" s="192"/>
      <c r="AC88" s="192"/>
      <c r="AD88" s="192"/>
      <c r="AE88" s="192"/>
      <c r="AF88" s="192"/>
      <c r="AG88" s="192"/>
      <c r="AH88" s="192"/>
      <c r="AI88" s="192"/>
      <c r="AJ88" s="192"/>
      <c r="AK88" s="192" t="str">
        <f t="shared" ref="AK88:AM88" si="98">AVERAGE(D88,G88,J88,M88,P88,Y88,S88,V88,AB88,AE88,AH88)</f>
        <v>#DIV/0!</v>
      </c>
      <c r="AL88" s="192" t="str">
        <f t="shared" si="98"/>
        <v>#DIV/0!</v>
      </c>
      <c r="AM88" s="192" t="str">
        <f t="shared" si="98"/>
        <v>#DIV/0!</v>
      </c>
      <c r="AN88" s="455" t="str">
        <f t="shared" si="79"/>
        <v>#DIV/0!</v>
      </c>
      <c r="AO88" s="454" t="str">
        <f t="shared" si="80"/>
        <v>#DIV/0!</v>
      </c>
      <c r="AP88" s="454" t="str">
        <f t="shared" si="81"/>
        <v>#DIV/0!</v>
      </c>
    </row>
    <row r="89" ht="15.75" hidden="1" customHeight="1">
      <c r="A89" s="446">
        <v>86.0</v>
      </c>
      <c r="B89" s="25" t="s">
        <v>41</v>
      </c>
      <c r="C89" s="452" t="s">
        <v>774</v>
      </c>
      <c r="D89" s="56"/>
      <c r="E89" s="56"/>
      <c r="F89" s="72"/>
      <c r="G89" s="72"/>
      <c r="H89" s="72"/>
      <c r="I89" s="72"/>
      <c r="J89" s="72"/>
      <c r="K89" s="72"/>
      <c r="L89" s="72"/>
      <c r="M89" s="72"/>
      <c r="N89" s="72"/>
      <c r="O89" s="72"/>
      <c r="P89" s="72"/>
      <c r="Q89" s="72"/>
      <c r="R89" s="72"/>
      <c r="S89" s="72"/>
      <c r="T89" s="192"/>
      <c r="U89" s="192"/>
      <c r="V89" s="192"/>
      <c r="W89" s="192"/>
      <c r="X89" s="192"/>
      <c r="Y89" s="192"/>
      <c r="Z89" s="192"/>
      <c r="AA89" s="192"/>
      <c r="AB89" s="192"/>
      <c r="AC89" s="192"/>
      <c r="AD89" s="192"/>
      <c r="AE89" s="192"/>
      <c r="AF89" s="192"/>
      <c r="AG89" s="192"/>
      <c r="AH89" s="192"/>
      <c r="AI89" s="192"/>
      <c r="AJ89" s="192"/>
      <c r="AK89" s="192" t="str">
        <f t="shared" ref="AK89:AM89" si="99">AVERAGE(D89,G89,J89,M89,P89,Y89,S89,V89,AB89,AE89,AH89)</f>
        <v>#DIV/0!</v>
      </c>
      <c r="AL89" s="192" t="str">
        <f t="shared" si="99"/>
        <v>#DIV/0!</v>
      </c>
      <c r="AM89" s="192" t="str">
        <f t="shared" si="99"/>
        <v>#DIV/0!</v>
      </c>
      <c r="AN89" s="455" t="str">
        <f t="shared" si="79"/>
        <v>#DIV/0!</v>
      </c>
      <c r="AO89" s="454" t="str">
        <f t="shared" si="80"/>
        <v>#DIV/0!</v>
      </c>
      <c r="AP89" s="454" t="str">
        <f t="shared" si="81"/>
        <v>#DIV/0!</v>
      </c>
    </row>
    <row r="90" ht="15.75" hidden="1" customHeight="1">
      <c r="A90" s="446">
        <v>87.0</v>
      </c>
      <c r="B90" s="25" t="s">
        <v>41</v>
      </c>
      <c r="C90" s="452" t="s">
        <v>775</v>
      </c>
      <c r="D90" s="56"/>
      <c r="E90" s="56"/>
      <c r="F90" s="72"/>
      <c r="G90" s="72"/>
      <c r="H90" s="72"/>
      <c r="I90" s="72"/>
      <c r="J90" s="72"/>
      <c r="K90" s="72"/>
      <c r="L90" s="72"/>
      <c r="M90" s="72"/>
      <c r="N90" s="72"/>
      <c r="O90" s="72"/>
      <c r="P90" s="72"/>
      <c r="Q90" s="72"/>
      <c r="R90" s="72"/>
      <c r="S90" s="72"/>
      <c r="T90" s="192"/>
      <c r="U90" s="192"/>
      <c r="V90" s="192"/>
      <c r="W90" s="192"/>
      <c r="X90" s="192"/>
      <c r="Y90" s="192"/>
      <c r="Z90" s="192"/>
      <c r="AA90" s="192"/>
      <c r="AB90" s="192"/>
      <c r="AC90" s="192"/>
      <c r="AD90" s="192"/>
      <c r="AE90" s="192"/>
      <c r="AF90" s="192"/>
      <c r="AG90" s="192"/>
      <c r="AH90" s="192"/>
      <c r="AI90" s="192"/>
      <c r="AJ90" s="192"/>
      <c r="AK90" s="192" t="str">
        <f t="shared" ref="AK90:AM90" si="100">AVERAGE(D90,G90,J90,M90,P90,Y90,S90,V90,AB90,AE90,AH90)</f>
        <v>#DIV/0!</v>
      </c>
      <c r="AL90" s="192" t="str">
        <f t="shared" si="100"/>
        <v>#DIV/0!</v>
      </c>
      <c r="AM90" s="192" t="str">
        <f t="shared" si="100"/>
        <v>#DIV/0!</v>
      </c>
      <c r="AN90" s="455" t="str">
        <f t="shared" si="79"/>
        <v>#DIV/0!</v>
      </c>
      <c r="AO90" s="454" t="str">
        <f t="shared" si="80"/>
        <v>#DIV/0!</v>
      </c>
      <c r="AP90" s="454" t="str">
        <f t="shared" si="81"/>
        <v>#DIV/0!</v>
      </c>
    </row>
    <row r="91" ht="15.75" hidden="1" customHeight="1">
      <c r="A91" s="446">
        <v>88.0</v>
      </c>
      <c r="B91" s="25" t="s">
        <v>41</v>
      </c>
      <c r="C91" s="452" t="s">
        <v>776</v>
      </c>
      <c r="D91" s="56"/>
      <c r="E91" s="56"/>
      <c r="F91" s="72"/>
      <c r="G91" s="72"/>
      <c r="H91" s="72"/>
      <c r="I91" s="72"/>
      <c r="J91" s="72"/>
      <c r="K91" s="72"/>
      <c r="L91" s="72"/>
      <c r="M91" s="72"/>
      <c r="N91" s="72"/>
      <c r="O91" s="72"/>
      <c r="P91" s="72"/>
      <c r="Q91" s="72"/>
      <c r="R91" s="72"/>
      <c r="S91" s="72"/>
      <c r="T91" s="192"/>
      <c r="U91" s="192"/>
      <c r="V91" s="192"/>
      <c r="W91" s="192"/>
      <c r="X91" s="192"/>
      <c r="Y91" s="192"/>
      <c r="Z91" s="192"/>
      <c r="AA91" s="192"/>
      <c r="AB91" s="192"/>
      <c r="AC91" s="192"/>
      <c r="AD91" s="192"/>
      <c r="AE91" s="192"/>
      <c r="AF91" s="192"/>
      <c r="AG91" s="192"/>
      <c r="AH91" s="192"/>
      <c r="AI91" s="192"/>
      <c r="AJ91" s="192"/>
      <c r="AK91" s="192" t="str">
        <f t="shared" ref="AK91:AM91" si="101">AVERAGE(D91,G91,J91,M91,P91,Y91,S91,V91,AB91,AE91,AH91)</f>
        <v>#DIV/0!</v>
      </c>
      <c r="AL91" s="192" t="str">
        <f t="shared" si="101"/>
        <v>#DIV/0!</v>
      </c>
      <c r="AM91" s="192" t="str">
        <f t="shared" si="101"/>
        <v>#DIV/0!</v>
      </c>
      <c r="AN91" s="455" t="str">
        <f t="shared" si="79"/>
        <v>#DIV/0!</v>
      </c>
      <c r="AO91" s="454" t="str">
        <f t="shared" si="80"/>
        <v>#DIV/0!</v>
      </c>
      <c r="AP91" s="454" t="str">
        <f t="shared" si="81"/>
        <v>#DIV/0!</v>
      </c>
    </row>
    <row r="92" ht="15.75" hidden="1" customHeight="1">
      <c r="A92" s="446">
        <v>89.0</v>
      </c>
      <c r="B92" s="25" t="s">
        <v>41</v>
      </c>
      <c r="C92" s="452" t="s">
        <v>777</v>
      </c>
      <c r="D92" s="56"/>
      <c r="E92" s="56"/>
      <c r="F92" s="72"/>
      <c r="G92" s="72"/>
      <c r="H92" s="72"/>
      <c r="I92" s="72"/>
      <c r="J92" s="72"/>
      <c r="K92" s="72"/>
      <c r="L92" s="72"/>
      <c r="M92" s="72"/>
      <c r="N92" s="72"/>
      <c r="O92" s="72"/>
      <c r="P92" s="72"/>
      <c r="Q92" s="72"/>
      <c r="R92" s="72"/>
      <c r="S92" s="72"/>
      <c r="T92" s="192"/>
      <c r="U92" s="192"/>
      <c r="V92" s="192"/>
      <c r="W92" s="192"/>
      <c r="X92" s="192"/>
      <c r="Y92" s="192"/>
      <c r="Z92" s="192"/>
      <c r="AA92" s="192"/>
      <c r="AB92" s="192"/>
      <c r="AC92" s="192"/>
      <c r="AD92" s="192"/>
      <c r="AE92" s="192"/>
      <c r="AF92" s="192"/>
      <c r="AG92" s="192"/>
      <c r="AH92" s="192"/>
      <c r="AI92" s="192"/>
      <c r="AJ92" s="192"/>
      <c r="AK92" s="192" t="str">
        <f t="shared" ref="AK92:AM92" si="102">AVERAGE(D92,G92,J92,M92,P92,Y92,S92,V92,AB92,AE92,AH92)</f>
        <v>#DIV/0!</v>
      </c>
      <c r="AL92" s="192" t="str">
        <f t="shared" si="102"/>
        <v>#DIV/0!</v>
      </c>
      <c r="AM92" s="192" t="str">
        <f t="shared" si="102"/>
        <v>#DIV/0!</v>
      </c>
      <c r="AN92" s="455" t="str">
        <f t="shared" si="79"/>
        <v>#DIV/0!</v>
      </c>
      <c r="AO92" s="454" t="str">
        <f t="shared" si="80"/>
        <v>#DIV/0!</v>
      </c>
      <c r="AP92" s="454" t="str">
        <f t="shared" si="81"/>
        <v>#DIV/0!</v>
      </c>
    </row>
    <row r="93" ht="15.75" hidden="1" customHeight="1">
      <c r="A93" s="446">
        <v>90.0</v>
      </c>
      <c r="B93" s="25" t="s">
        <v>41</v>
      </c>
      <c r="C93" s="452" t="s">
        <v>444</v>
      </c>
      <c r="D93" s="56"/>
      <c r="E93" s="56"/>
      <c r="F93" s="72"/>
      <c r="G93" s="72"/>
      <c r="H93" s="72"/>
      <c r="I93" s="72"/>
      <c r="J93" s="72"/>
      <c r="K93" s="72"/>
      <c r="L93" s="72"/>
      <c r="M93" s="72"/>
      <c r="N93" s="72"/>
      <c r="O93" s="72"/>
      <c r="P93" s="72"/>
      <c r="Q93" s="72"/>
      <c r="R93" s="72"/>
      <c r="S93" s="72"/>
      <c r="T93" s="192"/>
      <c r="U93" s="192"/>
      <c r="V93" s="192"/>
      <c r="W93" s="192"/>
      <c r="X93" s="192"/>
      <c r="Y93" s="192"/>
      <c r="Z93" s="192"/>
      <c r="AA93" s="192"/>
      <c r="AB93" s="192"/>
      <c r="AC93" s="192"/>
      <c r="AD93" s="192"/>
      <c r="AE93" s="192"/>
      <c r="AF93" s="192"/>
      <c r="AG93" s="192"/>
      <c r="AH93" s="192"/>
      <c r="AI93" s="192"/>
      <c r="AJ93" s="192"/>
      <c r="AK93" s="192" t="str">
        <f t="shared" ref="AK93:AM93" si="103">AVERAGE(D93,G93,J93,M93,P93,Y93,S93,V93,AB93,AE93,AH93)</f>
        <v>#DIV/0!</v>
      </c>
      <c r="AL93" s="192" t="str">
        <f t="shared" si="103"/>
        <v>#DIV/0!</v>
      </c>
      <c r="AM93" s="192" t="str">
        <f t="shared" si="103"/>
        <v>#DIV/0!</v>
      </c>
      <c r="AN93" s="455" t="str">
        <f t="shared" si="79"/>
        <v>#DIV/0!</v>
      </c>
      <c r="AO93" s="454" t="str">
        <f t="shared" si="80"/>
        <v>#DIV/0!</v>
      </c>
      <c r="AP93" s="454" t="str">
        <f t="shared" si="81"/>
        <v>#DIV/0!</v>
      </c>
    </row>
    <row r="94" ht="15.75" hidden="1" customHeight="1">
      <c r="A94" s="446">
        <v>91.0</v>
      </c>
      <c r="B94" s="25" t="s">
        <v>41</v>
      </c>
      <c r="C94" s="452" t="s">
        <v>778</v>
      </c>
      <c r="D94" s="56"/>
      <c r="E94" s="56"/>
      <c r="F94" s="72"/>
      <c r="G94" s="72"/>
      <c r="H94" s="72"/>
      <c r="I94" s="72"/>
      <c r="J94" s="72"/>
      <c r="K94" s="72"/>
      <c r="L94" s="72"/>
      <c r="M94" s="72"/>
      <c r="N94" s="72"/>
      <c r="O94" s="72"/>
      <c r="P94" s="72"/>
      <c r="Q94" s="72"/>
      <c r="R94" s="72"/>
      <c r="S94" s="72"/>
      <c r="T94" s="192"/>
      <c r="U94" s="192"/>
      <c r="V94" s="192"/>
      <c r="W94" s="192"/>
      <c r="X94" s="192"/>
      <c r="Y94" s="192"/>
      <c r="Z94" s="192"/>
      <c r="AA94" s="192"/>
      <c r="AB94" s="192"/>
      <c r="AC94" s="192"/>
      <c r="AD94" s="192"/>
      <c r="AE94" s="192"/>
      <c r="AF94" s="192"/>
      <c r="AG94" s="192"/>
      <c r="AH94" s="192"/>
      <c r="AI94" s="192"/>
      <c r="AJ94" s="192"/>
      <c r="AK94" s="192" t="str">
        <f t="shared" ref="AK94:AM94" si="104">AVERAGE(D94,G94,J94,M94,P94,Y94,S94,V94,AB94,AE94,AH94)</f>
        <v>#DIV/0!</v>
      </c>
      <c r="AL94" s="192" t="str">
        <f t="shared" si="104"/>
        <v>#DIV/0!</v>
      </c>
      <c r="AM94" s="192" t="str">
        <f t="shared" si="104"/>
        <v>#DIV/0!</v>
      </c>
      <c r="AN94" s="455" t="str">
        <f t="shared" si="79"/>
        <v>#DIV/0!</v>
      </c>
      <c r="AO94" s="454" t="str">
        <f t="shared" si="80"/>
        <v>#DIV/0!</v>
      </c>
      <c r="AP94" s="454" t="str">
        <f t="shared" si="81"/>
        <v>#DIV/0!</v>
      </c>
    </row>
    <row r="95" ht="15.75" hidden="1" customHeight="1">
      <c r="A95" s="446">
        <v>92.0</v>
      </c>
      <c r="B95" s="25" t="s">
        <v>41</v>
      </c>
      <c r="C95" s="452" t="s">
        <v>779</v>
      </c>
      <c r="D95" s="56"/>
      <c r="E95" s="56"/>
      <c r="F95" s="72"/>
      <c r="G95" s="72"/>
      <c r="H95" s="72"/>
      <c r="I95" s="72"/>
      <c r="J95" s="72"/>
      <c r="K95" s="72"/>
      <c r="L95" s="72"/>
      <c r="M95" s="72"/>
      <c r="N95" s="72"/>
      <c r="O95" s="72"/>
      <c r="P95" s="72"/>
      <c r="Q95" s="72"/>
      <c r="R95" s="72"/>
      <c r="S95" s="72"/>
      <c r="T95" s="192"/>
      <c r="U95" s="192"/>
      <c r="V95" s="192"/>
      <c r="W95" s="192"/>
      <c r="X95" s="192"/>
      <c r="Y95" s="192"/>
      <c r="Z95" s="192"/>
      <c r="AA95" s="192"/>
      <c r="AB95" s="192"/>
      <c r="AC95" s="192"/>
      <c r="AD95" s="192"/>
      <c r="AE95" s="192"/>
      <c r="AF95" s="192"/>
      <c r="AG95" s="192"/>
      <c r="AH95" s="192"/>
      <c r="AI95" s="192"/>
      <c r="AJ95" s="192"/>
      <c r="AK95" s="192" t="str">
        <f t="shared" ref="AK95:AM95" si="105">AVERAGE(D95,G95,J95,M95,P95,Y95,S95,V95,AB95,AE95,AH95)</f>
        <v>#DIV/0!</v>
      </c>
      <c r="AL95" s="192" t="str">
        <f t="shared" si="105"/>
        <v>#DIV/0!</v>
      </c>
      <c r="AM95" s="192" t="str">
        <f t="shared" si="105"/>
        <v>#DIV/0!</v>
      </c>
      <c r="AN95" s="455" t="str">
        <f t="shared" si="79"/>
        <v>#DIV/0!</v>
      </c>
      <c r="AO95" s="454" t="str">
        <f t="shared" si="80"/>
        <v>#DIV/0!</v>
      </c>
      <c r="AP95" s="454" t="str">
        <f t="shared" si="81"/>
        <v>#DIV/0!</v>
      </c>
    </row>
    <row r="96" ht="15.75" hidden="1" customHeight="1">
      <c r="A96" s="446">
        <v>93.0</v>
      </c>
      <c r="B96" s="25" t="s">
        <v>41</v>
      </c>
      <c r="C96" s="452" t="s">
        <v>460</v>
      </c>
      <c r="D96" s="56"/>
      <c r="E96" s="56"/>
      <c r="F96" s="72"/>
      <c r="G96" s="72"/>
      <c r="H96" s="72"/>
      <c r="I96" s="72"/>
      <c r="J96" s="72"/>
      <c r="K96" s="72"/>
      <c r="L96" s="72"/>
      <c r="M96" s="72"/>
      <c r="N96" s="72"/>
      <c r="O96" s="72"/>
      <c r="P96" s="72"/>
      <c r="Q96" s="72"/>
      <c r="R96" s="72"/>
      <c r="S96" s="72"/>
      <c r="T96" s="192"/>
      <c r="U96" s="192"/>
      <c r="V96" s="192"/>
      <c r="W96" s="192"/>
      <c r="X96" s="192"/>
      <c r="Y96" s="192"/>
      <c r="Z96" s="192"/>
      <c r="AA96" s="192"/>
      <c r="AB96" s="192"/>
      <c r="AC96" s="192"/>
      <c r="AD96" s="192"/>
      <c r="AE96" s="192"/>
      <c r="AF96" s="192"/>
      <c r="AG96" s="192"/>
      <c r="AH96" s="192"/>
      <c r="AI96" s="192"/>
      <c r="AJ96" s="192"/>
      <c r="AK96" s="192" t="str">
        <f t="shared" ref="AK96:AM96" si="106">AVERAGE(D96,G96,J96,M96,P96,Y96,S96,V96,AB96,AE96,AH96)</f>
        <v>#DIV/0!</v>
      </c>
      <c r="AL96" s="192" t="str">
        <f t="shared" si="106"/>
        <v>#DIV/0!</v>
      </c>
      <c r="AM96" s="192" t="str">
        <f t="shared" si="106"/>
        <v>#DIV/0!</v>
      </c>
      <c r="AN96" s="455" t="str">
        <f t="shared" si="79"/>
        <v>#DIV/0!</v>
      </c>
      <c r="AO96" s="454" t="str">
        <f t="shared" si="80"/>
        <v>#DIV/0!</v>
      </c>
      <c r="AP96" s="454" t="str">
        <f t="shared" si="81"/>
        <v>#DIV/0!</v>
      </c>
    </row>
    <row r="97" ht="15.75" hidden="1" customHeight="1">
      <c r="A97" s="446">
        <v>94.0</v>
      </c>
      <c r="B97" s="25" t="s">
        <v>41</v>
      </c>
      <c r="C97" s="452" t="s">
        <v>780</v>
      </c>
      <c r="D97" s="56"/>
      <c r="E97" s="56"/>
      <c r="F97" s="72"/>
      <c r="G97" s="72"/>
      <c r="H97" s="72"/>
      <c r="I97" s="72"/>
      <c r="J97" s="72"/>
      <c r="K97" s="72"/>
      <c r="L97" s="72"/>
      <c r="M97" s="72"/>
      <c r="N97" s="72"/>
      <c r="O97" s="72"/>
      <c r="P97" s="72"/>
      <c r="Q97" s="72"/>
      <c r="R97" s="72"/>
      <c r="S97" s="72"/>
      <c r="T97" s="192"/>
      <c r="U97" s="192"/>
      <c r="V97" s="192"/>
      <c r="W97" s="192"/>
      <c r="X97" s="192"/>
      <c r="Y97" s="192"/>
      <c r="Z97" s="192"/>
      <c r="AA97" s="192"/>
      <c r="AB97" s="192"/>
      <c r="AC97" s="192"/>
      <c r="AD97" s="192"/>
      <c r="AE97" s="192"/>
      <c r="AF97" s="192"/>
      <c r="AG97" s="192"/>
      <c r="AH97" s="192"/>
      <c r="AI97" s="192"/>
      <c r="AJ97" s="192"/>
      <c r="AK97" s="192" t="str">
        <f t="shared" ref="AK97:AM97" si="107">AVERAGE(D97,G97,J97,M97,P97,Y97,S97,V97,AB97,AE97,AH97)</f>
        <v>#DIV/0!</v>
      </c>
      <c r="AL97" s="192" t="str">
        <f t="shared" si="107"/>
        <v>#DIV/0!</v>
      </c>
      <c r="AM97" s="192" t="str">
        <f t="shared" si="107"/>
        <v>#DIV/0!</v>
      </c>
      <c r="AN97" s="455" t="str">
        <f t="shared" si="79"/>
        <v>#DIV/0!</v>
      </c>
      <c r="AO97" s="454" t="str">
        <f t="shared" si="80"/>
        <v>#DIV/0!</v>
      </c>
      <c r="AP97" s="454" t="str">
        <f t="shared" si="81"/>
        <v>#DIV/0!</v>
      </c>
    </row>
    <row r="98" ht="15.75" hidden="1" customHeight="1">
      <c r="A98" s="446">
        <v>95.0</v>
      </c>
      <c r="B98" s="25" t="s">
        <v>41</v>
      </c>
      <c r="C98" s="452" t="s">
        <v>468</v>
      </c>
      <c r="D98" s="56"/>
      <c r="E98" s="56"/>
      <c r="F98" s="72"/>
      <c r="G98" s="72"/>
      <c r="H98" s="72"/>
      <c r="I98" s="72"/>
      <c r="J98" s="72"/>
      <c r="K98" s="72"/>
      <c r="L98" s="72"/>
      <c r="M98" s="72"/>
      <c r="N98" s="72"/>
      <c r="O98" s="72"/>
      <c r="P98" s="72"/>
      <c r="Q98" s="72"/>
      <c r="R98" s="72"/>
      <c r="S98" s="72"/>
      <c r="T98" s="192"/>
      <c r="U98" s="192"/>
      <c r="V98" s="192"/>
      <c r="W98" s="192"/>
      <c r="X98" s="192"/>
      <c r="Y98" s="192"/>
      <c r="Z98" s="192"/>
      <c r="AA98" s="192"/>
      <c r="AB98" s="192"/>
      <c r="AC98" s="192"/>
      <c r="AD98" s="192"/>
      <c r="AE98" s="192"/>
      <c r="AF98" s="192"/>
      <c r="AG98" s="192"/>
      <c r="AH98" s="192"/>
      <c r="AI98" s="192"/>
      <c r="AJ98" s="192"/>
      <c r="AK98" s="192" t="str">
        <f t="shared" ref="AK98:AM98" si="108">AVERAGE(D98,G98,J98,M98,P98,Y98,S98,V98,AB98,AE98,AH98)</f>
        <v>#DIV/0!</v>
      </c>
      <c r="AL98" s="192" t="str">
        <f t="shared" si="108"/>
        <v>#DIV/0!</v>
      </c>
      <c r="AM98" s="192" t="str">
        <f t="shared" si="108"/>
        <v>#DIV/0!</v>
      </c>
      <c r="AN98" s="455" t="str">
        <f t="shared" si="79"/>
        <v>#DIV/0!</v>
      </c>
      <c r="AO98" s="454" t="str">
        <f t="shared" si="80"/>
        <v>#DIV/0!</v>
      </c>
      <c r="AP98" s="454" t="str">
        <f t="shared" si="81"/>
        <v>#DIV/0!</v>
      </c>
    </row>
    <row r="99" ht="15.75" hidden="1" customHeight="1">
      <c r="A99" s="446">
        <v>96.0</v>
      </c>
      <c r="B99" s="25" t="s">
        <v>41</v>
      </c>
      <c r="C99" s="452" t="s">
        <v>781</v>
      </c>
      <c r="D99" s="56"/>
      <c r="E99" s="56"/>
      <c r="F99" s="72"/>
      <c r="G99" s="72"/>
      <c r="H99" s="72"/>
      <c r="I99" s="72"/>
      <c r="J99" s="72"/>
      <c r="K99" s="72"/>
      <c r="L99" s="72"/>
      <c r="M99" s="72"/>
      <c r="N99" s="72"/>
      <c r="O99" s="72"/>
      <c r="P99" s="72"/>
      <c r="Q99" s="72"/>
      <c r="R99" s="72"/>
      <c r="S99" s="72"/>
      <c r="T99" s="192"/>
      <c r="U99" s="192"/>
      <c r="V99" s="192"/>
      <c r="W99" s="192"/>
      <c r="X99" s="192"/>
      <c r="Y99" s="192"/>
      <c r="Z99" s="192"/>
      <c r="AA99" s="192"/>
      <c r="AB99" s="192"/>
      <c r="AC99" s="192"/>
      <c r="AD99" s="192"/>
      <c r="AE99" s="192"/>
      <c r="AF99" s="192"/>
      <c r="AG99" s="192"/>
      <c r="AH99" s="192"/>
      <c r="AI99" s="192"/>
      <c r="AJ99" s="192"/>
      <c r="AK99" s="192" t="str">
        <f t="shared" ref="AK99:AM99" si="109">AVERAGE(D99,G99,J99,M99,P99,Y99,S99,V99,AB99,AE99,AH99)</f>
        <v>#DIV/0!</v>
      </c>
      <c r="AL99" s="192" t="str">
        <f t="shared" si="109"/>
        <v>#DIV/0!</v>
      </c>
      <c r="AM99" s="192" t="str">
        <f t="shared" si="109"/>
        <v>#DIV/0!</v>
      </c>
      <c r="AN99" s="455" t="str">
        <f t="shared" si="79"/>
        <v>#DIV/0!</v>
      </c>
      <c r="AO99" s="454" t="str">
        <f t="shared" si="80"/>
        <v>#DIV/0!</v>
      </c>
      <c r="AP99" s="454" t="str">
        <f t="shared" si="81"/>
        <v>#DIV/0!</v>
      </c>
    </row>
    <row r="100" ht="15.75" hidden="1" customHeight="1">
      <c r="A100" s="446">
        <v>97.0</v>
      </c>
      <c r="B100" s="25" t="s">
        <v>41</v>
      </c>
      <c r="C100" s="452" t="s">
        <v>480</v>
      </c>
      <c r="D100" s="56"/>
      <c r="E100" s="56"/>
      <c r="F100" s="72"/>
      <c r="G100" s="72"/>
      <c r="H100" s="72"/>
      <c r="I100" s="72"/>
      <c r="J100" s="72"/>
      <c r="K100" s="72"/>
      <c r="L100" s="72"/>
      <c r="M100" s="72"/>
      <c r="N100" s="72"/>
      <c r="O100" s="72"/>
      <c r="P100" s="72"/>
      <c r="Q100" s="72"/>
      <c r="R100" s="72"/>
      <c r="S100" s="72"/>
      <c r="T100" s="192"/>
      <c r="U100" s="192"/>
      <c r="V100" s="192"/>
      <c r="W100" s="192"/>
      <c r="X100" s="192"/>
      <c r="Y100" s="192"/>
      <c r="Z100" s="192"/>
      <c r="AA100" s="192"/>
      <c r="AB100" s="192"/>
      <c r="AC100" s="192"/>
      <c r="AD100" s="192"/>
      <c r="AE100" s="192"/>
      <c r="AF100" s="192"/>
      <c r="AG100" s="192"/>
      <c r="AH100" s="192"/>
      <c r="AI100" s="192"/>
      <c r="AJ100" s="192"/>
      <c r="AK100" s="192" t="str">
        <f t="shared" ref="AK100:AM100" si="110">AVERAGE(D100,G100,J100,M100,P100,Y100,S100,V100,AB100,AE100,AH100)</f>
        <v>#DIV/0!</v>
      </c>
      <c r="AL100" s="192" t="str">
        <f t="shared" si="110"/>
        <v>#DIV/0!</v>
      </c>
      <c r="AM100" s="192" t="str">
        <f t="shared" si="110"/>
        <v>#DIV/0!</v>
      </c>
      <c r="AN100" s="455" t="str">
        <f t="shared" si="79"/>
        <v>#DIV/0!</v>
      </c>
      <c r="AO100" s="454" t="str">
        <f t="shared" si="80"/>
        <v>#DIV/0!</v>
      </c>
      <c r="AP100" s="454" t="str">
        <f t="shared" si="81"/>
        <v>#DIV/0!</v>
      </c>
    </row>
    <row r="101" ht="15.75" hidden="1" customHeight="1">
      <c r="A101" s="446">
        <v>98.0</v>
      </c>
      <c r="B101" s="25" t="s">
        <v>41</v>
      </c>
      <c r="C101" s="452" t="s">
        <v>782</v>
      </c>
      <c r="D101" s="56"/>
      <c r="E101" s="56"/>
      <c r="F101" s="72"/>
      <c r="G101" s="72"/>
      <c r="H101" s="72"/>
      <c r="I101" s="72"/>
      <c r="J101" s="72"/>
      <c r="K101" s="72"/>
      <c r="L101" s="72"/>
      <c r="M101" s="72"/>
      <c r="N101" s="72"/>
      <c r="O101" s="72"/>
      <c r="P101" s="72"/>
      <c r="Q101" s="72"/>
      <c r="R101" s="72"/>
      <c r="S101" s="72"/>
      <c r="T101" s="192"/>
      <c r="U101" s="192"/>
      <c r="V101" s="192"/>
      <c r="W101" s="192"/>
      <c r="X101" s="192"/>
      <c r="Y101" s="192"/>
      <c r="Z101" s="192"/>
      <c r="AA101" s="192"/>
      <c r="AB101" s="192"/>
      <c r="AC101" s="192"/>
      <c r="AD101" s="192"/>
      <c r="AE101" s="192"/>
      <c r="AF101" s="192"/>
      <c r="AG101" s="192"/>
      <c r="AH101" s="192"/>
      <c r="AI101" s="192"/>
      <c r="AJ101" s="192"/>
      <c r="AK101" s="192" t="str">
        <f t="shared" ref="AK101:AM101" si="111">AVERAGE(D101,G101,J101,M101,P101,Y101,S101,V101,AB101,AE101,AH101)</f>
        <v>#DIV/0!</v>
      </c>
      <c r="AL101" s="192" t="str">
        <f t="shared" si="111"/>
        <v>#DIV/0!</v>
      </c>
      <c r="AM101" s="192" t="str">
        <f t="shared" si="111"/>
        <v>#DIV/0!</v>
      </c>
      <c r="AN101" s="455" t="str">
        <f t="shared" si="79"/>
        <v>#DIV/0!</v>
      </c>
      <c r="AO101" s="454" t="str">
        <f t="shared" si="80"/>
        <v>#DIV/0!</v>
      </c>
      <c r="AP101" s="454" t="str">
        <f t="shared" si="81"/>
        <v>#DIV/0!</v>
      </c>
    </row>
    <row r="102" ht="15.75" hidden="1" customHeight="1">
      <c r="A102" s="446">
        <v>99.0</v>
      </c>
      <c r="B102" s="25" t="s">
        <v>41</v>
      </c>
      <c r="C102" s="452" t="s">
        <v>449</v>
      </c>
      <c r="D102" s="56"/>
      <c r="E102" s="56"/>
      <c r="F102" s="72"/>
      <c r="G102" s="72"/>
      <c r="H102" s="72"/>
      <c r="I102" s="72"/>
      <c r="J102" s="72"/>
      <c r="K102" s="72"/>
      <c r="L102" s="72"/>
      <c r="M102" s="72"/>
      <c r="N102" s="72"/>
      <c r="O102" s="72"/>
      <c r="P102" s="72"/>
      <c r="Q102" s="72"/>
      <c r="R102" s="72"/>
      <c r="S102" s="72"/>
      <c r="T102" s="192"/>
      <c r="U102" s="192"/>
      <c r="V102" s="192"/>
      <c r="W102" s="192"/>
      <c r="X102" s="192"/>
      <c r="Y102" s="192"/>
      <c r="Z102" s="192"/>
      <c r="AA102" s="192"/>
      <c r="AB102" s="192"/>
      <c r="AC102" s="192"/>
      <c r="AD102" s="192"/>
      <c r="AE102" s="192"/>
      <c r="AF102" s="192"/>
      <c r="AG102" s="192"/>
      <c r="AH102" s="192"/>
      <c r="AI102" s="192"/>
      <c r="AJ102" s="192"/>
      <c r="AK102" s="192" t="str">
        <f t="shared" ref="AK102:AM102" si="112">AVERAGE(D102,G102,J102,M102,P102,Y102,S102,V102,AB102,AE102,AH102)</f>
        <v>#DIV/0!</v>
      </c>
      <c r="AL102" s="192" t="str">
        <f t="shared" si="112"/>
        <v>#DIV/0!</v>
      </c>
      <c r="AM102" s="192" t="str">
        <f t="shared" si="112"/>
        <v>#DIV/0!</v>
      </c>
      <c r="AN102" s="455" t="str">
        <f t="shared" si="79"/>
        <v>#DIV/0!</v>
      </c>
      <c r="AO102" s="454" t="str">
        <f t="shared" si="80"/>
        <v>#DIV/0!</v>
      </c>
      <c r="AP102" s="454" t="str">
        <f t="shared" si="81"/>
        <v>#DIV/0!</v>
      </c>
    </row>
    <row r="103" ht="15.75" hidden="1" customHeight="1">
      <c r="A103" s="446">
        <v>100.0</v>
      </c>
      <c r="B103" s="25" t="s">
        <v>41</v>
      </c>
      <c r="C103" s="452" t="s">
        <v>783</v>
      </c>
      <c r="D103" s="56"/>
      <c r="E103" s="56"/>
      <c r="F103" s="72"/>
      <c r="G103" s="72"/>
      <c r="H103" s="72"/>
      <c r="I103" s="72"/>
      <c r="J103" s="72"/>
      <c r="K103" s="72"/>
      <c r="L103" s="72"/>
      <c r="M103" s="72"/>
      <c r="N103" s="72"/>
      <c r="O103" s="72"/>
      <c r="P103" s="72"/>
      <c r="Q103" s="72"/>
      <c r="R103" s="72"/>
      <c r="S103" s="72"/>
      <c r="T103" s="192"/>
      <c r="U103" s="192"/>
      <c r="V103" s="192"/>
      <c r="W103" s="192"/>
      <c r="X103" s="192"/>
      <c r="Y103" s="192"/>
      <c r="Z103" s="192"/>
      <c r="AA103" s="192"/>
      <c r="AB103" s="192"/>
      <c r="AC103" s="192"/>
      <c r="AD103" s="192"/>
      <c r="AE103" s="192"/>
      <c r="AF103" s="192"/>
      <c r="AG103" s="192"/>
      <c r="AH103" s="192"/>
      <c r="AI103" s="192"/>
      <c r="AJ103" s="192"/>
      <c r="AK103" s="192" t="str">
        <f t="shared" ref="AK103:AM103" si="113">AVERAGE(D103,G103,J103,M103,P103,Y103,S103,V103,AB103,AE103,AH103)</f>
        <v>#DIV/0!</v>
      </c>
      <c r="AL103" s="192" t="str">
        <f t="shared" si="113"/>
        <v>#DIV/0!</v>
      </c>
      <c r="AM103" s="192" t="str">
        <f t="shared" si="113"/>
        <v>#DIV/0!</v>
      </c>
      <c r="AN103" s="455" t="str">
        <f t="shared" si="79"/>
        <v>#DIV/0!</v>
      </c>
      <c r="AO103" s="454" t="str">
        <f t="shared" si="80"/>
        <v>#DIV/0!</v>
      </c>
      <c r="AP103" s="454" t="str">
        <f t="shared" si="81"/>
        <v>#DIV/0!</v>
      </c>
    </row>
    <row r="104" ht="15.75" hidden="1" customHeight="1">
      <c r="A104" s="446">
        <v>101.0</v>
      </c>
      <c r="B104" s="25" t="s">
        <v>41</v>
      </c>
      <c r="C104" s="452" t="s">
        <v>784</v>
      </c>
      <c r="D104" s="56"/>
      <c r="E104" s="56"/>
      <c r="F104" s="72"/>
      <c r="G104" s="72"/>
      <c r="H104" s="72"/>
      <c r="I104" s="72"/>
      <c r="J104" s="72"/>
      <c r="K104" s="72"/>
      <c r="L104" s="72"/>
      <c r="M104" s="72"/>
      <c r="N104" s="72"/>
      <c r="O104" s="72"/>
      <c r="P104" s="72"/>
      <c r="Q104" s="72"/>
      <c r="R104" s="72"/>
      <c r="S104" s="72"/>
      <c r="T104" s="192"/>
      <c r="U104" s="192"/>
      <c r="V104" s="192"/>
      <c r="W104" s="192"/>
      <c r="X104" s="192"/>
      <c r="Y104" s="192"/>
      <c r="Z104" s="192"/>
      <c r="AA104" s="192"/>
      <c r="AB104" s="192"/>
      <c r="AC104" s="192"/>
      <c r="AD104" s="192"/>
      <c r="AE104" s="192"/>
      <c r="AF104" s="192"/>
      <c r="AG104" s="192"/>
      <c r="AH104" s="192"/>
      <c r="AI104" s="192"/>
      <c r="AJ104" s="192"/>
      <c r="AK104" s="192" t="str">
        <f t="shared" ref="AK104:AM104" si="114">AVERAGE(D104,G104,J104,M104,P104,Y104,S104,V104,AB104,AE104,AH104)</f>
        <v>#DIV/0!</v>
      </c>
      <c r="AL104" s="192" t="str">
        <f t="shared" si="114"/>
        <v>#DIV/0!</v>
      </c>
      <c r="AM104" s="192" t="str">
        <f t="shared" si="114"/>
        <v>#DIV/0!</v>
      </c>
      <c r="AN104" s="455" t="str">
        <f t="shared" si="79"/>
        <v>#DIV/0!</v>
      </c>
      <c r="AO104" s="454" t="str">
        <f t="shared" si="80"/>
        <v>#DIV/0!</v>
      </c>
      <c r="AP104" s="454" t="str">
        <f t="shared" si="81"/>
        <v>#DIV/0!</v>
      </c>
    </row>
    <row r="105" ht="15.75" hidden="1" customHeight="1">
      <c r="A105" s="446">
        <v>102.0</v>
      </c>
      <c r="B105" s="25" t="s">
        <v>41</v>
      </c>
      <c r="C105" s="452" t="s">
        <v>484</v>
      </c>
      <c r="D105" s="56"/>
      <c r="E105" s="56"/>
      <c r="F105" s="72"/>
      <c r="G105" s="72"/>
      <c r="H105" s="72"/>
      <c r="I105" s="72"/>
      <c r="J105" s="72"/>
      <c r="K105" s="72"/>
      <c r="L105" s="72"/>
      <c r="M105" s="72"/>
      <c r="N105" s="72"/>
      <c r="O105" s="72"/>
      <c r="P105" s="72"/>
      <c r="Q105" s="72"/>
      <c r="R105" s="72"/>
      <c r="S105" s="72"/>
      <c r="T105" s="192"/>
      <c r="U105" s="192"/>
      <c r="V105" s="192"/>
      <c r="W105" s="192"/>
      <c r="X105" s="192"/>
      <c r="Y105" s="192"/>
      <c r="Z105" s="192"/>
      <c r="AA105" s="192"/>
      <c r="AB105" s="192"/>
      <c r="AC105" s="192"/>
      <c r="AD105" s="192"/>
      <c r="AE105" s="192"/>
      <c r="AF105" s="192"/>
      <c r="AG105" s="192"/>
      <c r="AH105" s="192"/>
      <c r="AI105" s="192"/>
      <c r="AJ105" s="192"/>
      <c r="AK105" s="192" t="str">
        <f t="shared" ref="AK105:AM105" si="115">AVERAGE(D105,G105,J105,M105,P105,Y105,S105,V105,AB105,AE105,AH105)</f>
        <v>#DIV/0!</v>
      </c>
      <c r="AL105" s="192" t="str">
        <f t="shared" si="115"/>
        <v>#DIV/0!</v>
      </c>
      <c r="AM105" s="192" t="str">
        <f t="shared" si="115"/>
        <v>#DIV/0!</v>
      </c>
      <c r="AN105" s="455" t="str">
        <f t="shared" si="79"/>
        <v>#DIV/0!</v>
      </c>
      <c r="AO105" s="454" t="str">
        <f t="shared" si="80"/>
        <v>#DIV/0!</v>
      </c>
      <c r="AP105" s="454" t="str">
        <f t="shared" si="81"/>
        <v>#DIV/0!</v>
      </c>
    </row>
    <row r="106" ht="15.75" hidden="1" customHeight="1">
      <c r="A106" s="446">
        <v>103.0</v>
      </c>
      <c r="B106" s="25" t="s">
        <v>41</v>
      </c>
      <c r="C106" s="452" t="s">
        <v>785</v>
      </c>
      <c r="D106" s="56"/>
      <c r="E106" s="56"/>
      <c r="F106" s="72"/>
      <c r="G106" s="72"/>
      <c r="H106" s="72"/>
      <c r="I106" s="72"/>
      <c r="J106" s="72"/>
      <c r="K106" s="72"/>
      <c r="L106" s="72"/>
      <c r="M106" s="72"/>
      <c r="N106" s="72"/>
      <c r="O106" s="72"/>
      <c r="P106" s="72"/>
      <c r="Q106" s="72"/>
      <c r="R106" s="72"/>
      <c r="S106" s="72"/>
      <c r="T106" s="192"/>
      <c r="U106" s="192"/>
      <c r="V106" s="192"/>
      <c r="W106" s="192"/>
      <c r="X106" s="192"/>
      <c r="Y106" s="192"/>
      <c r="Z106" s="192"/>
      <c r="AA106" s="192"/>
      <c r="AB106" s="192"/>
      <c r="AC106" s="192"/>
      <c r="AD106" s="192"/>
      <c r="AE106" s="192"/>
      <c r="AF106" s="192"/>
      <c r="AG106" s="192"/>
      <c r="AH106" s="192"/>
      <c r="AI106" s="192"/>
      <c r="AJ106" s="192"/>
      <c r="AK106" s="192" t="str">
        <f t="shared" ref="AK106:AM106" si="116">AVERAGE(D106,G106,J106,M106,P106,Y106,S106,V106,AB106,AE106,AH106)</f>
        <v>#DIV/0!</v>
      </c>
      <c r="AL106" s="192" t="str">
        <f t="shared" si="116"/>
        <v>#DIV/0!</v>
      </c>
      <c r="AM106" s="192" t="str">
        <f t="shared" si="116"/>
        <v>#DIV/0!</v>
      </c>
      <c r="AN106" s="455" t="str">
        <f t="shared" si="79"/>
        <v>#DIV/0!</v>
      </c>
      <c r="AO106" s="454" t="str">
        <f t="shared" si="80"/>
        <v>#DIV/0!</v>
      </c>
      <c r="AP106" s="454" t="str">
        <f t="shared" si="81"/>
        <v>#DIV/0!</v>
      </c>
    </row>
    <row r="107" ht="15.75" hidden="1" customHeight="1">
      <c r="A107" s="446">
        <v>104.0</v>
      </c>
      <c r="B107" s="25" t="s">
        <v>41</v>
      </c>
      <c r="C107" s="452" t="s">
        <v>786</v>
      </c>
      <c r="D107" s="56"/>
      <c r="E107" s="56"/>
      <c r="F107" s="72"/>
      <c r="G107" s="72"/>
      <c r="H107" s="72"/>
      <c r="I107" s="72"/>
      <c r="J107" s="72"/>
      <c r="K107" s="72"/>
      <c r="L107" s="72"/>
      <c r="M107" s="72"/>
      <c r="N107" s="72"/>
      <c r="O107" s="72"/>
      <c r="P107" s="72"/>
      <c r="Q107" s="72"/>
      <c r="R107" s="72"/>
      <c r="S107" s="72"/>
      <c r="T107" s="192"/>
      <c r="U107" s="192"/>
      <c r="V107" s="192"/>
      <c r="W107" s="192"/>
      <c r="X107" s="192"/>
      <c r="Y107" s="192"/>
      <c r="Z107" s="192"/>
      <c r="AA107" s="192"/>
      <c r="AB107" s="192"/>
      <c r="AC107" s="192"/>
      <c r="AD107" s="192"/>
      <c r="AE107" s="192"/>
      <c r="AF107" s="192"/>
      <c r="AG107" s="192"/>
      <c r="AH107" s="192"/>
      <c r="AI107" s="192"/>
      <c r="AJ107" s="192"/>
      <c r="AK107" s="192" t="str">
        <f t="shared" ref="AK107:AM107" si="117">AVERAGE(D107,G107,J107,M107,P107,Y107,S107,V107,AB107,AE107,AH107)</f>
        <v>#DIV/0!</v>
      </c>
      <c r="AL107" s="192" t="str">
        <f t="shared" si="117"/>
        <v>#DIV/0!</v>
      </c>
      <c r="AM107" s="192" t="str">
        <f t="shared" si="117"/>
        <v>#DIV/0!</v>
      </c>
      <c r="AN107" s="455" t="str">
        <f t="shared" si="79"/>
        <v>#DIV/0!</v>
      </c>
      <c r="AO107" s="454" t="str">
        <f t="shared" si="80"/>
        <v>#DIV/0!</v>
      </c>
      <c r="AP107" s="454" t="str">
        <f t="shared" si="81"/>
        <v>#DIV/0!</v>
      </c>
    </row>
    <row r="108" ht="15.75" hidden="1" customHeight="1">
      <c r="A108" s="446">
        <v>105.0</v>
      </c>
      <c r="B108" s="25" t="s">
        <v>41</v>
      </c>
      <c r="C108" s="452" t="s">
        <v>787</v>
      </c>
      <c r="D108" s="56"/>
      <c r="E108" s="56"/>
      <c r="F108" s="72"/>
      <c r="G108" s="72"/>
      <c r="H108" s="72"/>
      <c r="I108" s="72"/>
      <c r="J108" s="72"/>
      <c r="K108" s="72"/>
      <c r="L108" s="72"/>
      <c r="M108" s="72"/>
      <c r="N108" s="72"/>
      <c r="O108" s="72"/>
      <c r="P108" s="72"/>
      <c r="Q108" s="72"/>
      <c r="R108" s="72"/>
      <c r="S108" s="72"/>
      <c r="T108" s="192"/>
      <c r="U108" s="192"/>
      <c r="V108" s="192"/>
      <c r="W108" s="192"/>
      <c r="X108" s="192"/>
      <c r="Y108" s="192"/>
      <c r="Z108" s="192"/>
      <c r="AA108" s="192"/>
      <c r="AB108" s="192"/>
      <c r="AC108" s="192"/>
      <c r="AD108" s="192"/>
      <c r="AE108" s="192"/>
      <c r="AF108" s="192"/>
      <c r="AG108" s="192"/>
      <c r="AH108" s="192"/>
      <c r="AI108" s="192"/>
      <c r="AJ108" s="192"/>
      <c r="AK108" s="192" t="str">
        <f t="shared" ref="AK108:AM108" si="118">AVERAGE(D108,G108,J108,M108,P108,Y108,S108,V108,AB108,AE108,AH108)</f>
        <v>#DIV/0!</v>
      </c>
      <c r="AL108" s="192" t="str">
        <f t="shared" si="118"/>
        <v>#DIV/0!</v>
      </c>
      <c r="AM108" s="192" t="str">
        <f t="shared" si="118"/>
        <v>#DIV/0!</v>
      </c>
      <c r="AN108" s="455" t="str">
        <f t="shared" si="79"/>
        <v>#DIV/0!</v>
      </c>
      <c r="AO108" s="454" t="str">
        <f t="shared" si="80"/>
        <v>#DIV/0!</v>
      </c>
      <c r="AP108" s="454" t="str">
        <f t="shared" si="81"/>
        <v>#DIV/0!</v>
      </c>
    </row>
    <row r="109" ht="15.75" hidden="1" customHeight="1">
      <c r="A109" s="446">
        <v>106.0</v>
      </c>
      <c r="B109" s="25" t="s">
        <v>41</v>
      </c>
      <c r="C109" s="452" t="s">
        <v>788</v>
      </c>
      <c r="D109" s="56"/>
      <c r="E109" s="56"/>
      <c r="F109" s="72"/>
      <c r="G109" s="72"/>
      <c r="H109" s="72"/>
      <c r="I109" s="72"/>
      <c r="J109" s="72"/>
      <c r="K109" s="72"/>
      <c r="L109" s="72"/>
      <c r="M109" s="72"/>
      <c r="N109" s="72"/>
      <c r="O109" s="72"/>
      <c r="P109" s="72"/>
      <c r="Q109" s="72"/>
      <c r="R109" s="72"/>
      <c r="S109" s="72"/>
      <c r="T109" s="192"/>
      <c r="U109" s="192"/>
      <c r="V109" s="192"/>
      <c r="W109" s="192"/>
      <c r="X109" s="192"/>
      <c r="Y109" s="192"/>
      <c r="Z109" s="192"/>
      <c r="AA109" s="192"/>
      <c r="AB109" s="192"/>
      <c r="AC109" s="192"/>
      <c r="AD109" s="192"/>
      <c r="AE109" s="192"/>
      <c r="AF109" s="192"/>
      <c r="AG109" s="192"/>
      <c r="AH109" s="192"/>
      <c r="AI109" s="192"/>
      <c r="AJ109" s="192"/>
      <c r="AK109" s="192" t="str">
        <f t="shared" ref="AK109:AM109" si="119">AVERAGE(D109,G109,J109,M109,P109,Y109,S109,V109,AB109,AE109,AH109)</f>
        <v>#DIV/0!</v>
      </c>
      <c r="AL109" s="192" t="str">
        <f t="shared" si="119"/>
        <v>#DIV/0!</v>
      </c>
      <c r="AM109" s="192" t="str">
        <f t="shared" si="119"/>
        <v>#DIV/0!</v>
      </c>
      <c r="AN109" s="455" t="str">
        <f t="shared" si="79"/>
        <v>#DIV/0!</v>
      </c>
      <c r="AO109" s="454" t="str">
        <f t="shared" si="80"/>
        <v>#DIV/0!</v>
      </c>
      <c r="AP109" s="454" t="str">
        <f t="shared" si="81"/>
        <v>#DIV/0!</v>
      </c>
    </row>
    <row r="110" ht="15.75" hidden="1" customHeight="1">
      <c r="A110" s="446">
        <v>107.0</v>
      </c>
      <c r="B110" s="25" t="s">
        <v>41</v>
      </c>
      <c r="C110" s="452" t="s">
        <v>789</v>
      </c>
      <c r="D110" s="56"/>
      <c r="E110" s="56"/>
      <c r="F110" s="72"/>
      <c r="G110" s="72"/>
      <c r="H110" s="72"/>
      <c r="I110" s="72"/>
      <c r="J110" s="72"/>
      <c r="K110" s="72"/>
      <c r="L110" s="72"/>
      <c r="M110" s="72"/>
      <c r="N110" s="72"/>
      <c r="O110" s="72"/>
      <c r="P110" s="72"/>
      <c r="Q110" s="72"/>
      <c r="R110" s="72"/>
      <c r="S110" s="72"/>
      <c r="T110" s="192"/>
      <c r="U110" s="192"/>
      <c r="V110" s="192"/>
      <c r="W110" s="192"/>
      <c r="X110" s="192"/>
      <c r="Y110" s="192"/>
      <c r="Z110" s="192"/>
      <c r="AA110" s="192"/>
      <c r="AB110" s="192"/>
      <c r="AC110" s="192"/>
      <c r="AD110" s="192"/>
      <c r="AE110" s="192"/>
      <c r="AF110" s="192"/>
      <c r="AG110" s="192"/>
      <c r="AH110" s="192"/>
      <c r="AI110" s="192"/>
      <c r="AJ110" s="192"/>
      <c r="AK110" s="192" t="str">
        <f t="shared" ref="AK110:AM110" si="120">AVERAGE(D110,G110,J110,M110,P110,Y110,S110,V110,AB110,AE110,AH110)</f>
        <v>#DIV/0!</v>
      </c>
      <c r="AL110" s="192" t="str">
        <f t="shared" si="120"/>
        <v>#DIV/0!</v>
      </c>
      <c r="AM110" s="192" t="str">
        <f t="shared" si="120"/>
        <v>#DIV/0!</v>
      </c>
      <c r="AN110" s="455" t="str">
        <f t="shared" si="79"/>
        <v>#DIV/0!</v>
      </c>
      <c r="AO110" s="454" t="str">
        <f t="shared" si="80"/>
        <v>#DIV/0!</v>
      </c>
      <c r="AP110" s="454" t="str">
        <f t="shared" si="81"/>
        <v>#DIV/0!</v>
      </c>
    </row>
    <row r="111" ht="15.75" hidden="1" customHeight="1">
      <c r="A111" s="446">
        <v>108.0</v>
      </c>
      <c r="B111" s="25" t="s">
        <v>40</v>
      </c>
      <c r="C111" s="452" t="s">
        <v>442</v>
      </c>
      <c r="D111" s="56"/>
      <c r="E111" s="56"/>
      <c r="F111" s="72"/>
      <c r="G111" s="72"/>
      <c r="H111" s="72"/>
      <c r="I111" s="72"/>
      <c r="J111" s="72"/>
      <c r="K111" s="72"/>
      <c r="L111" s="72"/>
      <c r="M111" s="72"/>
      <c r="N111" s="72"/>
      <c r="O111" s="72"/>
      <c r="P111" s="72"/>
      <c r="Q111" s="72"/>
      <c r="R111" s="72"/>
      <c r="S111" s="72"/>
      <c r="T111" s="192"/>
      <c r="U111" s="192"/>
      <c r="V111" s="192"/>
      <c r="W111" s="192"/>
      <c r="X111" s="192"/>
      <c r="Y111" s="192"/>
      <c r="Z111" s="192"/>
      <c r="AA111" s="192"/>
      <c r="AB111" s="192"/>
      <c r="AC111" s="192"/>
      <c r="AD111" s="192"/>
      <c r="AE111" s="192"/>
      <c r="AF111" s="192"/>
      <c r="AG111" s="192"/>
      <c r="AH111" s="192"/>
      <c r="AI111" s="192"/>
      <c r="AJ111" s="192"/>
      <c r="AK111" s="192" t="str">
        <f t="shared" ref="AK111:AM111" si="121">AVERAGE(D111,G111,J111,M111,P111,Y111,S111,V111,AB111,AE111,AH111)</f>
        <v>#DIV/0!</v>
      </c>
      <c r="AL111" s="192" t="str">
        <f t="shared" si="121"/>
        <v>#DIV/0!</v>
      </c>
      <c r="AM111" s="192" t="str">
        <f t="shared" si="121"/>
        <v>#DIV/0!</v>
      </c>
      <c r="AN111" s="455" t="str">
        <f t="shared" ref="AN111:AN155" si="123">RANK(AK111,$AK$111:$AK$155)</f>
        <v>#DIV/0!</v>
      </c>
      <c r="AO111" s="454" t="str">
        <f t="shared" ref="AO111:AO155" si="124">RANK(AL111,$AL$111:$AM$155)</f>
        <v>#DIV/0!</v>
      </c>
      <c r="AP111" s="454" t="str">
        <f t="shared" ref="AP111:AP155" si="125">RANK(AM111,$AM$111:$AM$155)</f>
        <v>#DIV/0!</v>
      </c>
    </row>
    <row r="112" ht="15.75" hidden="1" customHeight="1">
      <c r="A112" s="446">
        <v>109.0</v>
      </c>
      <c r="B112" s="25" t="s">
        <v>40</v>
      </c>
      <c r="C112" s="452" t="s">
        <v>790</v>
      </c>
      <c r="D112" s="56"/>
      <c r="E112" s="56"/>
      <c r="F112" s="72"/>
      <c r="G112" s="72"/>
      <c r="H112" s="72"/>
      <c r="I112" s="72"/>
      <c r="J112" s="72"/>
      <c r="K112" s="72"/>
      <c r="L112" s="72"/>
      <c r="M112" s="72"/>
      <c r="N112" s="72"/>
      <c r="O112" s="72"/>
      <c r="P112" s="72"/>
      <c r="Q112" s="72"/>
      <c r="R112" s="72"/>
      <c r="S112" s="72"/>
      <c r="T112" s="192"/>
      <c r="U112" s="192"/>
      <c r="V112" s="192"/>
      <c r="W112" s="192"/>
      <c r="X112" s="192"/>
      <c r="Y112" s="192"/>
      <c r="Z112" s="192"/>
      <c r="AA112" s="192"/>
      <c r="AB112" s="192"/>
      <c r="AC112" s="192"/>
      <c r="AD112" s="192"/>
      <c r="AE112" s="192"/>
      <c r="AF112" s="192"/>
      <c r="AG112" s="192"/>
      <c r="AH112" s="192"/>
      <c r="AI112" s="192"/>
      <c r="AJ112" s="192"/>
      <c r="AK112" s="192" t="str">
        <f t="shared" ref="AK112:AM112" si="122">AVERAGE(D112,G112,J112,M112,P112,Y112,S112,V112,AB112,AE112,AH112)</f>
        <v>#DIV/0!</v>
      </c>
      <c r="AL112" s="192" t="str">
        <f t="shared" si="122"/>
        <v>#DIV/0!</v>
      </c>
      <c r="AM112" s="192" t="str">
        <f t="shared" si="122"/>
        <v>#DIV/0!</v>
      </c>
      <c r="AN112" s="455" t="str">
        <f t="shared" si="123"/>
        <v>#DIV/0!</v>
      </c>
      <c r="AO112" s="454" t="str">
        <f t="shared" si="124"/>
        <v>#DIV/0!</v>
      </c>
      <c r="AP112" s="454" t="str">
        <f t="shared" si="125"/>
        <v>#DIV/0!</v>
      </c>
    </row>
    <row r="113" ht="15.75" hidden="1" customHeight="1">
      <c r="A113" s="446">
        <v>110.0</v>
      </c>
      <c r="B113" s="25" t="s">
        <v>40</v>
      </c>
      <c r="C113" s="452" t="s">
        <v>791</v>
      </c>
      <c r="D113" s="56"/>
      <c r="E113" s="56"/>
      <c r="F113" s="72"/>
      <c r="G113" s="72"/>
      <c r="H113" s="72"/>
      <c r="I113" s="72"/>
      <c r="J113" s="72"/>
      <c r="K113" s="72"/>
      <c r="L113" s="72"/>
      <c r="M113" s="72"/>
      <c r="N113" s="72"/>
      <c r="O113" s="72"/>
      <c r="P113" s="72"/>
      <c r="Q113" s="72"/>
      <c r="R113" s="72"/>
      <c r="S113" s="72"/>
      <c r="T113" s="192"/>
      <c r="U113" s="192"/>
      <c r="V113" s="192"/>
      <c r="W113" s="192"/>
      <c r="X113" s="192"/>
      <c r="Y113" s="192"/>
      <c r="Z113" s="192"/>
      <c r="AA113" s="192"/>
      <c r="AB113" s="192"/>
      <c r="AC113" s="192"/>
      <c r="AD113" s="192"/>
      <c r="AE113" s="192"/>
      <c r="AF113" s="192"/>
      <c r="AG113" s="192"/>
      <c r="AH113" s="192"/>
      <c r="AI113" s="192"/>
      <c r="AJ113" s="192"/>
      <c r="AK113" s="192" t="str">
        <f t="shared" ref="AK113:AM113" si="126">AVERAGE(D113,G113,J113,M113,P113,Y113,S113,V113,AB113,AE113,AH113)</f>
        <v>#DIV/0!</v>
      </c>
      <c r="AL113" s="192" t="str">
        <f t="shared" si="126"/>
        <v>#DIV/0!</v>
      </c>
      <c r="AM113" s="192" t="str">
        <f t="shared" si="126"/>
        <v>#DIV/0!</v>
      </c>
      <c r="AN113" s="455" t="str">
        <f t="shared" si="123"/>
        <v>#DIV/0!</v>
      </c>
      <c r="AO113" s="454" t="str">
        <f t="shared" si="124"/>
        <v>#DIV/0!</v>
      </c>
      <c r="AP113" s="454" t="str">
        <f t="shared" si="125"/>
        <v>#DIV/0!</v>
      </c>
    </row>
    <row r="114" ht="15.75" hidden="1" customHeight="1">
      <c r="A114" s="446">
        <v>111.0</v>
      </c>
      <c r="B114" s="25" t="s">
        <v>40</v>
      </c>
      <c r="C114" s="452" t="s">
        <v>455</v>
      </c>
      <c r="D114" s="56"/>
      <c r="E114" s="56"/>
      <c r="F114" s="72"/>
      <c r="G114" s="72"/>
      <c r="H114" s="72"/>
      <c r="I114" s="72"/>
      <c r="J114" s="72"/>
      <c r="K114" s="72"/>
      <c r="L114" s="72"/>
      <c r="M114" s="72"/>
      <c r="N114" s="72"/>
      <c r="O114" s="72"/>
      <c r="P114" s="72"/>
      <c r="Q114" s="72"/>
      <c r="R114" s="72"/>
      <c r="S114" s="72"/>
      <c r="T114" s="192"/>
      <c r="U114" s="192"/>
      <c r="V114" s="192"/>
      <c r="W114" s="192"/>
      <c r="X114" s="192"/>
      <c r="Y114" s="192"/>
      <c r="Z114" s="192"/>
      <c r="AA114" s="192"/>
      <c r="AB114" s="192"/>
      <c r="AC114" s="192"/>
      <c r="AD114" s="192"/>
      <c r="AE114" s="192"/>
      <c r="AF114" s="192"/>
      <c r="AG114" s="192"/>
      <c r="AH114" s="192"/>
      <c r="AI114" s="192"/>
      <c r="AJ114" s="192"/>
      <c r="AK114" s="192" t="str">
        <f t="shared" ref="AK114:AM114" si="127">AVERAGE(D114,G114,J114,M114,P114,Y114,S114,V114,AB114,AE114,AH114)</f>
        <v>#DIV/0!</v>
      </c>
      <c r="AL114" s="192" t="str">
        <f t="shared" si="127"/>
        <v>#DIV/0!</v>
      </c>
      <c r="AM114" s="192" t="str">
        <f t="shared" si="127"/>
        <v>#DIV/0!</v>
      </c>
      <c r="AN114" s="455" t="str">
        <f t="shared" si="123"/>
        <v>#DIV/0!</v>
      </c>
      <c r="AO114" s="454" t="str">
        <f t="shared" si="124"/>
        <v>#DIV/0!</v>
      </c>
      <c r="AP114" s="454" t="str">
        <f t="shared" si="125"/>
        <v>#DIV/0!</v>
      </c>
    </row>
    <row r="115" ht="15.75" hidden="1" customHeight="1">
      <c r="A115" s="446">
        <v>112.0</v>
      </c>
      <c r="B115" s="25" t="s">
        <v>40</v>
      </c>
      <c r="C115" s="452" t="s">
        <v>792</v>
      </c>
      <c r="D115" s="56"/>
      <c r="E115" s="56"/>
      <c r="F115" s="72"/>
      <c r="G115" s="72"/>
      <c r="H115" s="72"/>
      <c r="I115" s="72"/>
      <c r="J115" s="72"/>
      <c r="K115" s="72"/>
      <c r="L115" s="72"/>
      <c r="M115" s="72"/>
      <c r="N115" s="72"/>
      <c r="O115" s="72"/>
      <c r="P115" s="72"/>
      <c r="Q115" s="72"/>
      <c r="R115" s="72"/>
      <c r="S115" s="72"/>
      <c r="T115" s="192"/>
      <c r="U115" s="192"/>
      <c r="V115" s="192"/>
      <c r="W115" s="192"/>
      <c r="X115" s="192"/>
      <c r="Y115" s="192"/>
      <c r="Z115" s="192"/>
      <c r="AA115" s="192"/>
      <c r="AB115" s="192"/>
      <c r="AC115" s="192"/>
      <c r="AD115" s="192"/>
      <c r="AE115" s="192"/>
      <c r="AF115" s="192"/>
      <c r="AG115" s="192"/>
      <c r="AH115" s="192"/>
      <c r="AI115" s="192"/>
      <c r="AJ115" s="192"/>
      <c r="AK115" s="192" t="str">
        <f t="shared" ref="AK115:AM115" si="128">AVERAGE(D115,G115,J115,M115,P115,Y115,S115,V115,AB115,AE115,AH115)</f>
        <v>#DIV/0!</v>
      </c>
      <c r="AL115" s="192" t="str">
        <f t="shared" si="128"/>
        <v>#DIV/0!</v>
      </c>
      <c r="AM115" s="192" t="str">
        <f t="shared" si="128"/>
        <v>#DIV/0!</v>
      </c>
      <c r="AN115" s="455" t="str">
        <f t="shared" si="123"/>
        <v>#DIV/0!</v>
      </c>
      <c r="AO115" s="454" t="str">
        <f t="shared" si="124"/>
        <v>#DIV/0!</v>
      </c>
      <c r="AP115" s="454" t="str">
        <f t="shared" si="125"/>
        <v>#DIV/0!</v>
      </c>
    </row>
    <row r="116" ht="15.75" hidden="1" customHeight="1">
      <c r="A116" s="446">
        <v>113.0</v>
      </c>
      <c r="B116" s="25" t="s">
        <v>40</v>
      </c>
      <c r="C116" s="452" t="s">
        <v>793</v>
      </c>
      <c r="D116" s="56"/>
      <c r="E116" s="56"/>
      <c r="F116" s="72"/>
      <c r="G116" s="72"/>
      <c r="H116" s="72"/>
      <c r="I116" s="72"/>
      <c r="J116" s="72"/>
      <c r="K116" s="72"/>
      <c r="L116" s="72"/>
      <c r="M116" s="72"/>
      <c r="N116" s="72"/>
      <c r="O116" s="72"/>
      <c r="P116" s="72"/>
      <c r="Q116" s="72"/>
      <c r="R116" s="72"/>
      <c r="S116" s="72"/>
      <c r="T116" s="192"/>
      <c r="U116" s="192"/>
      <c r="V116" s="192"/>
      <c r="W116" s="192"/>
      <c r="X116" s="192"/>
      <c r="Y116" s="192"/>
      <c r="Z116" s="192"/>
      <c r="AA116" s="192"/>
      <c r="AB116" s="192"/>
      <c r="AC116" s="192"/>
      <c r="AD116" s="192"/>
      <c r="AE116" s="192"/>
      <c r="AF116" s="192"/>
      <c r="AG116" s="192"/>
      <c r="AH116" s="192"/>
      <c r="AI116" s="192"/>
      <c r="AJ116" s="192"/>
      <c r="AK116" s="192" t="str">
        <f t="shared" ref="AK116:AM116" si="129">AVERAGE(D116,G116,J116,M116,P116,Y116,S116,V116,AB116,AE116,AH116)</f>
        <v>#DIV/0!</v>
      </c>
      <c r="AL116" s="192" t="str">
        <f t="shared" si="129"/>
        <v>#DIV/0!</v>
      </c>
      <c r="AM116" s="192" t="str">
        <f t="shared" si="129"/>
        <v>#DIV/0!</v>
      </c>
      <c r="AN116" s="455" t="str">
        <f t="shared" si="123"/>
        <v>#DIV/0!</v>
      </c>
      <c r="AO116" s="454" t="str">
        <f t="shared" si="124"/>
        <v>#DIV/0!</v>
      </c>
      <c r="AP116" s="454" t="str">
        <f t="shared" si="125"/>
        <v>#DIV/0!</v>
      </c>
    </row>
    <row r="117" ht="15.75" hidden="1" customHeight="1">
      <c r="A117" s="446">
        <v>114.0</v>
      </c>
      <c r="B117" s="25" t="s">
        <v>40</v>
      </c>
      <c r="C117" s="452" t="s">
        <v>794</v>
      </c>
      <c r="D117" s="56"/>
      <c r="E117" s="56"/>
      <c r="F117" s="72"/>
      <c r="G117" s="72"/>
      <c r="H117" s="72"/>
      <c r="I117" s="72"/>
      <c r="J117" s="72"/>
      <c r="K117" s="72"/>
      <c r="L117" s="72"/>
      <c r="M117" s="72"/>
      <c r="N117" s="72"/>
      <c r="O117" s="72"/>
      <c r="P117" s="72"/>
      <c r="Q117" s="72"/>
      <c r="R117" s="72"/>
      <c r="S117" s="72"/>
      <c r="T117" s="192"/>
      <c r="U117" s="192"/>
      <c r="V117" s="192"/>
      <c r="W117" s="192"/>
      <c r="X117" s="192"/>
      <c r="Y117" s="192"/>
      <c r="Z117" s="192"/>
      <c r="AA117" s="192"/>
      <c r="AB117" s="192"/>
      <c r="AC117" s="192"/>
      <c r="AD117" s="192"/>
      <c r="AE117" s="192"/>
      <c r="AF117" s="192"/>
      <c r="AG117" s="192"/>
      <c r="AH117" s="192"/>
      <c r="AI117" s="192"/>
      <c r="AJ117" s="192"/>
      <c r="AK117" s="192" t="str">
        <f t="shared" ref="AK117:AM117" si="130">AVERAGE(D117,G117,J117,M117,P117,Y117,S117,V117,AB117,AE117,AH117)</f>
        <v>#DIV/0!</v>
      </c>
      <c r="AL117" s="192" t="str">
        <f t="shared" si="130"/>
        <v>#DIV/0!</v>
      </c>
      <c r="AM117" s="192" t="str">
        <f t="shared" si="130"/>
        <v>#DIV/0!</v>
      </c>
      <c r="AN117" s="455" t="str">
        <f t="shared" si="123"/>
        <v>#DIV/0!</v>
      </c>
      <c r="AO117" s="454" t="str">
        <f t="shared" si="124"/>
        <v>#DIV/0!</v>
      </c>
      <c r="AP117" s="454" t="str">
        <f t="shared" si="125"/>
        <v>#DIV/0!</v>
      </c>
    </row>
    <row r="118" ht="15.75" hidden="1" customHeight="1">
      <c r="A118" s="446">
        <v>115.0</v>
      </c>
      <c r="B118" s="25" t="s">
        <v>40</v>
      </c>
      <c r="C118" s="452" t="s">
        <v>795</v>
      </c>
      <c r="D118" s="56"/>
      <c r="E118" s="56"/>
      <c r="F118" s="72"/>
      <c r="G118" s="72"/>
      <c r="H118" s="72"/>
      <c r="I118" s="72"/>
      <c r="J118" s="72"/>
      <c r="K118" s="72"/>
      <c r="L118" s="72"/>
      <c r="M118" s="72"/>
      <c r="N118" s="72"/>
      <c r="O118" s="72"/>
      <c r="P118" s="72"/>
      <c r="Q118" s="72"/>
      <c r="R118" s="72"/>
      <c r="S118" s="72"/>
      <c r="T118" s="192"/>
      <c r="U118" s="192"/>
      <c r="V118" s="192"/>
      <c r="W118" s="192"/>
      <c r="X118" s="192"/>
      <c r="Y118" s="192"/>
      <c r="Z118" s="192"/>
      <c r="AA118" s="192"/>
      <c r="AB118" s="192"/>
      <c r="AC118" s="192"/>
      <c r="AD118" s="192"/>
      <c r="AE118" s="192"/>
      <c r="AF118" s="192"/>
      <c r="AG118" s="192"/>
      <c r="AH118" s="192"/>
      <c r="AI118" s="192"/>
      <c r="AJ118" s="192"/>
      <c r="AK118" s="192" t="str">
        <f t="shared" ref="AK118:AM118" si="131">AVERAGE(D118,G118,J118,M118,P118,Y118,S118,V118,AB118,AE118,AH118)</f>
        <v>#DIV/0!</v>
      </c>
      <c r="AL118" s="192" t="str">
        <f t="shared" si="131"/>
        <v>#DIV/0!</v>
      </c>
      <c r="AM118" s="192" t="str">
        <f t="shared" si="131"/>
        <v>#DIV/0!</v>
      </c>
      <c r="AN118" s="455" t="str">
        <f t="shared" si="123"/>
        <v>#DIV/0!</v>
      </c>
      <c r="AO118" s="454" t="str">
        <f t="shared" si="124"/>
        <v>#DIV/0!</v>
      </c>
      <c r="AP118" s="454" t="str">
        <f t="shared" si="125"/>
        <v>#DIV/0!</v>
      </c>
    </row>
    <row r="119" ht="15.75" hidden="1" customHeight="1">
      <c r="A119" s="446">
        <v>116.0</v>
      </c>
      <c r="B119" s="25" t="s">
        <v>40</v>
      </c>
      <c r="C119" s="452" t="s">
        <v>466</v>
      </c>
      <c r="D119" s="56"/>
      <c r="E119" s="56"/>
      <c r="F119" s="72"/>
      <c r="G119" s="72"/>
      <c r="H119" s="72"/>
      <c r="I119" s="72"/>
      <c r="J119" s="72"/>
      <c r="K119" s="72"/>
      <c r="L119" s="72"/>
      <c r="M119" s="72"/>
      <c r="N119" s="72"/>
      <c r="O119" s="72"/>
      <c r="P119" s="72"/>
      <c r="Q119" s="72"/>
      <c r="R119" s="72"/>
      <c r="S119" s="72"/>
      <c r="T119" s="192"/>
      <c r="U119" s="192"/>
      <c r="V119" s="192"/>
      <c r="W119" s="192"/>
      <c r="X119" s="192"/>
      <c r="Y119" s="192"/>
      <c r="Z119" s="192"/>
      <c r="AA119" s="192"/>
      <c r="AB119" s="192"/>
      <c r="AC119" s="192"/>
      <c r="AD119" s="192"/>
      <c r="AE119" s="192"/>
      <c r="AF119" s="192"/>
      <c r="AG119" s="192"/>
      <c r="AH119" s="192"/>
      <c r="AI119" s="192"/>
      <c r="AJ119" s="192"/>
      <c r="AK119" s="192" t="str">
        <f t="shared" ref="AK119:AM119" si="132">AVERAGE(D119,G119,J119,M119,P119,Y119,S119,V119,AB119,AE119,AH119)</f>
        <v>#DIV/0!</v>
      </c>
      <c r="AL119" s="192" t="str">
        <f t="shared" si="132"/>
        <v>#DIV/0!</v>
      </c>
      <c r="AM119" s="192" t="str">
        <f t="shared" si="132"/>
        <v>#DIV/0!</v>
      </c>
      <c r="AN119" s="455" t="str">
        <f t="shared" si="123"/>
        <v>#DIV/0!</v>
      </c>
      <c r="AO119" s="454" t="str">
        <f t="shared" si="124"/>
        <v>#DIV/0!</v>
      </c>
      <c r="AP119" s="454" t="str">
        <f t="shared" si="125"/>
        <v>#DIV/0!</v>
      </c>
    </row>
    <row r="120" ht="15.75" hidden="1" customHeight="1">
      <c r="A120" s="446">
        <v>117.0</v>
      </c>
      <c r="B120" s="25" t="s">
        <v>40</v>
      </c>
      <c r="C120" s="452" t="s">
        <v>796</v>
      </c>
      <c r="D120" s="56"/>
      <c r="E120" s="56"/>
      <c r="F120" s="72"/>
      <c r="G120" s="72"/>
      <c r="H120" s="72"/>
      <c r="I120" s="72"/>
      <c r="J120" s="72"/>
      <c r="K120" s="72"/>
      <c r="L120" s="72"/>
      <c r="M120" s="72"/>
      <c r="N120" s="72"/>
      <c r="O120" s="72"/>
      <c r="P120" s="72"/>
      <c r="Q120" s="72"/>
      <c r="R120" s="72"/>
      <c r="S120" s="72"/>
      <c r="T120" s="192"/>
      <c r="U120" s="192"/>
      <c r="V120" s="192"/>
      <c r="W120" s="192"/>
      <c r="X120" s="192"/>
      <c r="Y120" s="192"/>
      <c r="Z120" s="192"/>
      <c r="AA120" s="192"/>
      <c r="AB120" s="192"/>
      <c r="AC120" s="192"/>
      <c r="AD120" s="192"/>
      <c r="AE120" s="192"/>
      <c r="AF120" s="192"/>
      <c r="AG120" s="192"/>
      <c r="AH120" s="192"/>
      <c r="AI120" s="192"/>
      <c r="AJ120" s="192"/>
      <c r="AK120" s="192" t="str">
        <f t="shared" ref="AK120:AM120" si="133">AVERAGE(D120,G120,J120,M120,P120,Y120,S120,V120,AB120,AE120,AH120)</f>
        <v>#DIV/0!</v>
      </c>
      <c r="AL120" s="192" t="str">
        <f t="shared" si="133"/>
        <v>#DIV/0!</v>
      </c>
      <c r="AM120" s="192" t="str">
        <f t="shared" si="133"/>
        <v>#DIV/0!</v>
      </c>
      <c r="AN120" s="455" t="str">
        <f t="shared" si="123"/>
        <v>#DIV/0!</v>
      </c>
      <c r="AO120" s="454" t="str">
        <f t="shared" si="124"/>
        <v>#DIV/0!</v>
      </c>
      <c r="AP120" s="454" t="str">
        <f t="shared" si="125"/>
        <v>#DIV/0!</v>
      </c>
    </row>
    <row r="121" ht="15.75" hidden="1" customHeight="1">
      <c r="A121" s="446">
        <v>118.0</v>
      </c>
      <c r="B121" s="25" t="s">
        <v>40</v>
      </c>
      <c r="C121" s="452" t="s">
        <v>474</v>
      </c>
      <c r="D121" s="56"/>
      <c r="E121" s="56"/>
      <c r="F121" s="72"/>
      <c r="G121" s="72"/>
      <c r="H121" s="72"/>
      <c r="I121" s="72"/>
      <c r="J121" s="72"/>
      <c r="K121" s="72"/>
      <c r="L121" s="72"/>
      <c r="M121" s="72"/>
      <c r="N121" s="72"/>
      <c r="O121" s="72"/>
      <c r="P121" s="72"/>
      <c r="Q121" s="72"/>
      <c r="R121" s="72"/>
      <c r="S121" s="72"/>
      <c r="T121" s="192"/>
      <c r="U121" s="192"/>
      <c r="V121" s="192"/>
      <c r="W121" s="192"/>
      <c r="X121" s="192"/>
      <c r="Y121" s="192"/>
      <c r="Z121" s="192"/>
      <c r="AA121" s="192"/>
      <c r="AB121" s="192"/>
      <c r="AC121" s="192"/>
      <c r="AD121" s="192"/>
      <c r="AE121" s="192"/>
      <c r="AF121" s="192"/>
      <c r="AG121" s="192"/>
      <c r="AH121" s="192"/>
      <c r="AI121" s="192"/>
      <c r="AJ121" s="192"/>
      <c r="AK121" s="192" t="str">
        <f t="shared" ref="AK121:AM121" si="134">AVERAGE(D121,G121,J121,M121,P121,Y121,S121,V121,AB121,AE121,AH121)</f>
        <v>#DIV/0!</v>
      </c>
      <c r="AL121" s="192" t="str">
        <f t="shared" si="134"/>
        <v>#DIV/0!</v>
      </c>
      <c r="AM121" s="192" t="str">
        <f t="shared" si="134"/>
        <v>#DIV/0!</v>
      </c>
      <c r="AN121" s="455" t="str">
        <f t="shared" si="123"/>
        <v>#DIV/0!</v>
      </c>
      <c r="AO121" s="454" t="str">
        <f t="shared" si="124"/>
        <v>#DIV/0!</v>
      </c>
      <c r="AP121" s="454" t="str">
        <f t="shared" si="125"/>
        <v>#DIV/0!</v>
      </c>
    </row>
    <row r="122" ht="15.75" hidden="1" customHeight="1">
      <c r="A122" s="446">
        <v>119.0</v>
      </c>
      <c r="B122" s="25" t="s">
        <v>40</v>
      </c>
      <c r="C122" s="452" t="s">
        <v>797</v>
      </c>
      <c r="D122" s="56"/>
      <c r="E122" s="56"/>
      <c r="F122" s="72"/>
      <c r="G122" s="72"/>
      <c r="H122" s="72"/>
      <c r="I122" s="72"/>
      <c r="J122" s="72"/>
      <c r="K122" s="72"/>
      <c r="L122" s="72"/>
      <c r="M122" s="72"/>
      <c r="N122" s="72"/>
      <c r="O122" s="72"/>
      <c r="P122" s="72"/>
      <c r="Q122" s="72"/>
      <c r="R122" s="72"/>
      <c r="S122" s="72"/>
      <c r="T122" s="192"/>
      <c r="U122" s="192"/>
      <c r="V122" s="192"/>
      <c r="W122" s="192"/>
      <c r="X122" s="192"/>
      <c r="Y122" s="192"/>
      <c r="Z122" s="192"/>
      <c r="AA122" s="192"/>
      <c r="AB122" s="192"/>
      <c r="AC122" s="192"/>
      <c r="AD122" s="192"/>
      <c r="AE122" s="192"/>
      <c r="AF122" s="192"/>
      <c r="AG122" s="192"/>
      <c r="AH122" s="192"/>
      <c r="AI122" s="192"/>
      <c r="AJ122" s="192"/>
      <c r="AK122" s="192" t="str">
        <f t="shared" ref="AK122:AM122" si="135">AVERAGE(D122,G122,J122,M122,P122,Y122,S122,V122,AB122,AE122,AH122)</f>
        <v>#DIV/0!</v>
      </c>
      <c r="AL122" s="192" t="str">
        <f t="shared" si="135"/>
        <v>#DIV/0!</v>
      </c>
      <c r="AM122" s="192" t="str">
        <f t="shared" si="135"/>
        <v>#DIV/0!</v>
      </c>
      <c r="AN122" s="455" t="str">
        <f t="shared" si="123"/>
        <v>#DIV/0!</v>
      </c>
      <c r="AO122" s="454" t="str">
        <f t="shared" si="124"/>
        <v>#DIV/0!</v>
      </c>
      <c r="AP122" s="454" t="str">
        <f t="shared" si="125"/>
        <v>#DIV/0!</v>
      </c>
    </row>
    <row r="123" ht="15.75" hidden="1" customHeight="1">
      <c r="A123" s="446">
        <v>120.0</v>
      </c>
      <c r="B123" s="25" t="s">
        <v>40</v>
      </c>
      <c r="C123" s="452" t="s">
        <v>798</v>
      </c>
      <c r="D123" s="56"/>
      <c r="E123" s="56"/>
      <c r="F123" s="72"/>
      <c r="G123" s="72"/>
      <c r="H123" s="72"/>
      <c r="I123" s="72"/>
      <c r="J123" s="72"/>
      <c r="K123" s="72"/>
      <c r="L123" s="72"/>
      <c r="M123" s="72"/>
      <c r="N123" s="72"/>
      <c r="O123" s="72"/>
      <c r="P123" s="72"/>
      <c r="Q123" s="72"/>
      <c r="R123" s="72"/>
      <c r="S123" s="72"/>
      <c r="T123" s="192"/>
      <c r="U123" s="192"/>
      <c r="V123" s="192"/>
      <c r="W123" s="192"/>
      <c r="X123" s="192"/>
      <c r="Y123" s="192"/>
      <c r="Z123" s="192"/>
      <c r="AA123" s="192"/>
      <c r="AB123" s="192"/>
      <c r="AC123" s="192"/>
      <c r="AD123" s="192"/>
      <c r="AE123" s="192"/>
      <c r="AF123" s="192"/>
      <c r="AG123" s="192"/>
      <c r="AH123" s="192"/>
      <c r="AI123" s="192"/>
      <c r="AJ123" s="192"/>
      <c r="AK123" s="192" t="str">
        <f t="shared" ref="AK123:AM123" si="136">AVERAGE(D123,G123,J123,M123,P123,Y123,S123,V123,AB123,AE123,AH123)</f>
        <v>#DIV/0!</v>
      </c>
      <c r="AL123" s="192" t="str">
        <f t="shared" si="136"/>
        <v>#DIV/0!</v>
      </c>
      <c r="AM123" s="192" t="str">
        <f t="shared" si="136"/>
        <v>#DIV/0!</v>
      </c>
      <c r="AN123" s="455" t="str">
        <f t="shared" si="123"/>
        <v>#DIV/0!</v>
      </c>
      <c r="AO123" s="454" t="str">
        <f t="shared" si="124"/>
        <v>#DIV/0!</v>
      </c>
      <c r="AP123" s="454" t="str">
        <f t="shared" si="125"/>
        <v>#DIV/0!</v>
      </c>
    </row>
    <row r="124" ht="15.75" hidden="1" customHeight="1">
      <c r="A124" s="446">
        <v>121.0</v>
      </c>
      <c r="B124" s="25" t="s">
        <v>40</v>
      </c>
      <c r="C124" s="452" t="s">
        <v>799</v>
      </c>
      <c r="D124" s="56"/>
      <c r="E124" s="56"/>
      <c r="F124" s="72"/>
      <c r="G124" s="72"/>
      <c r="H124" s="72"/>
      <c r="I124" s="72"/>
      <c r="J124" s="72"/>
      <c r="K124" s="72"/>
      <c r="L124" s="72"/>
      <c r="M124" s="72"/>
      <c r="N124" s="72"/>
      <c r="O124" s="72"/>
      <c r="P124" s="72"/>
      <c r="Q124" s="72"/>
      <c r="R124" s="72"/>
      <c r="S124" s="72"/>
      <c r="T124" s="192"/>
      <c r="U124" s="192"/>
      <c r="V124" s="192"/>
      <c r="W124" s="192"/>
      <c r="X124" s="192"/>
      <c r="Y124" s="192"/>
      <c r="Z124" s="192"/>
      <c r="AA124" s="192"/>
      <c r="AB124" s="192"/>
      <c r="AC124" s="192"/>
      <c r="AD124" s="192"/>
      <c r="AE124" s="192"/>
      <c r="AF124" s="192"/>
      <c r="AG124" s="192"/>
      <c r="AH124" s="192"/>
      <c r="AI124" s="192"/>
      <c r="AJ124" s="192"/>
      <c r="AK124" s="192" t="str">
        <f t="shared" ref="AK124:AM124" si="137">AVERAGE(D124,G124,J124,M124,P124,Y124,S124,V124,AB124,AE124,AH124)</f>
        <v>#DIV/0!</v>
      </c>
      <c r="AL124" s="192" t="str">
        <f t="shared" si="137"/>
        <v>#DIV/0!</v>
      </c>
      <c r="AM124" s="192" t="str">
        <f t="shared" si="137"/>
        <v>#DIV/0!</v>
      </c>
      <c r="AN124" s="455" t="str">
        <f t="shared" si="123"/>
        <v>#DIV/0!</v>
      </c>
      <c r="AO124" s="454" t="str">
        <f t="shared" si="124"/>
        <v>#DIV/0!</v>
      </c>
      <c r="AP124" s="454" t="str">
        <f t="shared" si="125"/>
        <v>#DIV/0!</v>
      </c>
    </row>
    <row r="125" ht="15.75" hidden="1" customHeight="1">
      <c r="A125" s="446">
        <v>122.0</v>
      </c>
      <c r="B125" s="25" t="s">
        <v>40</v>
      </c>
      <c r="C125" s="452" t="s">
        <v>800</v>
      </c>
      <c r="D125" s="56"/>
      <c r="E125" s="56"/>
      <c r="F125" s="72"/>
      <c r="G125" s="72"/>
      <c r="H125" s="72"/>
      <c r="I125" s="72"/>
      <c r="J125" s="72"/>
      <c r="K125" s="72"/>
      <c r="L125" s="72"/>
      <c r="M125" s="72"/>
      <c r="N125" s="72"/>
      <c r="O125" s="72"/>
      <c r="P125" s="72"/>
      <c r="Q125" s="72"/>
      <c r="R125" s="72"/>
      <c r="S125" s="72"/>
      <c r="T125" s="192"/>
      <c r="U125" s="192"/>
      <c r="V125" s="192"/>
      <c r="W125" s="192"/>
      <c r="X125" s="192"/>
      <c r="Y125" s="192"/>
      <c r="Z125" s="192"/>
      <c r="AA125" s="192"/>
      <c r="AB125" s="192"/>
      <c r="AC125" s="192"/>
      <c r="AD125" s="192"/>
      <c r="AE125" s="192"/>
      <c r="AF125" s="192"/>
      <c r="AG125" s="192"/>
      <c r="AH125" s="192"/>
      <c r="AI125" s="192"/>
      <c r="AJ125" s="192"/>
      <c r="AK125" s="192" t="str">
        <f t="shared" ref="AK125:AM125" si="138">AVERAGE(D125,G125,J125,M125,P125,Y125,S125,V125,AB125,AE125,AH125)</f>
        <v>#DIV/0!</v>
      </c>
      <c r="AL125" s="192" t="str">
        <f t="shared" si="138"/>
        <v>#DIV/0!</v>
      </c>
      <c r="AM125" s="192" t="str">
        <f t="shared" si="138"/>
        <v>#DIV/0!</v>
      </c>
      <c r="AN125" s="455" t="str">
        <f t="shared" si="123"/>
        <v>#DIV/0!</v>
      </c>
      <c r="AO125" s="454" t="str">
        <f t="shared" si="124"/>
        <v>#DIV/0!</v>
      </c>
      <c r="AP125" s="454" t="str">
        <f t="shared" si="125"/>
        <v>#DIV/0!</v>
      </c>
    </row>
    <row r="126" ht="15.75" hidden="1" customHeight="1">
      <c r="A126" s="446">
        <v>123.0</v>
      </c>
      <c r="B126" s="25" t="s">
        <v>40</v>
      </c>
      <c r="C126" s="452" t="s">
        <v>482</v>
      </c>
      <c r="D126" s="56"/>
      <c r="E126" s="56"/>
      <c r="F126" s="72"/>
      <c r="G126" s="72"/>
      <c r="H126" s="72"/>
      <c r="I126" s="72"/>
      <c r="J126" s="72"/>
      <c r="K126" s="72"/>
      <c r="L126" s="72"/>
      <c r="M126" s="72"/>
      <c r="N126" s="72"/>
      <c r="O126" s="72"/>
      <c r="P126" s="72"/>
      <c r="Q126" s="72"/>
      <c r="R126" s="72"/>
      <c r="S126" s="72"/>
      <c r="T126" s="192"/>
      <c r="U126" s="192"/>
      <c r="V126" s="192"/>
      <c r="W126" s="192"/>
      <c r="X126" s="192"/>
      <c r="Y126" s="192"/>
      <c r="Z126" s="192"/>
      <c r="AA126" s="192"/>
      <c r="AB126" s="192"/>
      <c r="AC126" s="192"/>
      <c r="AD126" s="192"/>
      <c r="AE126" s="192"/>
      <c r="AF126" s="192"/>
      <c r="AG126" s="192"/>
      <c r="AH126" s="192"/>
      <c r="AI126" s="192"/>
      <c r="AJ126" s="192"/>
      <c r="AK126" s="192" t="str">
        <f t="shared" ref="AK126:AM126" si="139">AVERAGE(D126,G126,J126,M126,P126,Y126,S126,V126,AB126,AE126,AH126)</f>
        <v>#DIV/0!</v>
      </c>
      <c r="AL126" s="192" t="str">
        <f t="shared" si="139"/>
        <v>#DIV/0!</v>
      </c>
      <c r="AM126" s="192" t="str">
        <f t="shared" si="139"/>
        <v>#DIV/0!</v>
      </c>
      <c r="AN126" s="455" t="str">
        <f t="shared" si="123"/>
        <v>#DIV/0!</v>
      </c>
      <c r="AO126" s="454" t="str">
        <f t="shared" si="124"/>
        <v>#DIV/0!</v>
      </c>
      <c r="AP126" s="454" t="str">
        <f t="shared" si="125"/>
        <v>#DIV/0!</v>
      </c>
    </row>
    <row r="127" ht="15.75" hidden="1" customHeight="1">
      <c r="A127" s="446">
        <v>124.0</v>
      </c>
      <c r="B127" s="25" t="s">
        <v>40</v>
      </c>
      <c r="C127" s="452" t="s">
        <v>801</v>
      </c>
      <c r="D127" s="56"/>
      <c r="E127" s="56"/>
      <c r="F127" s="72"/>
      <c r="G127" s="72"/>
      <c r="H127" s="72"/>
      <c r="I127" s="72"/>
      <c r="J127" s="72"/>
      <c r="K127" s="72"/>
      <c r="L127" s="72"/>
      <c r="M127" s="72"/>
      <c r="N127" s="72"/>
      <c r="O127" s="72"/>
      <c r="P127" s="72"/>
      <c r="Q127" s="72"/>
      <c r="R127" s="72"/>
      <c r="S127" s="72"/>
      <c r="T127" s="192"/>
      <c r="U127" s="192"/>
      <c r="V127" s="192"/>
      <c r="W127" s="192"/>
      <c r="X127" s="192"/>
      <c r="Y127" s="192"/>
      <c r="Z127" s="192"/>
      <c r="AA127" s="192"/>
      <c r="AB127" s="192"/>
      <c r="AC127" s="192"/>
      <c r="AD127" s="192"/>
      <c r="AE127" s="192"/>
      <c r="AF127" s="192"/>
      <c r="AG127" s="192"/>
      <c r="AH127" s="192"/>
      <c r="AI127" s="192"/>
      <c r="AJ127" s="192"/>
      <c r="AK127" s="192" t="str">
        <f t="shared" ref="AK127:AM127" si="140">AVERAGE(D127,G127,J127,M127,P127,Y127,S127,V127,AB127,AE127,AH127)</f>
        <v>#DIV/0!</v>
      </c>
      <c r="AL127" s="192" t="str">
        <f t="shared" si="140"/>
        <v>#DIV/0!</v>
      </c>
      <c r="AM127" s="192" t="str">
        <f t="shared" si="140"/>
        <v>#DIV/0!</v>
      </c>
      <c r="AN127" s="455" t="str">
        <f t="shared" si="123"/>
        <v>#DIV/0!</v>
      </c>
      <c r="AO127" s="454" t="str">
        <f t="shared" si="124"/>
        <v>#DIV/0!</v>
      </c>
      <c r="AP127" s="454" t="str">
        <f t="shared" si="125"/>
        <v>#DIV/0!</v>
      </c>
    </row>
    <row r="128" ht="15.75" hidden="1" customHeight="1">
      <c r="A128" s="446">
        <v>125.0</v>
      </c>
      <c r="B128" s="25" t="s">
        <v>40</v>
      </c>
      <c r="C128" s="452" t="s">
        <v>802</v>
      </c>
      <c r="D128" s="56"/>
      <c r="E128" s="56"/>
      <c r="F128" s="72"/>
      <c r="G128" s="72"/>
      <c r="H128" s="72"/>
      <c r="I128" s="72"/>
      <c r="J128" s="72"/>
      <c r="K128" s="72"/>
      <c r="L128" s="72"/>
      <c r="M128" s="72"/>
      <c r="N128" s="72"/>
      <c r="O128" s="72"/>
      <c r="P128" s="72"/>
      <c r="Q128" s="72"/>
      <c r="R128" s="72"/>
      <c r="S128" s="72"/>
      <c r="T128" s="192"/>
      <c r="U128" s="192"/>
      <c r="V128" s="192"/>
      <c r="W128" s="192"/>
      <c r="X128" s="192"/>
      <c r="Y128" s="192"/>
      <c r="Z128" s="192"/>
      <c r="AA128" s="192"/>
      <c r="AB128" s="192"/>
      <c r="AC128" s="192"/>
      <c r="AD128" s="192"/>
      <c r="AE128" s="192"/>
      <c r="AF128" s="192"/>
      <c r="AG128" s="192"/>
      <c r="AH128" s="192"/>
      <c r="AI128" s="192"/>
      <c r="AJ128" s="192"/>
      <c r="AK128" s="192" t="str">
        <f t="shared" ref="AK128:AM128" si="141">AVERAGE(D128,G128,J128,M128,P128,Y128,S128,V128,AB128,AE128,AH128)</f>
        <v>#DIV/0!</v>
      </c>
      <c r="AL128" s="192" t="str">
        <f t="shared" si="141"/>
        <v>#DIV/0!</v>
      </c>
      <c r="AM128" s="192" t="str">
        <f t="shared" si="141"/>
        <v>#DIV/0!</v>
      </c>
      <c r="AN128" s="455" t="str">
        <f t="shared" si="123"/>
        <v>#DIV/0!</v>
      </c>
      <c r="AO128" s="454" t="str">
        <f t="shared" si="124"/>
        <v>#DIV/0!</v>
      </c>
      <c r="AP128" s="454" t="str">
        <f t="shared" si="125"/>
        <v>#DIV/0!</v>
      </c>
    </row>
    <row r="129" ht="15.75" hidden="1" customHeight="1">
      <c r="A129" s="446">
        <v>126.0</v>
      </c>
      <c r="B129" s="25" t="s">
        <v>40</v>
      </c>
      <c r="C129" s="452" t="s">
        <v>803</v>
      </c>
      <c r="D129" s="56"/>
      <c r="E129" s="56"/>
      <c r="F129" s="72"/>
      <c r="G129" s="72"/>
      <c r="H129" s="72"/>
      <c r="I129" s="72"/>
      <c r="J129" s="72"/>
      <c r="K129" s="72"/>
      <c r="L129" s="72"/>
      <c r="M129" s="72"/>
      <c r="N129" s="72"/>
      <c r="O129" s="72"/>
      <c r="P129" s="72"/>
      <c r="Q129" s="72"/>
      <c r="R129" s="72"/>
      <c r="S129" s="72"/>
      <c r="T129" s="192"/>
      <c r="U129" s="192"/>
      <c r="V129" s="192"/>
      <c r="W129" s="192"/>
      <c r="X129" s="192"/>
      <c r="Y129" s="192"/>
      <c r="Z129" s="192"/>
      <c r="AA129" s="192"/>
      <c r="AB129" s="192"/>
      <c r="AC129" s="192"/>
      <c r="AD129" s="192"/>
      <c r="AE129" s="192"/>
      <c r="AF129" s="192"/>
      <c r="AG129" s="192"/>
      <c r="AH129" s="192"/>
      <c r="AI129" s="192"/>
      <c r="AJ129" s="192"/>
      <c r="AK129" s="192" t="str">
        <f t="shared" ref="AK129:AM129" si="142">AVERAGE(D129,G129,J129,M129,P129,Y129,S129,V129,AB129,AE129,AH129)</f>
        <v>#DIV/0!</v>
      </c>
      <c r="AL129" s="192" t="str">
        <f t="shared" si="142"/>
        <v>#DIV/0!</v>
      </c>
      <c r="AM129" s="192" t="str">
        <f t="shared" si="142"/>
        <v>#DIV/0!</v>
      </c>
      <c r="AN129" s="455" t="str">
        <f t="shared" si="123"/>
        <v>#DIV/0!</v>
      </c>
      <c r="AO129" s="454" t="str">
        <f t="shared" si="124"/>
        <v>#DIV/0!</v>
      </c>
      <c r="AP129" s="454" t="str">
        <f t="shared" si="125"/>
        <v>#DIV/0!</v>
      </c>
    </row>
    <row r="130" ht="15.75" hidden="1" customHeight="1">
      <c r="A130" s="446">
        <v>127.0</v>
      </c>
      <c r="B130" s="25" t="s">
        <v>40</v>
      </c>
      <c r="C130" s="452" t="s">
        <v>804</v>
      </c>
      <c r="D130" s="56"/>
      <c r="E130" s="56"/>
      <c r="F130" s="72"/>
      <c r="G130" s="72"/>
      <c r="H130" s="72"/>
      <c r="I130" s="72"/>
      <c r="J130" s="72"/>
      <c r="K130" s="72"/>
      <c r="L130" s="72"/>
      <c r="M130" s="72"/>
      <c r="N130" s="72"/>
      <c r="O130" s="72"/>
      <c r="P130" s="72"/>
      <c r="Q130" s="72"/>
      <c r="R130" s="72"/>
      <c r="S130" s="72"/>
      <c r="T130" s="192"/>
      <c r="U130" s="192"/>
      <c r="V130" s="192"/>
      <c r="W130" s="192"/>
      <c r="X130" s="192"/>
      <c r="Y130" s="192"/>
      <c r="Z130" s="192"/>
      <c r="AA130" s="192"/>
      <c r="AB130" s="192"/>
      <c r="AC130" s="192"/>
      <c r="AD130" s="192"/>
      <c r="AE130" s="192"/>
      <c r="AF130" s="192"/>
      <c r="AG130" s="192"/>
      <c r="AH130" s="192"/>
      <c r="AI130" s="192"/>
      <c r="AJ130" s="192"/>
      <c r="AK130" s="192" t="str">
        <f t="shared" ref="AK130:AM130" si="143">AVERAGE(D130,G130,J130,M130,P130,Y130,S130,V130,AB130,AE130,AH130)</f>
        <v>#DIV/0!</v>
      </c>
      <c r="AL130" s="192" t="str">
        <f t="shared" si="143"/>
        <v>#DIV/0!</v>
      </c>
      <c r="AM130" s="192" t="str">
        <f t="shared" si="143"/>
        <v>#DIV/0!</v>
      </c>
      <c r="AN130" s="455" t="str">
        <f t="shared" si="123"/>
        <v>#DIV/0!</v>
      </c>
      <c r="AO130" s="454" t="str">
        <f t="shared" si="124"/>
        <v>#DIV/0!</v>
      </c>
      <c r="AP130" s="454" t="str">
        <f t="shared" si="125"/>
        <v>#DIV/0!</v>
      </c>
    </row>
    <row r="131" ht="15.75" hidden="1" customHeight="1">
      <c r="A131" s="446">
        <v>128.0</v>
      </c>
      <c r="B131" s="25" t="s">
        <v>40</v>
      </c>
      <c r="C131" s="452" t="s">
        <v>451</v>
      </c>
      <c r="D131" s="56"/>
      <c r="E131" s="56"/>
      <c r="F131" s="72"/>
      <c r="G131" s="72"/>
      <c r="H131" s="72"/>
      <c r="I131" s="72"/>
      <c r="J131" s="72"/>
      <c r="K131" s="72"/>
      <c r="L131" s="72"/>
      <c r="M131" s="72"/>
      <c r="N131" s="72"/>
      <c r="O131" s="72"/>
      <c r="P131" s="72"/>
      <c r="Q131" s="72"/>
      <c r="R131" s="72"/>
      <c r="S131" s="72"/>
      <c r="T131" s="192"/>
      <c r="U131" s="192"/>
      <c r="V131" s="192"/>
      <c r="W131" s="192"/>
      <c r="X131" s="192"/>
      <c r="Y131" s="192"/>
      <c r="Z131" s="192"/>
      <c r="AA131" s="192"/>
      <c r="AB131" s="192"/>
      <c r="AC131" s="192"/>
      <c r="AD131" s="192"/>
      <c r="AE131" s="192"/>
      <c r="AF131" s="192"/>
      <c r="AG131" s="192"/>
      <c r="AH131" s="192"/>
      <c r="AI131" s="192"/>
      <c r="AJ131" s="192"/>
      <c r="AK131" s="192" t="str">
        <f t="shared" ref="AK131:AM131" si="144">AVERAGE(D131,G131,J131,M131,P131,Y131,S131,V131,AB131,AE131,AH131)</f>
        <v>#DIV/0!</v>
      </c>
      <c r="AL131" s="192" t="str">
        <f t="shared" si="144"/>
        <v>#DIV/0!</v>
      </c>
      <c r="AM131" s="192" t="str">
        <f t="shared" si="144"/>
        <v>#DIV/0!</v>
      </c>
      <c r="AN131" s="455" t="str">
        <f t="shared" si="123"/>
        <v>#DIV/0!</v>
      </c>
      <c r="AO131" s="454" t="str">
        <f t="shared" si="124"/>
        <v>#DIV/0!</v>
      </c>
      <c r="AP131" s="454" t="str">
        <f t="shared" si="125"/>
        <v>#DIV/0!</v>
      </c>
    </row>
    <row r="132" ht="15.75" hidden="1" customHeight="1">
      <c r="A132" s="446">
        <v>129.0</v>
      </c>
      <c r="B132" s="25" t="s">
        <v>40</v>
      </c>
      <c r="C132" s="452" t="s">
        <v>805</v>
      </c>
      <c r="D132" s="56"/>
      <c r="E132" s="56"/>
      <c r="F132" s="72"/>
      <c r="G132" s="72"/>
      <c r="H132" s="72"/>
      <c r="I132" s="72"/>
      <c r="J132" s="72"/>
      <c r="K132" s="72"/>
      <c r="L132" s="72"/>
      <c r="M132" s="72"/>
      <c r="N132" s="72"/>
      <c r="O132" s="72"/>
      <c r="P132" s="72"/>
      <c r="Q132" s="72"/>
      <c r="R132" s="72"/>
      <c r="S132" s="72"/>
      <c r="T132" s="192"/>
      <c r="U132" s="192"/>
      <c r="V132" s="192"/>
      <c r="W132" s="192"/>
      <c r="X132" s="192"/>
      <c r="Y132" s="192"/>
      <c r="Z132" s="192"/>
      <c r="AA132" s="192"/>
      <c r="AB132" s="192"/>
      <c r="AC132" s="192"/>
      <c r="AD132" s="192"/>
      <c r="AE132" s="192"/>
      <c r="AF132" s="192"/>
      <c r="AG132" s="192"/>
      <c r="AH132" s="192"/>
      <c r="AI132" s="192"/>
      <c r="AJ132" s="192"/>
      <c r="AK132" s="192" t="str">
        <f t="shared" ref="AK132:AM132" si="145">AVERAGE(D132,G132,J132,M132,P132,Y132,S132,V132,AB132,AE132,AH132)</f>
        <v>#DIV/0!</v>
      </c>
      <c r="AL132" s="192" t="str">
        <f t="shared" si="145"/>
        <v>#DIV/0!</v>
      </c>
      <c r="AM132" s="192" t="str">
        <f t="shared" si="145"/>
        <v>#DIV/0!</v>
      </c>
      <c r="AN132" s="455" t="str">
        <f t="shared" si="123"/>
        <v>#DIV/0!</v>
      </c>
      <c r="AO132" s="454" t="str">
        <f t="shared" si="124"/>
        <v>#DIV/0!</v>
      </c>
      <c r="AP132" s="454" t="str">
        <f t="shared" si="125"/>
        <v>#DIV/0!</v>
      </c>
    </row>
    <row r="133" ht="15.75" hidden="1" customHeight="1">
      <c r="A133" s="446">
        <v>130.0</v>
      </c>
      <c r="B133" s="25" t="s">
        <v>40</v>
      </c>
      <c r="C133" s="452" t="s">
        <v>806</v>
      </c>
      <c r="D133" s="56"/>
      <c r="E133" s="56"/>
      <c r="F133" s="72"/>
      <c r="G133" s="72"/>
      <c r="H133" s="72"/>
      <c r="I133" s="72"/>
      <c r="J133" s="72"/>
      <c r="K133" s="72"/>
      <c r="L133" s="72"/>
      <c r="M133" s="72"/>
      <c r="N133" s="72"/>
      <c r="O133" s="72"/>
      <c r="P133" s="72"/>
      <c r="Q133" s="72"/>
      <c r="R133" s="72"/>
      <c r="S133" s="72"/>
      <c r="T133" s="192"/>
      <c r="U133" s="192"/>
      <c r="V133" s="192"/>
      <c r="W133" s="192"/>
      <c r="X133" s="192"/>
      <c r="Y133" s="192"/>
      <c r="Z133" s="192"/>
      <c r="AA133" s="192"/>
      <c r="AB133" s="192"/>
      <c r="AC133" s="192"/>
      <c r="AD133" s="192"/>
      <c r="AE133" s="192"/>
      <c r="AF133" s="192"/>
      <c r="AG133" s="192"/>
      <c r="AH133" s="192"/>
      <c r="AI133" s="192"/>
      <c r="AJ133" s="192"/>
      <c r="AK133" s="192" t="str">
        <f t="shared" ref="AK133:AM133" si="146">AVERAGE(D133,G133,J133,M133,P133,Y133,S133,V133,AB133,AE133,AH133)</f>
        <v>#DIV/0!</v>
      </c>
      <c r="AL133" s="192" t="str">
        <f t="shared" si="146"/>
        <v>#DIV/0!</v>
      </c>
      <c r="AM133" s="192" t="str">
        <f t="shared" si="146"/>
        <v>#DIV/0!</v>
      </c>
      <c r="AN133" s="455" t="str">
        <f t="shared" si="123"/>
        <v>#DIV/0!</v>
      </c>
      <c r="AO133" s="454" t="str">
        <f t="shared" si="124"/>
        <v>#DIV/0!</v>
      </c>
      <c r="AP133" s="454" t="str">
        <f t="shared" si="125"/>
        <v>#DIV/0!</v>
      </c>
    </row>
    <row r="134" ht="15.75" hidden="1" customHeight="1">
      <c r="A134" s="446">
        <v>131.0</v>
      </c>
      <c r="B134" s="25" t="s">
        <v>39</v>
      </c>
      <c r="C134" s="452" t="s">
        <v>774</v>
      </c>
      <c r="D134" s="56"/>
      <c r="E134" s="56"/>
      <c r="F134" s="72"/>
      <c r="G134" s="72"/>
      <c r="H134" s="72"/>
      <c r="I134" s="72"/>
      <c r="J134" s="72"/>
      <c r="K134" s="72"/>
      <c r="L134" s="72"/>
      <c r="M134" s="72"/>
      <c r="N134" s="72"/>
      <c r="O134" s="72"/>
      <c r="P134" s="72"/>
      <c r="Q134" s="72"/>
      <c r="R134" s="72"/>
      <c r="S134" s="72"/>
      <c r="T134" s="192"/>
      <c r="U134" s="192"/>
      <c r="V134" s="192"/>
      <c r="W134" s="192"/>
      <c r="X134" s="192"/>
      <c r="Y134" s="192"/>
      <c r="Z134" s="192"/>
      <c r="AA134" s="192"/>
      <c r="AB134" s="192"/>
      <c r="AC134" s="192"/>
      <c r="AD134" s="192"/>
      <c r="AE134" s="192"/>
      <c r="AF134" s="192"/>
      <c r="AG134" s="192"/>
      <c r="AH134" s="192"/>
      <c r="AI134" s="192"/>
      <c r="AJ134" s="192"/>
      <c r="AK134" s="192" t="str">
        <f t="shared" ref="AK134:AM134" si="147">AVERAGE(D134,G134,J134,M134,P134,Y134,S134,V134,AB134,AE134,AH134)</f>
        <v>#DIV/0!</v>
      </c>
      <c r="AL134" s="192" t="str">
        <f t="shared" si="147"/>
        <v>#DIV/0!</v>
      </c>
      <c r="AM134" s="192" t="str">
        <f t="shared" si="147"/>
        <v>#DIV/0!</v>
      </c>
      <c r="AN134" s="455" t="str">
        <f t="shared" si="123"/>
        <v>#DIV/0!</v>
      </c>
      <c r="AO134" s="454" t="str">
        <f t="shared" si="124"/>
        <v>#DIV/0!</v>
      </c>
      <c r="AP134" s="454" t="str">
        <f t="shared" si="125"/>
        <v>#DIV/0!</v>
      </c>
    </row>
    <row r="135" ht="15.75" hidden="1" customHeight="1">
      <c r="A135" s="446">
        <v>132.0</v>
      </c>
      <c r="B135" s="25" t="s">
        <v>39</v>
      </c>
      <c r="C135" s="452" t="s">
        <v>775</v>
      </c>
      <c r="D135" s="56"/>
      <c r="E135" s="56"/>
      <c r="F135" s="72"/>
      <c r="G135" s="72"/>
      <c r="H135" s="72"/>
      <c r="I135" s="72"/>
      <c r="J135" s="72"/>
      <c r="K135" s="72"/>
      <c r="L135" s="72"/>
      <c r="M135" s="72"/>
      <c r="N135" s="72"/>
      <c r="O135" s="72"/>
      <c r="P135" s="72"/>
      <c r="Q135" s="72"/>
      <c r="R135" s="72"/>
      <c r="S135" s="72"/>
      <c r="T135" s="192"/>
      <c r="U135" s="192"/>
      <c r="V135" s="192"/>
      <c r="W135" s="192"/>
      <c r="X135" s="192"/>
      <c r="Y135" s="192"/>
      <c r="Z135" s="192"/>
      <c r="AA135" s="192"/>
      <c r="AB135" s="192"/>
      <c r="AC135" s="192"/>
      <c r="AD135" s="192"/>
      <c r="AE135" s="192"/>
      <c r="AF135" s="192"/>
      <c r="AG135" s="192"/>
      <c r="AH135" s="192"/>
      <c r="AI135" s="192"/>
      <c r="AJ135" s="192"/>
      <c r="AK135" s="192" t="str">
        <f t="shared" ref="AK135:AM135" si="148">AVERAGE(D135,G135,J135,M135,P135,Y135,S135,V135,AB135,AE135,AH135)</f>
        <v>#DIV/0!</v>
      </c>
      <c r="AL135" s="192" t="str">
        <f t="shared" si="148"/>
        <v>#DIV/0!</v>
      </c>
      <c r="AM135" s="192" t="str">
        <f t="shared" si="148"/>
        <v>#DIV/0!</v>
      </c>
      <c r="AN135" s="455" t="str">
        <f t="shared" si="123"/>
        <v>#DIV/0!</v>
      </c>
      <c r="AO135" s="454" t="str">
        <f t="shared" si="124"/>
        <v>#DIV/0!</v>
      </c>
      <c r="AP135" s="454" t="str">
        <f t="shared" si="125"/>
        <v>#DIV/0!</v>
      </c>
    </row>
    <row r="136" ht="15.75" hidden="1" customHeight="1">
      <c r="A136" s="446">
        <v>133.0</v>
      </c>
      <c r="B136" s="25" t="s">
        <v>39</v>
      </c>
      <c r="C136" s="452" t="s">
        <v>776</v>
      </c>
      <c r="D136" s="56"/>
      <c r="E136" s="56"/>
      <c r="F136" s="72"/>
      <c r="G136" s="72"/>
      <c r="H136" s="72"/>
      <c r="I136" s="72"/>
      <c r="J136" s="72"/>
      <c r="K136" s="72"/>
      <c r="L136" s="72"/>
      <c r="M136" s="72"/>
      <c r="N136" s="72"/>
      <c r="O136" s="72"/>
      <c r="P136" s="72"/>
      <c r="Q136" s="72"/>
      <c r="R136" s="72"/>
      <c r="S136" s="72"/>
      <c r="T136" s="192"/>
      <c r="U136" s="192"/>
      <c r="V136" s="192"/>
      <c r="W136" s="192"/>
      <c r="X136" s="192"/>
      <c r="Y136" s="192"/>
      <c r="Z136" s="192"/>
      <c r="AA136" s="192"/>
      <c r="AB136" s="192"/>
      <c r="AC136" s="192"/>
      <c r="AD136" s="192"/>
      <c r="AE136" s="192"/>
      <c r="AF136" s="192"/>
      <c r="AG136" s="192"/>
      <c r="AH136" s="192"/>
      <c r="AI136" s="192"/>
      <c r="AJ136" s="192"/>
      <c r="AK136" s="192" t="str">
        <f t="shared" ref="AK136:AM136" si="149">AVERAGE(D136,G136,J136,M136,P136,Y136,S136,V136,AB136,AE136,AH136)</f>
        <v>#DIV/0!</v>
      </c>
      <c r="AL136" s="192" t="str">
        <f t="shared" si="149"/>
        <v>#DIV/0!</v>
      </c>
      <c r="AM136" s="192" t="str">
        <f t="shared" si="149"/>
        <v>#DIV/0!</v>
      </c>
      <c r="AN136" s="455" t="str">
        <f t="shared" si="123"/>
        <v>#DIV/0!</v>
      </c>
      <c r="AO136" s="454" t="str">
        <f t="shared" si="124"/>
        <v>#DIV/0!</v>
      </c>
      <c r="AP136" s="454" t="str">
        <f t="shared" si="125"/>
        <v>#DIV/0!</v>
      </c>
    </row>
    <row r="137" ht="15.75" hidden="1" customHeight="1">
      <c r="A137" s="446">
        <v>134.0</v>
      </c>
      <c r="B137" s="25" t="s">
        <v>39</v>
      </c>
      <c r="C137" s="452" t="s">
        <v>777</v>
      </c>
      <c r="D137" s="56"/>
      <c r="E137" s="56"/>
      <c r="F137" s="72"/>
      <c r="G137" s="72"/>
      <c r="H137" s="72"/>
      <c r="I137" s="72"/>
      <c r="J137" s="72"/>
      <c r="K137" s="72"/>
      <c r="L137" s="72"/>
      <c r="M137" s="72"/>
      <c r="N137" s="72"/>
      <c r="O137" s="72"/>
      <c r="P137" s="72"/>
      <c r="Q137" s="72"/>
      <c r="R137" s="72"/>
      <c r="S137" s="72"/>
      <c r="T137" s="192"/>
      <c r="U137" s="192"/>
      <c r="V137" s="192"/>
      <c r="W137" s="192"/>
      <c r="X137" s="192"/>
      <c r="Y137" s="192"/>
      <c r="Z137" s="192"/>
      <c r="AA137" s="192"/>
      <c r="AB137" s="192"/>
      <c r="AC137" s="192"/>
      <c r="AD137" s="192"/>
      <c r="AE137" s="192"/>
      <c r="AF137" s="192"/>
      <c r="AG137" s="192"/>
      <c r="AH137" s="192"/>
      <c r="AI137" s="192"/>
      <c r="AJ137" s="192"/>
      <c r="AK137" s="192" t="str">
        <f t="shared" ref="AK137:AM137" si="150">AVERAGE(D137,G137,J137,M137,P137,Y137,S137,V137,AB137,AE137,AH137)</f>
        <v>#DIV/0!</v>
      </c>
      <c r="AL137" s="192" t="str">
        <f t="shared" si="150"/>
        <v>#DIV/0!</v>
      </c>
      <c r="AM137" s="192" t="str">
        <f t="shared" si="150"/>
        <v>#DIV/0!</v>
      </c>
      <c r="AN137" s="455" t="str">
        <f t="shared" si="123"/>
        <v>#DIV/0!</v>
      </c>
      <c r="AO137" s="454" t="str">
        <f t="shared" si="124"/>
        <v>#DIV/0!</v>
      </c>
      <c r="AP137" s="454" t="str">
        <f t="shared" si="125"/>
        <v>#DIV/0!</v>
      </c>
    </row>
    <row r="138" ht="15.75" hidden="1" customHeight="1">
      <c r="A138" s="446">
        <v>135.0</v>
      </c>
      <c r="B138" s="25" t="s">
        <v>39</v>
      </c>
      <c r="C138" s="452" t="s">
        <v>444</v>
      </c>
      <c r="D138" s="56"/>
      <c r="E138" s="56"/>
      <c r="F138" s="72"/>
      <c r="G138" s="72"/>
      <c r="H138" s="72"/>
      <c r="I138" s="72"/>
      <c r="J138" s="72"/>
      <c r="K138" s="72"/>
      <c r="L138" s="72"/>
      <c r="M138" s="72"/>
      <c r="N138" s="72"/>
      <c r="O138" s="72"/>
      <c r="P138" s="72"/>
      <c r="Q138" s="72"/>
      <c r="R138" s="72"/>
      <c r="S138" s="72"/>
      <c r="T138" s="192"/>
      <c r="U138" s="192"/>
      <c r="V138" s="192"/>
      <c r="W138" s="192"/>
      <c r="X138" s="192"/>
      <c r="Y138" s="192"/>
      <c r="Z138" s="192"/>
      <c r="AA138" s="192"/>
      <c r="AB138" s="192"/>
      <c r="AC138" s="192"/>
      <c r="AD138" s="192"/>
      <c r="AE138" s="192"/>
      <c r="AF138" s="192"/>
      <c r="AG138" s="192"/>
      <c r="AH138" s="192"/>
      <c r="AI138" s="192"/>
      <c r="AJ138" s="192"/>
      <c r="AK138" s="192" t="str">
        <f t="shared" ref="AK138:AM138" si="151">AVERAGE(D138,G138,J138,M138,P138,Y138,S138,V138,AB138,AE138,AH138)</f>
        <v>#DIV/0!</v>
      </c>
      <c r="AL138" s="192" t="str">
        <f t="shared" si="151"/>
        <v>#DIV/0!</v>
      </c>
      <c r="AM138" s="192" t="str">
        <f t="shared" si="151"/>
        <v>#DIV/0!</v>
      </c>
      <c r="AN138" s="455" t="str">
        <f t="shared" si="123"/>
        <v>#DIV/0!</v>
      </c>
      <c r="AO138" s="454" t="str">
        <f t="shared" si="124"/>
        <v>#DIV/0!</v>
      </c>
      <c r="AP138" s="454" t="str">
        <f t="shared" si="125"/>
        <v>#DIV/0!</v>
      </c>
    </row>
    <row r="139" ht="15.75" hidden="1" customHeight="1">
      <c r="A139" s="446">
        <v>136.0</v>
      </c>
      <c r="B139" s="25" t="s">
        <v>39</v>
      </c>
      <c r="C139" s="452" t="s">
        <v>778</v>
      </c>
      <c r="D139" s="56"/>
      <c r="E139" s="56"/>
      <c r="F139" s="72"/>
      <c r="G139" s="72"/>
      <c r="H139" s="72"/>
      <c r="I139" s="72"/>
      <c r="J139" s="72"/>
      <c r="K139" s="72"/>
      <c r="L139" s="72"/>
      <c r="M139" s="72"/>
      <c r="N139" s="72"/>
      <c r="O139" s="72"/>
      <c r="P139" s="72"/>
      <c r="Q139" s="72"/>
      <c r="R139" s="72"/>
      <c r="S139" s="72"/>
      <c r="T139" s="192"/>
      <c r="U139" s="192"/>
      <c r="V139" s="192"/>
      <c r="W139" s="192"/>
      <c r="X139" s="192"/>
      <c r="Y139" s="192"/>
      <c r="Z139" s="192"/>
      <c r="AA139" s="192"/>
      <c r="AB139" s="192"/>
      <c r="AC139" s="192"/>
      <c r="AD139" s="192"/>
      <c r="AE139" s="192"/>
      <c r="AF139" s="192"/>
      <c r="AG139" s="192"/>
      <c r="AH139" s="192"/>
      <c r="AI139" s="192"/>
      <c r="AJ139" s="192"/>
      <c r="AK139" s="192" t="str">
        <f t="shared" ref="AK139:AM139" si="152">AVERAGE(D139,G139,J139,M139,P139,Y139,S139,V139,AB139,AE139,AH139)</f>
        <v>#DIV/0!</v>
      </c>
      <c r="AL139" s="192" t="str">
        <f t="shared" si="152"/>
        <v>#DIV/0!</v>
      </c>
      <c r="AM139" s="192" t="str">
        <f t="shared" si="152"/>
        <v>#DIV/0!</v>
      </c>
      <c r="AN139" s="455" t="str">
        <f t="shared" si="123"/>
        <v>#DIV/0!</v>
      </c>
      <c r="AO139" s="454" t="str">
        <f t="shared" si="124"/>
        <v>#DIV/0!</v>
      </c>
      <c r="AP139" s="454" t="str">
        <f t="shared" si="125"/>
        <v>#DIV/0!</v>
      </c>
    </row>
    <row r="140" ht="15.75" hidden="1" customHeight="1">
      <c r="A140" s="446">
        <v>137.0</v>
      </c>
      <c r="B140" s="25" t="s">
        <v>39</v>
      </c>
      <c r="C140" s="452" t="s">
        <v>779</v>
      </c>
      <c r="D140" s="56"/>
      <c r="E140" s="56"/>
      <c r="F140" s="72"/>
      <c r="G140" s="72"/>
      <c r="H140" s="72"/>
      <c r="I140" s="72"/>
      <c r="J140" s="72"/>
      <c r="K140" s="72"/>
      <c r="L140" s="72"/>
      <c r="M140" s="72"/>
      <c r="N140" s="72"/>
      <c r="O140" s="72"/>
      <c r="P140" s="72"/>
      <c r="Q140" s="72"/>
      <c r="R140" s="72"/>
      <c r="S140" s="72"/>
      <c r="T140" s="192"/>
      <c r="U140" s="192"/>
      <c r="V140" s="192"/>
      <c r="W140" s="192"/>
      <c r="X140" s="192"/>
      <c r="Y140" s="192"/>
      <c r="Z140" s="192"/>
      <c r="AA140" s="192"/>
      <c r="AB140" s="192"/>
      <c r="AC140" s="192"/>
      <c r="AD140" s="192"/>
      <c r="AE140" s="192"/>
      <c r="AF140" s="192"/>
      <c r="AG140" s="192"/>
      <c r="AH140" s="192"/>
      <c r="AI140" s="192"/>
      <c r="AJ140" s="192"/>
      <c r="AK140" s="192" t="str">
        <f t="shared" ref="AK140:AM140" si="153">AVERAGE(D140,G140,J140,M140,P140,Y140,S140,V140,AB140,AE140,AH140)</f>
        <v>#DIV/0!</v>
      </c>
      <c r="AL140" s="192" t="str">
        <f t="shared" si="153"/>
        <v>#DIV/0!</v>
      </c>
      <c r="AM140" s="192" t="str">
        <f t="shared" si="153"/>
        <v>#DIV/0!</v>
      </c>
      <c r="AN140" s="455" t="str">
        <f t="shared" si="123"/>
        <v>#DIV/0!</v>
      </c>
      <c r="AO140" s="454" t="str">
        <f t="shared" si="124"/>
        <v>#DIV/0!</v>
      </c>
      <c r="AP140" s="454" t="str">
        <f t="shared" si="125"/>
        <v>#DIV/0!</v>
      </c>
    </row>
    <row r="141" ht="15.75" hidden="1" customHeight="1">
      <c r="A141" s="446">
        <v>138.0</v>
      </c>
      <c r="B141" s="25" t="s">
        <v>39</v>
      </c>
      <c r="C141" s="452" t="s">
        <v>460</v>
      </c>
      <c r="D141" s="56"/>
      <c r="E141" s="56"/>
      <c r="F141" s="72"/>
      <c r="G141" s="72"/>
      <c r="H141" s="72"/>
      <c r="I141" s="72"/>
      <c r="J141" s="72"/>
      <c r="K141" s="72"/>
      <c r="L141" s="72"/>
      <c r="M141" s="72"/>
      <c r="N141" s="72"/>
      <c r="O141" s="72"/>
      <c r="P141" s="72"/>
      <c r="Q141" s="72"/>
      <c r="R141" s="72"/>
      <c r="S141" s="72"/>
      <c r="T141" s="192"/>
      <c r="U141" s="192"/>
      <c r="V141" s="192"/>
      <c r="W141" s="192"/>
      <c r="X141" s="192"/>
      <c r="Y141" s="192"/>
      <c r="Z141" s="192"/>
      <c r="AA141" s="192"/>
      <c r="AB141" s="192"/>
      <c r="AC141" s="192"/>
      <c r="AD141" s="192"/>
      <c r="AE141" s="192"/>
      <c r="AF141" s="192"/>
      <c r="AG141" s="192"/>
      <c r="AH141" s="192"/>
      <c r="AI141" s="192"/>
      <c r="AJ141" s="192"/>
      <c r="AK141" s="192" t="str">
        <f t="shared" ref="AK141:AM141" si="154">AVERAGE(D141,G141,J141,M141,P141,Y141,S141,V141,AB141,AE141,AH141)</f>
        <v>#DIV/0!</v>
      </c>
      <c r="AL141" s="192" t="str">
        <f t="shared" si="154"/>
        <v>#DIV/0!</v>
      </c>
      <c r="AM141" s="192" t="str">
        <f t="shared" si="154"/>
        <v>#DIV/0!</v>
      </c>
      <c r="AN141" s="455" t="str">
        <f t="shared" si="123"/>
        <v>#DIV/0!</v>
      </c>
      <c r="AO141" s="454" t="str">
        <f t="shared" si="124"/>
        <v>#DIV/0!</v>
      </c>
      <c r="AP141" s="454" t="str">
        <f t="shared" si="125"/>
        <v>#DIV/0!</v>
      </c>
    </row>
    <row r="142" ht="15.75" hidden="1" customHeight="1">
      <c r="A142" s="446">
        <v>139.0</v>
      </c>
      <c r="B142" s="25" t="s">
        <v>39</v>
      </c>
      <c r="C142" s="452" t="s">
        <v>780</v>
      </c>
      <c r="D142" s="56"/>
      <c r="E142" s="56"/>
      <c r="F142" s="72"/>
      <c r="G142" s="72"/>
      <c r="H142" s="72"/>
      <c r="I142" s="72"/>
      <c r="J142" s="72"/>
      <c r="K142" s="72"/>
      <c r="L142" s="72"/>
      <c r="M142" s="72"/>
      <c r="N142" s="72"/>
      <c r="O142" s="72"/>
      <c r="P142" s="72"/>
      <c r="Q142" s="72"/>
      <c r="R142" s="72"/>
      <c r="S142" s="72"/>
      <c r="T142" s="192"/>
      <c r="U142" s="192"/>
      <c r="V142" s="192"/>
      <c r="W142" s="192"/>
      <c r="X142" s="192"/>
      <c r="Y142" s="192"/>
      <c r="Z142" s="192"/>
      <c r="AA142" s="192"/>
      <c r="AB142" s="192"/>
      <c r="AC142" s="192"/>
      <c r="AD142" s="192"/>
      <c r="AE142" s="192"/>
      <c r="AF142" s="192"/>
      <c r="AG142" s="192"/>
      <c r="AH142" s="192"/>
      <c r="AI142" s="192"/>
      <c r="AJ142" s="192"/>
      <c r="AK142" s="192" t="str">
        <f t="shared" ref="AK142:AM142" si="155">AVERAGE(D142,G142,J142,M142,P142,Y142,S142,V142,AB142,AE142,AH142)</f>
        <v>#DIV/0!</v>
      </c>
      <c r="AL142" s="192" t="str">
        <f t="shared" si="155"/>
        <v>#DIV/0!</v>
      </c>
      <c r="AM142" s="192" t="str">
        <f t="shared" si="155"/>
        <v>#DIV/0!</v>
      </c>
      <c r="AN142" s="455" t="str">
        <f t="shared" si="123"/>
        <v>#DIV/0!</v>
      </c>
      <c r="AO142" s="454" t="str">
        <f t="shared" si="124"/>
        <v>#DIV/0!</v>
      </c>
      <c r="AP142" s="454" t="str">
        <f t="shared" si="125"/>
        <v>#DIV/0!</v>
      </c>
    </row>
    <row r="143" ht="15.75" hidden="1" customHeight="1">
      <c r="A143" s="446">
        <v>140.0</v>
      </c>
      <c r="B143" s="25" t="s">
        <v>39</v>
      </c>
      <c r="C143" s="452" t="s">
        <v>468</v>
      </c>
      <c r="D143" s="56"/>
      <c r="E143" s="56"/>
      <c r="F143" s="72"/>
      <c r="G143" s="72"/>
      <c r="H143" s="72"/>
      <c r="I143" s="72"/>
      <c r="J143" s="72"/>
      <c r="K143" s="72"/>
      <c r="L143" s="72"/>
      <c r="M143" s="72"/>
      <c r="N143" s="72"/>
      <c r="O143" s="72"/>
      <c r="P143" s="72"/>
      <c r="Q143" s="72"/>
      <c r="R143" s="72"/>
      <c r="S143" s="72"/>
      <c r="T143" s="192"/>
      <c r="U143" s="192"/>
      <c r="V143" s="192"/>
      <c r="W143" s="192"/>
      <c r="X143" s="192"/>
      <c r="Y143" s="192"/>
      <c r="Z143" s="192"/>
      <c r="AA143" s="192"/>
      <c r="AB143" s="192"/>
      <c r="AC143" s="192"/>
      <c r="AD143" s="192"/>
      <c r="AE143" s="192"/>
      <c r="AF143" s="192"/>
      <c r="AG143" s="192"/>
      <c r="AH143" s="192"/>
      <c r="AI143" s="192"/>
      <c r="AJ143" s="192"/>
      <c r="AK143" s="192" t="str">
        <f t="shared" ref="AK143:AM143" si="156">AVERAGE(D143,G143,J143,M143,P143,Y143,S143,V143,AB143,AE143,AH143)</f>
        <v>#DIV/0!</v>
      </c>
      <c r="AL143" s="192" t="str">
        <f t="shared" si="156"/>
        <v>#DIV/0!</v>
      </c>
      <c r="AM143" s="192" t="str">
        <f t="shared" si="156"/>
        <v>#DIV/0!</v>
      </c>
      <c r="AN143" s="455" t="str">
        <f t="shared" si="123"/>
        <v>#DIV/0!</v>
      </c>
      <c r="AO143" s="454" t="str">
        <f t="shared" si="124"/>
        <v>#DIV/0!</v>
      </c>
      <c r="AP143" s="454" t="str">
        <f t="shared" si="125"/>
        <v>#DIV/0!</v>
      </c>
    </row>
    <row r="144" ht="15.75" hidden="1" customHeight="1">
      <c r="A144" s="446">
        <v>141.0</v>
      </c>
      <c r="B144" s="25" t="s">
        <v>39</v>
      </c>
      <c r="C144" s="452" t="s">
        <v>781</v>
      </c>
      <c r="D144" s="56"/>
      <c r="E144" s="56"/>
      <c r="F144" s="72"/>
      <c r="G144" s="72"/>
      <c r="H144" s="72"/>
      <c r="I144" s="72"/>
      <c r="J144" s="72"/>
      <c r="K144" s="72"/>
      <c r="L144" s="72"/>
      <c r="M144" s="72"/>
      <c r="N144" s="72"/>
      <c r="O144" s="72"/>
      <c r="P144" s="72"/>
      <c r="Q144" s="72"/>
      <c r="R144" s="72"/>
      <c r="S144" s="72"/>
      <c r="T144" s="192"/>
      <c r="U144" s="192"/>
      <c r="V144" s="192"/>
      <c r="W144" s="192"/>
      <c r="X144" s="192"/>
      <c r="Y144" s="192"/>
      <c r="Z144" s="192"/>
      <c r="AA144" s="192"/>
      <c r="AB144" s="192"/>
      <c r="AC144" s="192"/>
      <c r="AD144" s="192"/>
      <c r="AE144" s="192"/>
      <c r="AF144" s="192"/>
      <c r="AG144" s="192"/>
      <c r="AH144" s="192"/>
      <c r="AI144" s="192"/>
      <c r="AJ144" s="192"/>
      <c r="AK144" s="192" t="str">
        <f t="shared" ref="AK144:AM144" si="157">AVERAGE(D144,G144,J144,M144,P144,Y144,S144,V144,AB144,AE144,AH144)</f>
        <v>#DIV/0!</v>
      </c>
      <c r="AL144" s="192" t="str">
        <f t="shared" si="157"/>
        <v>#DIV/0!</v>
      </c>
      <c r="AM144" s="192" t="str">
        <f t="shared" si="157"/>
        <v>#DIV/0!</v>
      </c>
      <c r="AN144" s="455" t="str">
        <f t="shared" si="123"/>
        <v>#DIV/0!</v>
      </c>
      <c r="AO144" s="454" t="str">
        <f t="shared" si="124"/>
        <v>#DIV/0!</v>
      </c>
      <c r="AP144" s="454" t="str">
        <f t="shared" si="125"/>
        <v>#DIV/0!</v>
      </c>
    </row>
    <row r="145" ht="15.75" hidden="1" customHeight="1">
      <c r="A145" s="446">
        <v>142.0</v>
      </c>
      <c r="B145" s="25" t="s">
        <v>39</v>
      </c>
      <c r="C145" s="452" t="s">
        <v>480</v>
      </c>
      <c r="D145" s="56"/>
      <c r="E145" s="56"/>
      <c r="F145" s="72"/>
      <c r="G145" s="72"/>
      <c r="H145" s="72"/>
      <c r="I145" s="72"/>
      <c r="J145" s="72"/>
      <c r="K145" s="72"/>
      <c r="L145" s="72"/>
      <c r="M145" s="72"/>
      <c r="N145" s="72"/>
      <c r="O145" s="72"/>
      <c r="P145" s="72"/>
      <c r="Q145" s="72"/>
      <c r="R145" s="72"/>
      <c r="S145" s="72"/>
      <c r="T145" s="192"/>
      <c r="U145" s="192"/>
      <c r="V145" s="192"/>
      <c r="W145" s="192"/>
      <c r="X145" s="192"/>
      <c r="Y145" s="192"/>
      <c r="Z145" s="192"/>
      <c r="AA145" s="192"/>
      <c r="AB145" s="192"/>
      <c r="AC145" s="192"/>
      <c r="AD145" s="192"/>
      <c r="AE145" s="192"/>
      <c r="AF145" s="192"/>
      <c r="AG145" s="192"/>
      <c r="AH145" s="192"/>
      <c r="AI145" s="192"/>
      <c r="AJ145" s="192"/>
      <c r="AK145" s="192" t="str">
        <f t="shared" ref="AK145:AM145" si="158">AVERAGE(D145,G145,J145,M145,P145,Y145,S145,V145,AB145,AE145,AH145)</f>
        <v>#DIV/0!</v>
      </c>
      <c r="AL145" s="192" t="str">
        <f t="shared" si="158"/>
        <v>#DIV/0!</v>
      </c>
      <c r="AM145" s="192" t="str">
        <f t="shared" si="158"/>
        <v>#DIV/0!</v>
      </c>
      <c r="AN145" s="455" t="str">
        <f t="shared" si="123"/>
        <v>#DIV/0!</v>
      </c>
      <c r="AO145" s="454" t="str">
        <f t="shared" si="124"/>
        <v>#DIV/0!</v>
      </c>
      <c r="AP145" s="454" t="str">
        <f t="shared" si="125"/>
        <v>#DIV/0!</v>
      </c>
    </row>
    <row r="146" ht="15.75" hidden="1" customHeight="1">
      <c r="A146" s="446">
        <v>143.0</v>
      </c>
      <c r="B146" s="25" t="s">
        <v>39</v>
      </c>
      <c r="C146" s="452" t="s">
        <v>782</v>
      </c>
      <c r="D146" s="56"/>
      <c r="E146" s="56"/>
      <c r="F146" s="72"/>
      <c r="G146" s="72"/>
      <c r="H146" s="72"/>
      <c r="I146" s="72"/>
      <c r="J146" s="72"/>
      <c r="K146" s="72"/>
      <c r="L146" s="72"/>
      <c r="M146" s="72"/>
      <c r="N146" s="72"/>
      <c r="O146" s="72"/>
      <c r="P146" s="72"/>
      <c r="Q146" s="72"/>
      <c r="R146" s="72"/>
      <c r="S146" s="72"/>
      <c r="T146" s="192"/>
      <c r="U146" s="192"/>
      <c r="V146" s="192"/>
      <c r="W146" s="192"/>
      <c r="X146" s="192"/>
      <c r="Y146" s="192"/>
      <c r="Z146" s="192"/>
      <c r="AA146" s="192"/>
      <c r="AB146" s="192"/>
      <c r="AC146" s="192"/>
      <c r="AD146" s="192"/>
      <c r="AE146" s="192"/>
      <c r="AF146" s="192"/>
      <c r="AG146" s="192"/>
      <c r="AH146" s="192"/>
      <c r="AI146" s="192"/>
      <c r="AJ146" s="192"/>
      <c r="AK146" s="192" t="str">
        <f t="shared" ref="AK146:AM146" si="159">AVERAGE(D146,G146,J146,M146,P146,Y146,S146,V146,AB146,AE146,AH146)</f>
        <v>#DIV/0!</v>
      </c>
      <c r="AL146" s="192" t="str">
        <f t="shared" si="159"/>
        <v>#DIV/0!</v>
      </c>
      <c r="AM146" s="192" t="str">
        <f t="shared" si="159"/>
        <v>#DIV/0!</v>
      </c>
      <c r="AN146" s="455" t="str">
        <f t="shared" si="123"/>
        <v>#DIV/0!</v>
      </c>
      <c r="AO146" s="454" t="str">
        <f t="shared" si="124"/>
        <v>#DIV/0!</v>
      </c>
      <c r="AP146" s="454" t="str">
        <f t="shared" si="125"/>
        <v>#DIV/0!</v>
      </c>
    </row>
    <row r="147" ht="15.75" hidden="1" customHeight="1">
      <c r="A147" s="446">
        <v>144.0</v>
      </c>
      <c r="B147" s="25" t="s">
        <v>39</v>
      </c>
      <c r="C147" s="452" t="s">
        <v>449</v>
      </c>
      <c r="D147" s="56"/>
      <c r="E147" s="56"/>
      <c r="F147" s="72"/>
      <c r="G147" s="72"/>
      <c r="H147" s="72"/>
      <c r="I147" s="72"/>
      <c r="J147" s="72"/>
      <c r="K147" s="72"/>
      <c r="L147" s="72"/>
      <c r="M147" s="72"/>
      <c r="N147" s="72"/>
      <c r="O147" s="72"/>
      <c r="P147" s="72"/>
      <c r="Q147" s="72"/>
      <c r="R147" s="72"/>
      <c r="S147" s="72"/>
      <c r="T147" s="192"/>
      <c r="U147" s="192"/>
      <c r="V147" s="192"/>
      <c r="W147" s="192"/>
      <c r="X147" s="192"/>
      <c r="Y147" s="192"/>
      <c r="Z147" s="192"/>
      <c r="AA147" s="192"/>
      <c r="AB147" s="192"/>
      <c r="AC147" s="192"/>
      <c r="AD147" s="192"/>
      <c r="AE147" s="192"/>
      <c r="AF147" s="192"/>
      <c r="AG147" s="192"/>
      <c r="AH147" s="192"/>
      <c r="AI147" s="192"/>
      <c r="AJ147" s="192"/>
      <c r="AK147" s="192" t="str">
        <f t="shared" ref="AK147:AM147" si="160">AVERAGE(D147,G147,J147,M147,P147,Y147,S147,V147,AB147,AE147,AH147)</f>
        <v>#DIV/0!</v>
      </c>
      <c r="AL147" s="192" t="str">
        <f t="shared" si="160"/>
        <v>#DIV/0!</v>
      </c>
      <c r="AM147" s="192" t="str">
        <f t="shared" si="160"/>
        <v>#DIV/0!</v>
      </c>
      <c r="AN147" s="455" t="str">
        <f t="shared" si="123"/>
        <v>#DIV/0!</v>
      </c>
      <c r="AO147" s="454" t="str">
        <f t="shared" si="124"/>
        <v>#DIV/0!</v>
      </c>
      <c r="AP147" s="454" t="str">
        <f t="shared" si="125"/>
        <v>#DIV/0!</v>
      </c>
    </row>
    <row r="148" ht="15.75" hidden="1" customHeight="1">
      <c r="A148" s="446">
        <v>145.0</v>
      </c>
      <c r="B148" s="25" t="s">
        <v>39</v>
      </c>
      <c r="C148" s="452" t="s">
        <v>783</v>
      </c>
      <c r="D148" s="56"/>
      <c r="E148" s="56"/>
      <c r="F148" s="72"/>
      <c r="G148" s="72"/>
      <c r="H148" s="72"/>
      <c r="I148" s="72"/>
      <c r="J148" s="72"/>
      <c r="K148" s="72"/>
      <c r="L148" s="72"/>
      <c r="M148" s="72"/>
      <c r="N148" s="72"/>
      <c r="O148" s="72"/>
      <c r="P148" s="72"/>
      <c r="Q148" s="72"/>
      <c r="R148" s="72"/>
      <c r="S148" s="72"/>
      <c r="T148" s="192"/>
      <c r="U148" s="192"/>
      <c r="V148" s="192"/>
      <c r="W148" s="192"/>
      <c r="X148" s="192"/>
      <c r="Y148" s="192"/>
      <c r="Z148" s="192"/>
      <c r="AA148" s="192"/>
      <c r="AB148" s="192"/>
      <c r="AC148" s="192"/>
      <c r="AD148" s="192"/>
      <c r="AE148" s="192"/>
      <c r="AF148" s="192"/>
      <c r="AG148" s="192"/>
      <c r="AH148" s="192"/>
      <c r="AI148" s="192"/>
      <c r="AJ148" s="192"/>
      <c r="AK148" s="192" t="str">
        <f t="shared" ref="AK148:AM148" si="161">AVERAGE(D148,G148,J148,M148,P148,Y148,S148,V148,AB148,AE148,AH148)</f>
        <v>#DIV/0!</v>
      </c>
      <c r="AL148" s="192" t="str">
        <f t="shared" si="161"/>
        <v>#DIV/0!</v>
      </c>
      <c r="AM148" s="192" t="str">
        <f t="shared" si="161"/>
        <v>#DIV/0!</v>
      </c>
      <c r="AN148" s="455" t="str">
        <f t="shared" si="123"/>
        <v>#DIV/0!</v>
      </c>
      <c r="AO148" s="454" t="str">
        <f t="shared" si="124"/>
        <v>#DIV/0!</v>
      </c>
      <c r="AP148" s="454" t="str">
        <f t="shared" si="125"/>
        <v>#DIV/0!</v>
      </c>
    </row>
    <row r="149" ht="15.75" hidden="1" customHeight="1">
      <c r="A149" s="446">
        <v>146.0</v>
      </c>
      <c r="B149" s="25" t="s">
        <v>39</v>
      </c>
      <c r="C149" s="452" t="s">
        <v>784</v>
      </c>
      <c r="D149" s="56"/>
      <c r="E149" s="56"/>
      <c r="F149" s="72"/>
      <c r="G149" s="72"/>
      <c r="H149" s="72"/>
      <c r="I149" s="72"/>
      <c r="J149" s="72"/>
      <c r="K149" s="72"/>
      <c r="L149" s="72"/>
      <c r="M149" s="72"/>
      <c r="N149" s="72"/>
      <c r="O149" s="72"/>
      <c r="P149" s="72"/>
      <c r="Q149" s="72"/>
      <c r="R149" s="72"/>
      <c r="S149" s="72"/>
      <c r="T149" s="192"/>
      <c r="U149" s="192"/>
      <c r="V149" s="192"/>
      <c r="W149" s="192"/>
      <c r="X149" s="192"/>
      <c r="Y149" s="192"/>
      <c r="Z149" s="192"/>
      <c r="AA149" s="192"/>
      <c r="AB149" s="192"/>
      <c r="AC149" s="192"/>
      <c r="AD149" s="192"/>
      <c r="AE149" s="192"/>
      <c r="AF149" s="192"/>
      <c r="AG149" s="192"/>
      <c r="AH149" s="192"/>
      <c r="AI149" s="192"/>
      <c r="AJ149" s="192"/>
      <c r="AK149" s="192" t="str">
        <f t="shared" ref="AK149:AM149" si="162">AVERAGE(D149,G149,J149,M149,P149,Y149,S149,V149,AB149,AE149,AH149)</f>
        <v>#DIV/0!</v>
      </c>
      <c r="AL149" s="192" t="str">
        <f t="shared" si="162"/>
        <v>#DIV/0!</v>
      </c>
      <c r="AM149" s="192" t="str">
        <f t="shared" si="162"/>
        <v>#DIV/0!</v>
      </c>
      <c r="AN149" s="455" t="str">
        <f t="shared" si="123"/>
        <v>#DIV/0!</v>
      </c>
      <c r="AO149" s="454" t="str">
        <f t="shared" si="124"/>
        <v>#DIV/0!</v>
      </c>
      <c r="AP149" s="454" t="str">
        <f t="shared" si="125"/>
        <v>#DIV/0!</v>
      </c>
    </row>
    <row r="150" ht="15.75" hidden="1" customHeight="1">
      <c r="A150" s="446">
        <v>147.0</v>
      </c>
      <c r="B150" s="25" t="s">
        <v>39</v>
      </c>
      <c r="C150" s="452" t="s">
        <v>484</v>
      </c>
      <c r="D150" s="56"/>
      <c r="E150" s="56"/>
      <c r="F150" s="72"/>
      <c r="G150" s="72"/>
      <c r="H150" s="72"/>
      <c r="I150" s="72"/>
      <c r="J150" s="72"/>
      <c r="K150" s="72"/>
      <c r="L150" s="72"/>
      <c r="M150" s="72"/>
      <c r="N150" s="72"/>
      <c r="O150" s="72"/>
      <c r="P150" s="72"/>
      <c r="Q150" s="72"/>
      <c r="R150" s="72"/>
      <c r="S150" s="72"/>
      <c r="T150" s="192"/>
      <c r="U150" s="192"/>
      <c r="V150" s="192"/>
      <c r="W150" s="192"/>
      <c r="X150" s="192"/>
      <c r="Y150" s="192"/>
      <c r="Z150" s="192"/>
      <c r="AA150" s="192"/>
      <c r="AB150" s="192"/>
      <c r="AC150" s="192"/>
      <c r="AD150" s="192"/>
      <c r="AE150" s="192"/>
      <c r="AF150" s="192"/>
      <c r="AG150" s="192"/>
      <c r="AH150" s="192"/>
      <c r="AI150" s="192"/>
      <c r="AJ150" s="192"/>
      <c r="AK150" s="192" t="str">
        <f t="shared" ref="AK150:AM150" si="163">AVERAGE(D150,G150,J150,M150,P150,Y150,S150,V150,AB150,AE150,AH150)</f>
        <v>#DIV/0!</v>
      </c>
      <c r="AL150" s="192" t="str">
        <f t="shared" si="163"/>
        <v>#DIV/0!</v>
      </c>
      <c r="AM150" s="192" t="str">
        <f t="shared" si="163"/>
        <v>#DIV/0!</v>
      </c>
      <c r="AN150" s="455" t="str">
        <f t="shared" si="123"/>
        <v>#DIV/0!</v>
      </c>
      <c r="AO150" s="454" t="str">
        <f t="shared" si="124"/>
        <v>#DIV/0!</v>
      </c>
      <c r="AP150" s="454" t="str">
        <f t="shared" si="125"/>
        <v>#DIV/0!</v>
      </c>
    </row>
    <row r="151" ht="15.75" hidden="1" customHeight="1">
      <c r="A151" s="446">
        <v>148.0</v>
      </c>
      <c r="B151" s="25" t="s">
        <v>39</v>
      </c>
      <c r="C151" s="452" t="s">
        <v>785</v>
      </c>
      <c r="D151" s="56"/>
      <c r="E151" s="56"/>
      <c r="F151" s="72"/>
      <c r="G151" s="72"/>
      <c r="H151" s="72"/>
      <c r="I151" s="72"/>
      <c r="J151" s="72"/>
      <c r="K151" s="72"/>
      <c r="L151" s="72"/>
      <c r="M151" s="72"/>
      <c r="N151" s="72"/>
      <c r="O151" s="72"/>
      <c r="P151" s="72"/>
      <c r="Q151" s="72"/>
      <c r="R151" s="72"/>
      <c r="S151" s="72"/>
      <c r="T151" s="192"/>
      <c r="U151" s="192"/>
      <c r="V151" s="192"/>
      <c r="W151" s="192"/>
      <c r="X151" s="192"/>
      <c r="Y151" s="192"/>
      <c r="Z151" s="192"/>
      <c r="AA151" s="192"/>
      <c r="AB151" s="192"/>
      <c r="AC151" s="192"/>
      <c r="AD151" s="192"/>
      <c r="AE151" s="192"/>
      <c r="AF151" s="192"/>
      <c r="AG151" s="192"/>
      <c r="AH151" s="192"/>
      <c r="AI151" s="192"/>
      <c r="AJ151" s="192"/>
      <c r="AK151" s="192" t="str">
        <f t="shared" ref="AK151:AM151" si="164">AVERAGE(D151,G151,J151,M151,P151,Y151,S151,V151,AB151,AE151,AH151)</f>
        <v>#DIV/0!</v>
      </c>
      <c r="AL151" s="192" t="str">
        <f t="shared" si="164"/>
        <v>#DIV/0!</v>
      </c>
      <c r="AM151" s="192" t="str">
        <f t="shared" si="164"/>
        <v>#DIV/0!</v>
      </c>
      <c r="AN151" s="455" t="str">
        <f t="shared" si="123"/>
        <v>#DIV/0!</v>
      </c>
      <c r="AO151" s="454" t="str">
        <f t="shared" si="124"/>
        <v>#DIV/0!</v>
      </c>
      <c r="AP151" s="454" t="str">
        <f t="shared" si="125"/>
        <v>#DIV/0!</v>
      </c>
    </row>
    <row r="152" ht="15.75" hidden="1" customHeight="1">
      <c r="A152" s="446">
        <v>149.0</v>
      </c>
      <c r="B152" s="25" t="s">
        <v>39</v>
      </c>
      <c r="C152" s="452" t="s">
        <v>786</v>
      </c>
      <c r="D152" s="56"/>
      <c r="E152" s="56"/>
      <c r="F152" s="72"/>
      <c r="G152" s="72"/>
      <c r="H152" s="72"/>
      <c r="I152" s="72"/>
      <c r="J152" s="72"/>
      <c r="K152" s="72"/>
      <c r="L152" s="72"/>
      <c r="M152" s="72"/>
      <c r="N152" s="72"/>
      <c r="O152" s="72"/>
      <c r="P152" s="72"/>
      <c r="Q152" s="72"/>
      <c r="R152" s="72"/>
      <c r="S152" s="72"/>
      <c r="T152" s="192"/>
      <c r="U152" s="192"/>
      <c r="V152" s="192"/>
      <c r="W152" s="192"/>
      <c r="X152" s="192"/>
      <c r="Y152" s="192"/>
      <c r="Z152" s="192"/>
      <c r="AA152" s="192"/>
      <c r="AB152" s="192"/>
      <c r="AC152" s="192"/>
      <c r="AD152" s="192"/>
      <c r="AE152" s="192"/>
      <c r="AF152" s="192"/>
      <c r="AG152" s="192"/>
      <c r="AH152" s="192"/>
      <c r="AI152" s="192"/>
      <c r="AJ152" s="192"/>
      <c r="AK152" s="192" t="str">
        <f t="shared" ref="AK152:AM152" si="165">AVERAGE(D152,G152,J152,M152,P152,Y152,S152,V152,AB152,AE152,AH152)</f>
        <v>#DIV/0!</v>
      </c>
      <c r="AL152" s="192" t="str">
        <f t="shared" si="165"/>
        <v>#DIV/0!</v>
      </c>
      <c r="AM152" s="192" t="str">
        <f t="shared" si="165"/>
        <v>#DIV/0!</v>
      </c>
      <c r="AN152" s="455" t="str">
        <f t="shared" si="123"/>
        <v>#DIV/0!</v>
      </c>
      <c r="AO152" s="454" t="str">
        <f t="shared" si="124"/>
        <v>#DIV/0!</v>
      </c>
      <c r="AP152" s="454" t="str">
        <f t="shared" si="125"/>
        <v>#DIV/0!</v>
      </c>
    </row>
    <row r="153" ht="15.75" hidden="1" customHeight="1">
      <c r="A153" s="446">
        <v>150.0</v>
      </c>
      <c r="B153" s="25" t="s">
        <v>39</v>
      </c>
      <c r="C153" s="452" t="s">
        <v>787</v>
      </c>
      <c r="D153" s="56"/>
      <c r="E153" s="56"/>
      <c r="F153" s="72"/>
      <c r="G153" s="72"/>
      <c r="H153" s="72"/>
      <c r="I153" s="72"/>
      <c r="J153" s="72"/>
      <c r="K153" s="72"/>
      <c r="L153" s="72"/>
      <c r="M153" s="72"/>
      <c r="N153" s="72"/>
      <c r="O153" s="72"/>
      <c r="P153" s="72"/>
      <c r="Q153" s="72"/>
      <c r="R153" s="72"/>
      <c r="S153" s="72"/>
      <c r="T153" s="192"/>
      <c r="U153" s="192"/>
      <c r="V153" s="192"/>
      <c r="W153" s="192"/>
      <c r="X153" s="192"/>
      <c r="Y153" s="192"/>
      <c r="Z153" s="192"/>
      <c r="AA153" s="192"/>
      <c r="AB153" s="192"/>
      <c r="AC153" s="192"/>
      <c r="AD153" s="192"/>
      <c r="AE153" s="192"/>
      <c r="AF153" s="192"/>
      <c r="AG153" s="192"/>
      <c r="AH153" s="192"/>
      <c r="AI153" s="192"/>
      <c r="AJ153" s="192"/>
      <c r="AK153" s="192" t="str">
        <f t="shared" ref="AK153:AM153" si="166">AVERAGE(D153,G153,J153,M153,P153,Y153,S153,V153,AB153,AE153,AH153)</f>
        <v>#DIV/0!</v>
      </c>
      <c r="AL153" s="192" t="str">
        <f t="shared" si="166"/>
        <v>#DIV/0!</v>
      </c>
      <c r="AM153" s="192" t="str">
        <f t="shared" si="166"/>
        <v>#DIV/0!</v>
      </c>
      <c r="AN153" s="455" t="str">
        <f t="shared" si="123"/>
        <v>#DIV/0!</v>
      </c>
      <c r="AO153" s="454" t="str">
        <f t="shared" si="124"/>
        <v>#DIV/0!</v>
      </c>
      <c r="AP153" s="454" t="str">
        <f t="shared" si="125"/>
        <v>#DIV/0!</v>
      </c>
    </row>
    <row r="154" ht="15.75" hidden="1" customHeight="1">
      <c r="A154" s="446">
        <v>151.0</v>
      </c>
      <c r="B154" s="25" t="s">
        <v>39</v>
      </c>
      <c r="C154" s="452" t="s">
        <v>788</v>
      </c>
      <c r="D154" s="56"/>
      <c r="E154" s="56"/>
      <c r="F154" s="72"/>
      <c r="G154" s="72"/>
      <c r="H154" s="72"/>
      <c r="I154" s="72"/>
      <c r="J154" s="72"/>
      <c r="K154" s="72"/>
      <c r="L154" s="72"/>
      <c r="M154" s="72"/>
      <c r="N154" s="72"/>
      <c r="O154" s="72"/>
      <c r="P154" s="72"/>
      <c r="Q154" s="72"/>
      <c r="R154" s="72"/>
      <c r="S154" s="72"/>
      <c r="T154" s="192"/>
      <c r="U154" s="192"/>
      <c r="V154" s="192"/>
      <c r="W154" s="192"/>
      <c r="X154" s="192"/>
      <c r="Y154" s="192"/>
      <c r="Z154" s="192"/>
      <c r="AA154" s="192"/>
      <c r="AB154" s="192"/>
      <c r="AC154" s="192"/>
      <c r="AD154" s="192"/>
      <c r="AE154" s="192"/>
      <c r="AF154" s="192"/>
      <c r="AG154" s="192"/>
      <c r="AH154" s="192"/>
      <c r="AI154" s="192"/>
      <c r="AJ154" s="192"/>
      <c r="AK154" s="192" t="str">
        <f t="shared" ref="AK154:AM154" si="167">AVERAGE(D154,G154,J154,M154,P154,Y154,S154,V154,AB154,AE154,AH154)</f>
        <v>#DIV/0!</v>
      </c>
      <c r="AL154" s="192" t="str">
        <f t="shared" si="167"/>
        <v>#DIV/0!</v>
      </c>
      <c r="AM154" s="192" t="str">
        <f t="shared" si="167"/>
        <v>#DIV/0!</v>
      </c>
      <c r="AN154" s="455" t="str">
        <f t="shared" si="123"/>
        <v>#DIV/0!</v>
      </c>
      <c r="AO154" s="454" t="str">
        <f t="shared" si="124"/>
        <v>#DIV/0!</v>
      </c>
      <c r="AP154" s="454" t="str">
        <f t="shared" si="125"/>
        <v>#DIV/0!</v>
      </c>
    </row>
    <row r="155" ht="15.75" hidden="1" customHeight="1">
      <c r="A155" s="446">
        <v>152.0</v>
      </c>
      <c r="B155" s="25" t="s">
        <v>39</v>
      </c>
      <c r="C155" s="452" t="s">
        <v>789</v>
      </c>
      <c r="D155" s="56"/>
      <c r="E155" s="56"/>
      <c r="F155" s="72"/>
      <c r="G155" s="72"/>
      <c r="H155" s="72"/>
      <c r="I155" s="72"/>
      <c r="J155" s="72"/>
      <c r="K155" s="72"/>
      <c r="L155" s="72"/>
      <c r="M155" s="72"/>
      <c r="N155" s="72"/>
      <c r="O155" s="72"/>
      <c r="P155" s="72"/>
      <c r="Q155" s="72"/>
      <c r="R155" s="72"/>
      <c r="S155" s="72"/>
      <c r="T155" s="192"/>
      <c r="U155" s="192"/>
      <c r="V155" s="192"/>
      <c r="W155" s="192"/>
      <c r="X155" s="192"/>
      <c r="Y155" s="192"/>
      <c r="Z155" s="192"/>
      <c r="AA155" s="192"/>
      <c r="AB155" s="192"/>
      <c r="AC155" s="192"/>
      <c r="AD155" s="192"/>
      <c r="AE155" s="192"/>
      <c r="AF155" s="192"/>
      <c r="AG155" s="192"/>
      <c r="AH155" s="192"/>
      <c r="AI155" s="192"/>
      <c r="AJ155" s="192"/>
      <c r="AK155" s="192" t="str">
        <f t="shared" ref="AK155:AM155" si="168">AVERAGE(D155,G155,J155,M155,P155,Y155,S155,V155,AB155,AE155,AH155)</f>
        <v>#DIV/0!</v>
      </c>
      <c r="AL155" s="192" t="str">
        <f t="shared" si="168"/>
        <v>#DIV/0!</v>
      </c>
      <c r="AM155" s="192" t="str">
        <f t="shared" si="168"/>
        <v>#DIV/0!</v>
      </c>
      <c r="AN155" s="455" t="str">
        <f t="shared" si="123"/>
        <v>#DIV/0!</v>
      </c>
      <c r="AO155" s="454" t="str">
        <f t="shared" si="124"/>
        <v>#DIV/0!</v>
      </c>
      <c r="AP155" s="454" t="str">
        <f t="shared" si="125"/>
        <v>#DIV/0!</v>
      </c>
    </row>
    <row r="156" ht="15.75" hidden="1" customHeight="1">
      <c r="A156" s="446">
        <v>153.0</v>
      </c>
      <c r="B156" s="25" t="s">
        <v>38</v>
      </c>
      <c r="C156" s="452" t="s">
        <v>807</v>
      </c>
      <c r="D156" s="56"/>
      <c r="E156" s="56"/>
      <c r="F156" s="72"/>
      <c r="G156" s="72"/>
      <c r="H156" s="72"/>
      <c r="I156" s="72"/>
      <c r="J156" s="72"/>
      <c r="K156" s="72"/>
      <c r="L156" s="72"/>
      <c r="M156" s="72"/>
      <c r="N156" s="72"/>
      <c r="O156" s="72"/>
      <c r="P156" s="72"/>
      <c r="Q156" s="72"/>
      <c r="R156" s="72"/>
      <c r="S156" s="72"/>
      <c r="T156" s="192"/>
      <c r="U156" s="192"/>
      <c r="V156" s="192"/>
      <c r="W156" s="192"/>
      <c r="X156" s="192"/>
      <c r="Y156" s="192"/>
      <c r="Z156" s="192"/>
      <c r="AA156" s="192"/>
      <c r="AB156" s="192"/>
      <c r="AC156" s="192"/>
      <c r="AD156" s="192"/>
      <c r="AE156" s="192"/>
      <c r="AF156" s="192"/>
      <c r="AG156" s="192"/>
      <c r="AH156" s="192"/>
      <c r="AI156" s="192"/>
      <c r="AJ156" s="192"/>
      <c r="AK156" s="192" t="str">
        <f t="shared" ref="AK156:AM156" si="169">AVERAGE(D156,G156,J156,M156,P156,Y156,S156,V156,AB156,AE156,AH156)</f>
        <v>#DIV/0!</v>
      </c>
      <c r="AL156" s="192" t="str">
        <f t="shared" si="169"/>
        <v>#DIV/0!</v>
      </c>
      <c r="AM156" s="192" t="str">
        <f t="shared" si="169"/>
        <v>#DIV/0!</v>
      </c>
      <c r="AN156" s="455" t="str">
        <f t="shared" ref="AN156:AN181" si="171">RANK(AK156,$AK$156:$AK$210)</f>
        <v>#DIV/0!</v>
      </c>
      <c r="AO156" s="454" t="str">
        <f t="shared" ref="AO156:AO181" si="172">RANK(AL156,$AL$156:$AL$210)</f>
        <v>#DIV/0!</v>
      </c>
      <c r="AP156" s="454" t="str">
        <f t="shared" ref="AP156:AP181" si="173">RANK(AM155,$AM$155:$AM$210)</f>
        <v>#DIV/0!</v>
      </c>
    </row>
    <row r="157" ht="15.75" hidden="1" customHeight="1">
      <c r="A157" s="446">
        <v>154.0</v>
      </c>
      <c r="B157" s="25" t="s">
        <v>38</v>
      </c>
      <c r="C157" s="452" t="s">
        <v>808</v>
      </c>
      <c r="D157" s="56"/>
      <c r="E157" s="56"/>
      <c r="F157" s="72"/>
      <c r="G157" s="72"/>
      <c r="H157" s="72"/>
      <c r="I157" s="72"/>
      <c r="J157" s="72"/>
      <c r="K157" s="72"/>
      <c r="L157" s="72"/>
      <c r="M157" s="72"/>
      <c r="N157" s="72"/>
      <c r="O157" s="72"/>
      <c r="P157" s="72"/>
      <c r="Q157" s="72"/>
      <c r="R157" s="72"/>
      <c r="S157" s="72"/>
      <c r="T157" s="192"/>
      <c r="U157" s="192"/>
      <c r="V157" s="192"/>
      <c r="W157" s="192"/>
      <c r="X157" s="192"/>
      <c r="Y157" s="192"/>
      <c r="Z157" s="192"/>
      <c r="AA157" s="192"/>
      <c r="AB157" s="192"/>
      <c r="AC157" s="192"/>
      <c r="AD157" s="192"/>
      <c r="AE157" s="192"/>
      <c r="AF157" s="192"/>
      <c r="AG157" s="192"/>
      <c r="AH157" s="192"/>
      <c r="AI157" s="192"/>
      <c r="AJ157" s="192"/>
      <c r="AK157" s="192" t="str">
        <f t="shared" ref="AK157:AM157" si="170">AVERAGE(D157,G157,J157,M157,P157,Y157,S157,V157,AB157,AE157,AH157)</f>
        <v>#DIV/0!</v>
      </c>
      <c r="AL157" s="192" t="str">
        <f t="shared" si="170"/>
        <v>#DIV/0!</v>
      </c>
      <c r="AM157" s="192" t="str">
        <f t="shared" si="170"/>
        <v>#DIV/0!</v>
      </c>
      <c r="AN157" s="455" t="str">
        <f t="shared" si="171"/>
        <v>#DIV/0!</v>
      </c>
      <c r="AO157" s="454" t="str">
        <f t="shared" si="172"/>
        <v>#DIV/0!</v>
      </c>
      <c r="AP157" s="454" t="str">
        <f t="shared" si="173"/>
        <v>#DIV/0!</v>
      </c>
    </row>
    <row r="158" ht="15.75" hidden="1" customHeight="1">
      <c r="A158" s="446">
        <v>155.0</v>
      </c>
      <c r="B158" s="25" t="s">
        <v>38</v>
      </c>
      <c r="C158" s="452" t="s">
        <v>809</v>
      </c>
      <c r="D158" s="56"/>
      <c r="E158" s="56"/>
      <c r="F158" s="72"/>
      <c r="G158" s="72"/>
      <c r="H158" s="72"/>
      <c r="I158" s="72"/>
      <c r="J158" s="72"/>
      <c r="K158" s="72"/>
      <c r="L158" s="72"/>
      <c r="M158" s="72"/>
      <c r="N158" s="72"/>
      <c r="O158" s="72"/>
      <c r="P158" s="72"/>
      <c r="Q158" s="72"/>
      <c r="R158" s="72"/>
      <c r="S158" s="72"/>
      <c r="T158" s="192"/>
      <c r="U158" s="192"/>
      <c r="V158" s="192"/>
      <c r="W158" s="192"/>
      <c r="X158" s="192"/>
      <c r="Y158" s="192"/>
      <c r="Z158" s="192"/>
      <c r="AA158" s="192"/>
      <c r="AB158" s="192"/>
      <c r="AC158" s="192"/>
      <c r="AD158" s="192"/>
      <c r="AE158" s="192"/>
      <c r="AF158" s="192"/>
      <c r="AG158" s="192"/>
      <c r="AH158" s="192"/>
      <c r="AI158" s="192"/>
      <c r="AJ158" s="192"/>
      <c r="AK158" s="192" t="str">
        <f t="shared" ref="AK158:AM158" si="174">AVERAGE(D158,G158,J158,M158,P158,Y158,S158,V158,AB158,AE158,AH158)</f>
        <v>#DIV/0!</v>
      </c>
      <c r="AL158" s="192" t="str">
        <f t="shared" si="174"/>
        <v>#DIV/0!</v>
      </c>
      <c r="AM158" s="192" t="str">
        <f t="shared" si="174"/>
        <v>#DIV/0!</v>
      </c>
      <c r="AN158" s="455" t="str">
        <f t="shared" si="171"/>
        <v>#DIV/0!</v>
      </c>
      <c r="AO158" s="454" t="str">
        <f t="shared" si="172"/>
        <v>#DIV/0!</v>
      </c>
      <c r="AP158" s="454" t="str">
        <f t="shared" si="173"/>
        <v>#DIV/0!</v>
      </c>
    </row>
    <row r="159" ht="15.75" hidden="1" customHeight="1">
      <c r="A159" s="446">
        <v>156.0</v>
      </c>
      <c r="B159" s="25" t="s">
        <v>38</v>
      </c>
      <c r="C159" s="452" t="s">
        <v>810</v>
      </c>
      <c r="D159" s="56"/>
      <c r="E159" s="56"/>
      <c r="F159" s="72"/>
      <c r="G159" s="72"/>
      <c r="H159" s="72"/>
      <c r="I159" s="72"/>
      <c r="J159" s="72"/>
      <c r="K159" s="72"/>
      <c r="L159" s="72"/>
      <c r="M159" s="72"/>
      <c r="N159" s="72"/>
      <c r="O159" s="72"/>
      <c r="P159" s="72"/>
      <c r="Q159" s="72"/>
      <c r="R159" s="72"/>
      <c r="S159" s="72"/>
      <c r="T159" s="192"/>
      <c r="U159" s="192"/>
      <c r="V159" s="192"/>
      <c r="W159" s="192"/>
      <c r="X159" s="192"/>
      <c r="Y159" s="192"/>
      <c r="Z159" s="192"/>
      <c r="AA159" s="192"/>
      <c r="AB159" s="192"/>
      <c r="AC159" s="192"/>
      <c r="AD159" s="192"/>
      <c r="AE159" s="192"/>
      <c r="AF159" s="192"/>
      <c r="AG159" s="192"/>
      <c r="AH159" s="192"/>
      <c r="AI159" s="192"/>
      <c r="AJ159" s="192"/>
      <c r="AK159" s="192" t="str">
        <f t="shared" ref="AK159:AM159" si="175">AVERAGE(D159,G159,J159,M159,P159,Y159,S159,V159,AB159,AE159,AH159)</f>
        <v>#DIV/0!</v>
      </c>
      <c r="AL159" s="192" t="str">
        <f t="shared" si="175"/>
        <v>#DIV/0!</v>
      </c>
      <c r="AM159" s="192" t="str">
        <f t="shared" si="175"/>
        <v>#DIV/0!</v>
      </c>
      <c r="AN159" s="455" t="str">
        <f t="shared" si="171"/>
        <v>#DIV/0!</v>
      </c>
      <c r="AO159" s="454" t="str">
        <f t="shared" si="172"/>
        <v>#DIV/0!</v>
      </c>
      <c r="AP159" s="454" t="str">
        <f t="shared" si="173"/>
        <v>#DIV/0!</v>
      </c>
    </row>
    <row r="160" ht="15.75" hidden="1" customHeight="1">
      <c r="A160" s="446">
        <v>157.0</v>
      </c>
      <c r="B160" s="25" t="s">
        <v>38</v>
      </c>
      <c r="C160" s="452" t="s">
        <v>811</v>
      </c>
      <c r="D160" s="56"/>
      <c r="E160" s="56"/>
      <c r="F160" s="72"/>
      <c r="G160" s="72"/>
      <c r="H160" s="72"/>
      <c r="I160" s="72"/>
      <c r="J160" s="72"/>
      <c r="K160" s="72"/>
      <c r="L160" s="72"/>
      <c r="M160" s="72"/>
      <c r="N160" s="72"/>
      <c r="O160" s="72"/>
      <c r="P160" s="72"/>
      <c r="Q160" s="72"/>
      <c r="R160" s="72"/>
      <c r="S160" s="72"/>
      <c r="T160" s="192"/>
      <c r="U160" s="192"/>
      <c r="V160" s="192"/>
      <c r="W160" s="192"/>
      <c r="X160" s="192"/>
      <c r="Y160" s="192"/>
      <c r="Z160" s="192"/>
      <c r="AA160" s="192"/>
      <c r="AB160" s="192"/>
      <c r="AC160" s="192"/>
      <c r="AD160" s="192"/>
      <c r="AE160" s="192"/>
      <c r="AF160" s="192"/>
      <c r="AG160" s="192"/>
      <c r="AH160" s="192"/>
      <c r="AI160" s="192"/>
      <c r="AJ160" s="192"/>
      <c r="AK160" s="192" t="str">
        <f t="shared" ref="AK160:AM160" si="176">AVERAGE(D160,G160,J160,M160,P160,Y160,S160,V160,AB160,AE160,AH160)</f>
        <v>#DIV/0!</v>
      </c>
      <c r="AL160" s="192" t="str">
        <f t="shared" si="176"/>
        <v>#DIV/0!</v>
      </c>
      <c r="AM160" s="192" t="str">
        <f t="shared" si="176"/>
        <v>#DIV/0!</v>
      </c>
      <c r="AN160" s="455" t="str">
        <f t="shared" si="171"/>
        <v>#DIV/0!</v>
      </c>
      <c r="AO160" s="454" t="str">
        <f t="shared" si="172"/>
        <v>#DIV/0!</v>
      </c>
      <c r="AP160" s="454" t="str">
        <f t="shared" si="173"/>
        <v>#DIV/0!</v>
      </c>
    </row>
    <row r="161" ht="15.75" hidden="1" customHeight="1">
      <c r="A161" s="446">
        <v>158.0</v>
      </c>
      <c r="B161" s="25" t="s">
        <v>38</v>
      </c>
      <c r="C161" s="452" t="s">
        <v>812</v>
      </c>
      <c r="D161" s="56"/>
      <c r="E161" s="56"/>
      <c r="F161" s="72"/>
      <c r="G161" s="72"/>
      <c r="H161" s="72"/>
      <c r="I161" s="72"/>
      <c r="J161" s="72"/>
      <c r="K161" s="72"/>
      <c r="L161" s="72"/>
      <c r="M161" s="72"/>
      <c r="N161" s="72"/>
      <c r="O161" s="72"/>
      <c r="P161" s="72"/>
      <c r="Q161" s="72"/>
      <c r="R161" s="72"/>
      <c r="S161" s="72"/>
      <c r="T161" s="192"/>
      <c r="U161" s="192"/>
      <c r="V161" s="192"/>
      <c r="W161" s="192"/>
      <c r="X161" s="192"/>
      <c r="Y161" s="192"/>
      <c r="Z161" s="192"/>
      <c r="AA161" s="192"/>
      <c r="AB161" s="192"/>
      <c r="AC161" s="192"/>
      <c r="AD161" s="192"/>
      <c r="AE161" s="192"/>
      <c r="AF161" s="192"/>
      <c r="AG161" s="192"/>
      <c r="AH161" s="192"/>
      <c r="AI161" s="192"/>
      <c r="AJ161" s="192"/>
      <c r="AK161" s="192" t="str">
        <f t="shared" ref="AK161:AM161" si="177">AVERAGE(D161,G161,J161,M161,P161,Y161,S161,V161,AB161,AE161,AH161)</f>
        <v>#DIV/0!</v>
      </c>
      <c r="AL161" s="192" t="str">
        <f t="shared" si="177"/>
        <v>#DIV/0!</v>
      </c>
      <c r="AM161" s="192" t="str">
        <f t="shared" si="177"/>
        <v>#DIV/0!</v>
      </c>
      <c r="AN161" s="455" t="str">
        <f t="shared" si="171"/>
        <v>#DIV/0!</v>
      </c>
      <c r="AO161" s="454" t="str">
        <f t="shared" si="172"/>
        <v>#DIV/0!</v>
      </c>
      <c r="AP161" s="454" t="str">
        <f t="shared" si="173"/>
        <v>#DIV/0!</v>
      </c>
    </row>
    <row r="162" ht="15.75" hidden="1" customHeight="1">
      <c r="A162" s="446">
        <v>159.0</v>
      </c>
      <c r="B162" s="25" t="s">
        <v>38</v>
      </c>
      <c r="C162" s="452" t="s">
        <v>813</v>
      </c>
      <c r="D162" s="56"/>
      <c r="E162" s="56"/>
      <c r="F162" s="72"/>
      <c r="G162" s="72"/>
      <c r="H162" s="72"/>
      <c r="I162" s="72"/>
      <c r="J162" s="72"/>
      <c r="K162" s="72"/>
      <c r="L162" s="72"/>
      <c r="M162" s="72"/>
      <c r="N162" s="72"/>
      <c r="O162" s="72"/>
      <c r="P162" s="72"/>
      <c r="Q162" s="72"/>
      <c r="R162" s="72"/>
      <c r="S162" s="72"/>
      <c r="T162" s="192"/>
      <c r="U162" s="192"/>
      <c r="V162" s="192"/>
      <c r="W162" s="192"/>
      <c r="X162" s="192"/>
      <c r="Y162" s="192"/>
      <c r="Z162" s="192"/>
      <c r="AA162" s="192"/>
      <c r="AB162" s="192"/>
      <c r="AC162" s="192"/>
      <c r="AD162" s="192"/>
      <c r="AE162" s="192"/>
      <c r="AF162" s="192"/>
      <c r="AG162" s="192"/>
      <c r="AH162" s="192"/>
      <c r="AI162" s="192"/>
      <c r="AJ162" s="192"/>
      <c r="AK162" s="192" t="str">
        <f t="shared" ref="AK162:AM162" si="178">AVERAGE(D162,G162,J162,M162,P162,Y162,S162,V162,AB162,AE162,AH162)</f>
        <v>#DIV/0!</v>
      </c>
      <c r="AL162" s="192" t="str">
        <f t="shared" si="178"/>
        <v>#DIV/0!</v>
      </c>
      <c r="AM162" s="192" t="str">
        <f t="shared" si="178"/>
        <v>#DIV/0!</v>
      </c>
      <c r="AN162" s="455" t="str">
        <f t="shared" si="171"/>
        <v>#DIV/0!</v>
      </c>
      <c r="AO162" s="454" t="str">
        <f t="shared" si="172"/>
        <v>#DIV/0!</v>
      </c>
      <c r="AP162" s="454" t="str">
        <f t="shared" si="173"/>
        <v>#DIV/0!</v>
      </c>
    </row>
    <row r="163" ht="15.75" hidden="1" customHeight="1">
      <c r="A163" s="446">
        <v>160.0</v>
      </c>
      <c r="B163" s="25" t="s">
        <v>38</v>
      </c>
      <c r="C163" s="452" t="s">
        <v>814</v>
      </c>
      <c r="D163" s="56"/>
      <c r="E163" s="56"/>
      <c r="F163" s="72"/>
      <c r="G163" s="72"/>
      <c r="H163" s="72"/>
      <c r="I163" s="72"/>
      <c r="J163" s="72"/>
      <c r="K163" s="72"/>
      <c r="L163" s="72"/>
      <c r="M163" s="72"/>
      <c r="N163" s="72"/>
      <c r="O163" s="72"/>
      <c r="P163" s="72"/>
      <c r="Q163" s="72"/>
      <c r="R163" s="72"/>
      <c r="S163" s="72"/>
      <c r="T163" s="192"/>
      <c r="U163" s="192"/>
      <c r="V163" s="192"/>
      <c r="W163" s="192"/>
      <c r="X163" s="192"/>
      <c r="Y163" s="192"/>
      <c r="Z163" s="192"/>
      <c r="AA163" s="192"/>
      <c r="AB163" s="192"/>
      <c r="AC163" s="192"/>
      <c r="AD163" s="192"/>
      <c r="AE163" s="192"/>
      <c r="AF163" s="192"/>
      <c r="AG163" s="192"/>
      <c r="AH163" s="192"/>
      <c r="AI163" s="192"/>
      <c r="AJ163" s="192"/>
      <c r="AK163" s="192" t="str">
        <f t="shared" ref="AK163:AM163" si="179">AVERAGE(D163,G163,J163,M163,P163,Y163,S163,V163,AB163,AE163,AH163)</f>
        <v>#DIV/0!</v>
      </c>
      <c r="AL163" s="192" t="str">
        <f t="shared" si="179"/>
        <v>#DIV/0!</v>
      </c>
      <c r="AM163" s="192" t="str">
        <f t="shared" si="179"/>
        <v>#DIV/0!</v>
      </c>
      <c r="AN163" s="455" t="str">
        <f t="shared" si="171"/>
        <v>#DIV/0!</v>
      </c>
      <c r="AO163" s="454" t="str">
        <f t="shared" si="172"/>
        <v>#DIV/0!</v>
      </c>
      <c r="AP163" s="454" t="str">
        <f t="shared" si="173"/>
        <v>#DIV/0!</v>
      </c>
    </row>
    <row r="164" ht="15.75" hidden="1" customHeight="1">
      <c r="A164" s="446">
        <v>161.0</v>
      </c>
      <c r="B164" s="25" t="s">
        <v>38</v>
      </c>
      <c r="C164" s="452" t="s">
        <v>815</v>
      </c>
      <c r="D164" s="56"/>
      <c r="E164" s="56"/>
      <c r="F164" s="72"/>
      <c r="G164" s="72"/>
      <c r="H164" s="72"/>
      <c r="I164" s="72"/>
      <c r="J164" s="72"/>
      <c r="K164" s="72"/>
      <c r="L164" s="72"/>
      <c r="M164" s="72"/>
      <c r="N164" s="72"/>
      <c r="O164" s="72"/>
      <c r="P164" s="72"/>
      <c r="Q164" s="72"/>
      <c r="R164" s="72"/>
      <c r="S164" s="72"/>
      <c r="T164" s="192"/>
      <c r="U164" s="192"/>
      <c r="V164" s="192"/>
      <c r="W164" s="192"/>
      <c r="X164" s="192"/>
      <c r="Y164" s="192"/>
      <c r="Z164" s="192"/>
      <c r="AA164" s="192"/>
      <c r="AB164" s="192"/>
      <c r="AC164" s="192"/>
      <c r="AD164" s="192"/>
      <c r="AE164" s="192"/>
      <c r="AF164" s="192"/>
      <c r="AG164" s="192"/>
      <c r="AH164" s="192"/>
      <c r="AI164" s="192"/>
      <c r="AJ164" s="192"/>
      <c r="AK164" s="192" t="str">
        <f t="shared" ref="AK164:AM164" si="180">AVERAGE(D164,G164,J164,M164,P164,Y164,S164,V164,AB164,AE164,AH164)</f>
        <v>#DIV/0!</v>
      </c>
      <c r="AL164" s="192" t="str">
        <f t="shared" si="180"/>
        <v>#DIV/0!</v>
      </c>
      <c r="AM164" s="192" t="str">
        <f t="shared" si="180"/>
        <v>#DIV/0!</v>
      </c>
      <c r="AN164" s="455" t="str">
        <f t="shared" si="171"/>
        <v>#DIV/0!</v>
      </c>
      <c r="AO164" s="454" t="str">
        <f t="shared" si="172"/>
        <v>#DIV/0!</v>
      </c>
      <c r="AP164" s="454" t="str">
        <f t="shared" si="173"/>
        <v>#DIV/0!</v>
      </c>
    </row>
    <row r="165" ht="15.75" hidden="1" customHeight="1">
      <c r="A165" s="446">
        <v>162.0</v>
      </c>
      <c r="B165" s="25" t="s">
        <v>38</v>
      </c>
      <c r="C165" s="452" t="s">
        <v>816</v>
      </c>
      <c r="D165" s="56"/>
      <c r="E165" s="56"/>
      <c r="F165" s="72"/>
      <c r="G165" s="72"/>
      <c r="H165" s="72"/>
      <c r="I165" s="72"/>
      <c r="J165" s="72"/>
      <c r="K165" s="72"/>
      <c r="L165" s="72"/>
      <c r="M165" s="72"/>
      <c r="N165" s="72"/>
      <c r="O165" s="72"/>
      <c r="P165" s="72"/>
      <c r="Q165" s="72"/>
      <c r="R165" s="72"/>
      <c r="S165" s="72"/>
      <c r="T165" s="192"/>
      <c r="U165" s="192"/>
      <c r="V165" s="192"/>
      <c r="W165" s="192"/>
      <c r="X165" s="192"/>
      <c r="Y165" s="192"/>
      <c r="Z165" s="192"/>
      <c r="AA165" s="192"/>
      <c r="AB165" s="192"/>
      <c r="AC165" s="192"/>
      <c r="AD165" s="192"/>
      <c r="AE165" s="192"/>
      <c r="AF165" s="192"/>
      <c r="AG165" s="192"/>
      <c r="AH165" s="192"/>
      <c r="AI165" s="192"/>
      <c r="AJ165" s="192"/>
      <c r="AK165" s="192" t="str">
        <f t="shared" ref="AK165:AM165" si="181">AVERAGE(D165,G165,J165,M165,P165,Y165,S165,V165,AB165,AE165,AH165)</f>
        <v>#DIV/0!</v>
      </c>
      <c r="AL165" s="192" t="str">
        <f t="shared" si="181"/>
        <v>#DIV/0!</v>
      </c>
      <c r="AM165" s="192" t="str">
        <f t="shared" si="181"/>
        <v>#DIV/0!</v>
      </c>
      <c r="AN165" s="455" t="str">
        <f t="shared" si="171"/>
        <v>#DIV/0!</v>
      </c>
      <c r="AO165" s="454" t="str">
        <f t="shared" si="172"/>
        <v>#DIV/0!</v>
      </c>
      <c r="AP165" s="454" t="str">
        <f t="shared" si="173"/>
        <v>#DIV/0!</v>
      </c>
    </row>
    <row r="166" ht="15.75" hidden="1" customHeight="1">
      <c r="A166" s="446">
        <v>163.0</v>
      </c>
      <c r="B166" s="25" t="s">
        <v>38</v>
      </c>
      <c r="C166" s="452" t="s">
        <v>817</v>
      </c>
      <c r="D166" s="56"/>
      <c r="E166" s="56"/>
      <c r="F166" s="72"/>
      <c r="G166" s="72"/>
      <c r="H166" s="72"/>
      <c r="I166" s="72"/>
      <c r="J166" s="72"/>
      <c r="K166" s="72"/>
      <c r="L166" s="72"/>
      <c r="M166" s="72"/>
      <c r="N166" s="72"/>
      <c r="O166" s="72"/>
      <c r="P166" s="72"/>
      <c r="Q166" s="72"/>
      <c r="R166" s="72"/>
      <c r="S166" s="72"/>
      <c r="T166" s="192"/>
      <c r="U166" s="192"/>
      <c r="V166" s="192"/>
      <c r="W166" s="192"/>
      <c r="X166" s="192"/>
      <c r="Y166" s="192"/>
      <c r="Z166" s="192"/>
      <c r="AA166" s="192"/>
      <c r="AB166" s="192"/>
      <c r="AC166" s="192"/>
      <c r="AD166" s="192"/>
      <c r="AE166" s="192"/>
      <c r="AF166" s="192"/>
      <c r="AG166" s="192"/>
      <c r="AH166" s="192"/>
      <c r="AI166" s="192"/>
      <c r="AJ166" s="192"/>
      <c r="AK166" s="192" t="str">
        <f t="shared" ref="AK166:AM166" si="182">AVERAGE(D166,G166,J166,M166,P166,Y166,S166,V166,AB166,AE166,AH166)</f>
        <v>#DIV/0!</v>
      </c>
      <c r="AL166" s="192" t="str">
        <f t="shared" si="182"/>
        <v>#DIV/0!</v>
      </c>
      <c r="AM166" s="192" t="str">
        <f t="shared" si="182"/>
        <v>#DIV/0!</v>
      </c>
      <c r="AN166" s="455" t="str">
        <f t="shared" si="171"/>
        <v>#DIV/0!</v>
      </c>
      <c r="AO166" s="454" t="str">
        <f t="shared" si="172"/>
        <v>#DIV/0!</v>
      </c>
      <c r="AP166" s="454" t="str">
        <f t="shared" si="173"/>
        <v>#DIV/0!</v>
      </c>
    </row>
    <row r="167" ht="15.75" hidden="1" customHeight="1">
      <c r="A167" s="446">
        <v>164.0</v>
      </c>
      <c r="B167" s="25" t="s">
        <v>38</v>
      </c>
      <c r="C167" s="452" t="s">
        <v>818</v>
      </c>
      <c r="D167" s="56"/>
      <c r="E167" s="56"/>
      <c r="F167" s="72"/>
      <c r="G167" s="72"/>
      <c r="H167" s="72"/>
      <c r="I167" s="72"/>
      <c r="J167" s="72"/>
      <c r="K167" s="72"/>
      <c r="L167" s="72"/>
      <c r="M167" s="72"/>
      <c r="N167" s="72"/>
      <c r="O167" s="72"/>
      <c r="P167" s="72"/>
      <c r="Q167" s="72"/>
      <c r="R167" s="72"/>
      <c r="S167" s="72"/>
      <c r="T167" s="192"/>
      <c r="U167" s="192"/>
      <c r="V167" s="192"/>
      <c r="W167" s="192"/>
      <c r="X167" s="192"/>
      <c r="Y167" s="192"/>
      <c r="Z167" s="192"/>
      <c r="AA167" s="192"/>
      <c r="AB167" s="192"/>
      <c r="AC167" s="192"/>
      <c r="AD167" s="192"/>
      <c r="AE167" s="192"/>
      <c r="AF167" s="192"/>
      <c r="AG167" s="192"/>
      <c r="AH167" s="192"/>
      <c r="AI167" s="192"/>
      <c r="AJ167" s="192"/>
      <c r="AK167" s="192" t="str">
        <f t="shared" ref="AK167:AM167" si="183">AVERAGE(D167,G167,J167,M167,P167,Y167,S167,V167,AB167,AE167,AH167)</f>
        <v>#DIV/0!</v>
      </c>
      <c r="AL167" s="192" t="str">
        <f t="shared" si="183"/>
        <v>#DIV/0!</v>
      </c>
      <c r="AM167" s="192" t="str">
        <f t="shared" si="183"/>
        <v>#DIV/0!</v>
      </c>
      <c r="AN167" s="455" t="str">
        <f t="shared" si="171"/>
        <v>#DIV/0!</v>
      </c>
      <c r="AO167" s="454" t="str">
        <f t="shared" si="172"/>
        <v>#DIV/0!</v>
      </c>
      <c r="AP167" s="454" t="str">
        <f t="shared" si="173"/>
        <v>#DIV/0!</v>
      </c>
    </row>
    <row r="168" ht="15.75" hidden="1" customHeight="1">
      <c r="A168" s="446">
        <v>165.0</v>
      </c>
      <c r="B168" s="25" t="s">
        <v>38</v>
      </c>
      <c r="C168" s="452" t="s">
        <v>819</v>
      </c>
      <c r="D168" s="56"/>
      <c r="E168" s="56"/>
      <c r="F168" s="72"/>
      <c r="G168" s="72"/>
      <c r="H168" s="72"/>
      <c r="I168" s="72"/>
      <c r="J168" s="72"/>
      <c r="K168" s="72"/>
      <c r="L168" s="72"/>
      <c r="M168" s="72"/>
      <c r="N168" s="72"/>
      <c r="O168" s="72"/>
      <c r="P168" s="72"/>
      <c r="Q168" s="72"/>
      <c r="R168" s="72"/>
      <c r="S168" s="72"/>
      <c r="T168" s="192"/>
      <c r="U168" s="192"/>
      <c r="V168" s="192"/>
      <c r="W168" s="192"/>
      <c r="X168" s="192"/>
      <c r="Y168" s="192"/>
      <c r="Z168" s="192"/>
      <c r="AA168" s="192"/>
      <c r="AB168" s="192"/>
      <c r="AC168" s="192"/>
      <c r="AD168" s="192"/>
      <c r="AE168" s="192"/>
      <c r="AF168" s="192"/>
      <c r="AG168" s="192"/>
      <c r="AH168" s="192"/>
      <c r="AI168" s="192"/>
      <c r="AJ168" s="192"/>
      <c r="AK168" s="192" t="str">
        <f t="shared" ref="AK168:AM168" si="184">AVERAGE(D168,G168,J168,M168,P168,Y168,S168,V168,AB168,AE168,AH168)</f>
        <v>#DIV/0!</v>
      </c>
      <c r="AL168" s="192" t="str">
        <f t="shared" si="184"/>
        <v>#DIV/0!</v>
      </c>
      <c r="AM168" s="192" t="str">
        <f t="shared" si="184"/>
        <v>#DIV/0!</v>
      </c>
      <c r="AN168" s="455" t="str">
        <f t="shared" si="171"/>
        <v>#DIV/0!</v>
      </c>
      <c r="AO168" s="454" t="str">
        <f t="shared" si="172"/>
        <v>#DIV/0!</v>
      </c>
      <c r="AP168" s="454" t="str">
        <f t="shared" si="173"/>
        <v>#DIV/0!</v>
      </c>
    </row>
    <row r="169" ht="15.75" hidden="1" customHeight="1">
      <c r="A169" s="446">
        <v>166.0</v>
      </c>
      <c r="B169" s="25" t="s">
        <v>38</v>
      </c>
      <c r="C169" s="452" t="s">
        <v>820</v>
      </c>
      <c r="D169" s="56"/>
      <c r="E169" s="56"/>
      <c r="F169" s="72"/>
      <c r="G169" s="72"/>
      <c r="H169" s="72"/>
      <c r="I169" s="72"/>
      <c r="J169" s="72"/>
      <c r="K169" s="72"/>
      <c r="L169" s="72"/>
      <c r="M169" s="72"/>
      <c r="N169" s="72"/>
      <c r="O169" s="72"/>
      <c r="P169" s="72"/>
      <c r="Q169" s="72"/>
      <c r="R169" s="72"/>
      <c r="S169" s="72"/>
      <c r="T169" s="192"/>
      <c r="U169" s="192"/>
      <c r="V169" s="192"/>
      <c r="W169" s="192"/>
      <c r="X169" s="192"/>
      <c r="Y169" s="192"/>
      <c r="Z169" s="192"/>
      <c r="AA169" s="192"/>
      <c r="AB169" s="192"/>
      <c r="AC169" s="192"/>
      <c r="AD169" s="192"/>
      <c r="AE169" s="192"/>
      <c r="AF169" s="192"/>
      <c r="AG169" s="192"/>
      <c r="AH169" s="192"/>
      <c r="AI169" s="192"/>
      <c r="AJ169" s="192"/>
      <c r="AK169" s="192" t="str">
        <f t="shared" ref="AK169:AM169" si="185">AVERAGE(D169,G169,J169,M169,P169,Y169,S169,V169,AB169,AE169,AH169)</f>
        <v>#DIV/0!</v>
      </c>
      <c r="AL169" s="192" t="str">
        <f t="shared" si="185"/>
        <v>#DIV/0!</v>
      </c>
      <c r="AM169" s="192" t="str">
        <f t="shared" si="185"/>
        <v>#DIV/0!</v>
      </c>
      <c r="AN169" s="455" t="str">
        <f t="shared" si="171"/>
        <v>#DIV/0!</v>
      </c>
      <c r="AO169" s="454" t="str">
        <f t="shared" si="172"/>
        <v>#DIV/0!</v>
      </c>
      <c r="AP169" s="454" t="str">
        <f t="shared" si="173"/>
        <v>#DIV/0!</v>
      </c>
    </row>
    <row r="170" ht="15.75" hidden="1" customHeight="1">
      <c r="A170" s="446">
        <v>167.0</v>
      </c>
      <c r="B170" s="25" t="s">
        <v>38</v>
      </c>
      <c r="C170" s="452" t="s">
        <v>821</v>
      </c>
      <c r="D170" s="56"/>
      <c r="E170" s="56"/>
      <c r="F170" s="72"/>
      <c r="G170" s="72"/>
      <c r="H170" s="72"/>
      <c r="I170" s="72"/>
      <c r="J170" s="72"/>
      <c r="K170" s="72"/>
      <c r="L170" s="72"/>
      <c r="M170" s="72"/>
      <c r="N170" s="72"/>
      <c r="O170" s="72"/>
      <c r="P170" s="72"/>
      <c r="Q170" s="72"/>
      <c r="R170" s="72"/>
      <c r="S170" s="72"/>
      <c r="T170" s="192"/>
      <c r="U170" s="192"/>
      <c r="V170" s="192"/>
      <c r="W170" s="192"/>
      <c r="X170" s="192"/>
      <c r="Y170" s="192"/>
      <c r="Z170" s="192"/>
      <c r="AA170" s="192"/>
      <c r="AB170" s="192"/>
      <c r="AC170" s="192"/>
      <c r="AD170" s="192"/>
      <c r="AE170" s="192"/>
      <c r="AF170" s="192"/>
      <c r="AG170" s="192"/>
      <c r="AH170" s="192"/>
      <c r="AI170" s="192"/>
      <c r="AJ170" s="192"/>
      <c r="AK170" s="192" t="str">
        <f t="shared" ref="AK170:AM170" si="186">AVERAGE(D170,G170,J170,M170,P170,Y170,S170,V170,AB170,AE170,AH170)</f>
        <v>#DIV/0!</v>
      </c>
      <c r="AL170" s="192" t="str">
        <f t="shared" si="186"/>
        <v>#DIV/0!</v>
      </c>
      <c r="AM170" s="192" t="str">
        <f t="shared" si="186"/>
        <v>#DIV/0!</v>
      </c>
      <c r="AN170" s="455" t="str">
        <f t="shared" si="171"/>
        <v>#DIV/0!</v>
      </c>
      <c r="AO170" s="454" t="str">
        <f t="shared" si="172"/>
        <v>#DIV/0!</v>
      </c>
      <c r="AP170" s="454" t="str">
        <f t="shared" si="173"/>
        <v>#DIV/0!</v>
      </c>
    </row>
    <row r="171" ht="15.75" hidden="1" customHeight="1">
      <c r="A171" s="446">
        <v>168.0</v>
      </c>
      <c r="B171" s="25" t="s">
        <v>38</v>
      </c>
      <c r="C171" s="452" t="s">
        <v>822</v>
      </c>
      <c r="D171" s="56"/>
      <c r="E171" s="56"/>
      <c r="F171" s="72"/>
      <c r="G171" s="72"/>
      <c r="H171" s="72"/>
      <c r="I171" s="72"/>
      <c r="J171" s="72"/>
      <c r="K171" s="72"/>
      <c r="L171" s="72"/>
      <c r="M171" s="72"/>
      <c r="N171" s="72"/>
      <c r="O171" s="72"/>
      <c r="P171" s="72"/>
      <c r="Q171" s="72"/>
      <c r="R171" s="72"/>
      <c r="S171" s="72"/>
      <c r="T171" s="192"/>
      <c r="U171" s="192"/>
      <c r="V171" s="192"/>
      <c r="W171" s="192"/>
      <c r="X171" s="192"/>
      <c r="Y171" s="192"/>
      <c r="Z171" s="192"/>
      <c r="AA171" s="192"/>
      <c r="AB171" s="192"/>
      <c r="AC171" s="192"/>
      <c r="AD171" s="192"/>
      <c r="AE171" s="192"/>
      <c r="AF171" s="192"/>
      <c r="AG171" s="192"/>
      <c r="AH171" s="192"/>
      <c r="AI171" s="192"/>
      <c r="AJ171" s="192"/>
      <c r="AK171" s="192" t="str">
        <f t="shared" ref="AK171:AM171" si="187">AVERAGE(D171,G171,J171,M171,P171,Y171,S171,V171,AB171,AE171,AH171)</f>
        <v>#DIV/0!</v>
      </c>
      <c r="AL171" s="192" t="str">
        <f t="shared" si="187"/>
        <v>#DIV/0!</v>
      </c>
      <c r="AM171" s="192" t="str">
        <f t="shared" si="187"/>
        <v>#DIV/0!</v>
      </c>
      <c r="AN171" s="455" t="str">
        <f t="shared" si="171"/>
        <v>#DIV/0!</v>
      </c>
      <c r="AO171" s="454" t="str">
        <f t="shared" si="172"/>
        <v>#DIV/0!</v>
      </c>
      <c r="AP171" s="454" t="str">
        <f t="shared" si="173"/>
        <v>#DIV/0!</v>
      </c>
    </row>
    <row r="172" ht="15.75" hidden="1" customHeight="1">
      <c r="A172" s="446">
        <v>169.0</v>
      </c>
      <c r="B172" s="25" t="s">
        <v>38</v>
      </c>
      <c r="C172" s="452" t="s">
        <v>823</v>
      </c>
      <c r="D172" s="56"/>
      <c r="E172" s="56"/>
      <c r="F172" s="72"/>
      <c r="G172" s="72"/>
      <c r="H172" s="72"/>
      <c r="I172" s="72"/>
      <c r="J172" s="72"/>
      <c r="K172" s="72"/>
      <c r="L172" s="72"/>
      <c r="M172" s="72"/>
      <c r="N172" s="72"/>
      <c r="O172" s="72"/>
      <c r="P172" s="72"/>
      <c r="Q172" s="72"/>
      <c r="R172" s="72"/>
      <c r="S172" s="72"/>
      <c r="T172" s="192"/>
      <c r="U172" s="192"/>
      <c r="V172" s="192"/>
      <c r="W172" s="192"/>
      <c r="X172" s="192"/>
      <c r="Y172" s="192"/>
      <c r="Z172" s="192"/>
      <c r="AA172" s="192"/>
      <c r="AB172" s="192"/>
      <c r="AC172" s="192"/>
      <c r="AD172" s="192"/>
      <c r="AE172" s="192"/>
      <c r="AF172" s="192"/>
      <c r="AG172" s="192"/>
      <c r="AH172" s="192"/>
      <c r="AI172" s="192"/>
      <c r="AJ172" s="192"/>
      <c r="AK172" s="192" t="str">
        <f t="shared" ref="AK172:AM172" si="188">AVERAGE(D172,G172,J172,M172,P172,Y172,S172,V172,AB172,AE172,AH172)</f>
        <v>#DIV/0!</v>
      </c>
      <c r="AL172" s="192" t="str">
        <f t="shared" si="188"/>
        <v>#DIV/0!</v>
      </c>
      <c r="AM172" s="192" t="str">
        <f t="shared" si="188"/>
        <v>#DIV/0!</v>
      </c>
      <c r="AN172" s="455" t="str">
        <f t="shared" si="171"/>
        <v>#DIV/0!</v>
      </c>
      <c r="AO172" s="454" t="str">
        <f t="shared" si="172"/>
        <v>#DIV/0!</v>
      </c>
      <c r="AP172" s="454" t="str">
        <f t="shared" si="173"/>
        <v>#DIV/0!</v>
      </c>
    </row>
    <row r="173" ht="15.75" hidden="1" customHeight="1">
      <c r="A173" s="446">
        <v>170.0</v>
      </c>
      <c r="B173" s="25" t="s">
        <v>38</v>
      </c>
      <c r="C173" s="452" t="s">
        <v>824</v>
      </c>
      <c r="D173" s="56"/>
      <c r="E173" s="56"/>
      <c r="F173" s="72"/>
      <c r="G173" s="72"/>
      <c r="H173" s="72"/>
      <c r="I173" s="72"/>
      <c r="J173" s="72"/>
      <c r="K173" s="72"/>
      <c r="L173" s="72"/>
      <c r="M173" s="72"/>
      <c r="N173" s="72"/>
      <c r="O173" s="72"/>
      <c r="P173" s="72"/>
      <c r="Q173" s="72"/>
      <c r="R173" s="72"/>
      <c r="S173" s="72"/>
      <c r="T173" s="192"/>
      <c r="U173" s="192"/>
      <c r="V173" s="192"/>
      <c r="W173" s="192"/>
      <c r="X173" s="192"/>
      <c r="Y173" s="192"/>
      <c r="Z173" s="192"/>
      <c r="AA173" s="192"/>
      <c r="AB173" s="192"/>
      <c r="AC173" s="192"/>
      <c r="AD173" s="192"/>
      <c r="AE173" s="192"/>
      <c r="AF173" s="192"/>
      <c r="AG173" s="192"/>
      <c r="AH173" s="192"/>
      <c r="AI173" s="192"/>
      <c r="AJ173" s="192"/>
      <c r="AK173" s="192" t="str">
        <f t="shared" ref="AK173:AM173" si="189">AVERAGE(D173,G173,J173,M173,P173,Y173,S173,V173,AB173,AE173,AH173)</f>
        <v>#DIV/0!</v>
      </c>
      <c r="AL173" s="192" t="str">
        <f t="shared" si="189"/>
        <v>#DIV/0!</v>
      </c>
      <c r="AM173" s="192" t="str">
        <f t="shared" si="189"/>
        <v>#DIV/0!</v>
      </c>
      <c r="AN173" s="455" t="str">
        <f t="shared" si="171"/>
        <v>#DIV/0!</v>
      </c>
      <c r="AO173" s="454" t="str">
        <f t="shared" si="172"/>
        <v>#DIV/0!</v>
      </c>
      <c r="AP173" s="454" t="str">
        <f t="shared" si="173"/>
        <v>#DIV/0!</v>
      </c>
    </row>
    <row r="174" ht="15.75" hidden="1" customHeight="1">
      <c r="A174" s="446">
        <v>171.0</v>
      </c>
      <c r="B174" s="25" t="s">
        <v>38</v>
      </c>
      <c r="C174" s="452" t="s">
        <v>602</v>
      </c>
      <c r="D174" s="56"/>
      <c r="E174" s="56"/>
      <c r="F174" s="72"/>
      <c r="G174" s="72"/>
      <c r="H174" s="72"/>
      <c r="I174" s="72"/>
      <c r="J174" s="72"/>
      <c r="K174" s="72"/>
      <c r="L174" s="72"/>
      <c r="M174" s="72"/>
      <c r="N174" s="72"/>
      <c r="O174" s="72"/>
      <c r="P174" s="72"/>
      <c r="Q174" s="72"/>
      <c r="R174" s="72"/>
      <c r="S174" s="72"/>
      <c r="T174" s="192"/>
      <c r="U174" s="192"/>
      <c r="V174" s="192"/>
      <c r="W174" s="192"/>
      <c r="X174" s="192"/>
      <c r="Y174" s="192"/>
      <c r="Z174" s="192"/>
      <c r="AA174" s="192"/>
      <c r="AB174" s="192"/>
      <c r="AC174" s="192"/>
      <c r="AD174" s="192"/>
      <c r="AE174" s="192"/>
      <c r="AF174" s="192"/>
      <c r="AG174" s="192"/>
      <c r="AH174" s="192"/>
      <c r="AI174" s="192"/>
      <c r="AJ174" s="192"/>
      <c r="AK174" s="192" t="str">
        <f t="shared" ref="AK174:AM174" si="190">AVERAGE(D174,G174,J174,M174,P174,Y174,S174,V174,AB174,AE174,AH174)</f>
        <v>#DIV/0!</v>
      </c>
      <c r="AL174" s="192" t="str">
        <f t="shared" si="190"/>
        <v>#DIV/0!</v>
      </c>
      <c r="AM174" s="192" t="str">
        <f t="shared" si="190"/>
        <v>#DIV/0!</v>
      </c>
      <c r="AN174" s="455" t="str">
        <f t="shared" si="171"/>
        <v>#DIV/0!</v>
      </c>
      <c r="AO174" s="454" t="str">
        <f t="shared" si="172"/>
        <v>#DIV/0!</v>
      </c>
      <c r="AP174" s="454" t="str">
        <f t="shared" si="173"/>
        <v>#DIV/0!</v>
      </c>
    </row>
    <row r="175" ht="15.75" hidden="1" customHeight="1">
      <c r="A175" s="446">
        <v>172.0</v>
      </c>
      <c r="B175" s="25" t="s">
        <v>38</v>
      </c>
      <c r="C175" s="452" t="s">
        <v>825</v>
      </c>
      <c r="D175" s="56"/>
      <c r="E175" s="56"/>
      <c r="F175" s="72"/>
      <c r="G175" s="72"/>
      <c r="H175" s="72"/>
      <c r="I175" s="72"/>
      <c r="J175" s="72"/>
      <c r="K175" s="72"/>
      <c r="L175" s="72"/>
      <c r="M175" s="72"/>
      <c r="N175" s="72"/>
      <c r="O175" s="72"/>
      <c r="P175" s="72"/>
      <c r="Q175" s="72"/>
      <c r="R175" s="72"/>
      <c r="S175" s="72"/>
      <c r="T175" s="192"/>
      <c r="U175" s="192"/>
      <c r="V175" s="192"/>
      <c r="W175" s="192"/>
      <c r="X175" s="192"/>
      <c r="Y175" s="192"/>
      <c r="Z175" s="192"/>
      <c r="AA175" s="192"/>
      <c r="AB175" s="192"/>
      <c r="AC175" s="192"/>
      <c r="AD175" s="192"/>
      <c r="AE175" s="192"/>
      <c r="AF175" s="192"/>
      <c r="AG175" s="192"/>
      <c r="AH175" s="192"/>
      <c r="AI175" s="192"/>
      <c r="AJ175" s="192"/>
      <c r="AK175" s="192" t="str">
        <f t="shared" ref="AK175:AM175" si="191">AVERAGE(D175,G175,J175,M175,P175,Y175,S175,V175,AB175,AE175,AH175)</f>
        <v>#DIV/0!</v>
      </c>
      <c r="AL175" s="192" t="str">
        <f t="shared" si="191"/>
        <v>#DIV/0!</v>
      </c>
      <c r="AM175" s="192" t="str">
        <f t="shared" si="191"/>
        <v>#DIV/0!</v>
      </c>
      <c r="AN175" s="455" t="str">
        <f t="shared" si="171"/>
        <v>#DIV/0!</v>
      </c>
      <c r="AO175" s="454" t="str">
        <f t="shared" si="172"/>
        <v>#DIV/0!</v>
      </c>
      <c r="AP175" s="454" t="str">
        <f t="shared" si="173"/>
        <v>#DIV/0!</v>
      </c>
    </row>
    <row r="176" ht="15.75" hidden="1" customHeight="1">
      <c r="A176" s="446">
        <v>173.0</v>
      </c>
      <c r="B176" s="25" t="s">
        <v>38</v>
      </c>
      <c r="C176" s="452" t="s">
        <v>826</v>
      </c>
      <c r="D176" s="56"/>
      <c r="E176" s="56"/>
      <c r="F176" s="72"/>
      <c r="G176" s="72"/>
      <c r="H176" s="72"/>
      <c r="I176" s="72"/>
      <c r="J176" s="72"/>
      <c r="K176" s="72"/>
      <c r="L176" s="72"/>
      <c r="M176" s="72"/>
      <c r="N176" s="72"/>
      <c r="O176" s="72"/>
      <c r="P176" s="72"/>
      <c r="Q176" s="72"/>
      <c r="R176" s="72"/>
      <c r="S176" s="72"/>
      <c r="T176" s="192"/>
      <c r="U176" s="192"/>
      <c r="V176" s="192"/>
      <c r="W176" s="192"/>
      <c r="X176" s="192"/>
      <c r="Y176" s="192"/>
      <c r="Z176" s="192"/>
      <c r="AA176" s="192"/>
      <c r="AB176" s="192"/>
      <c r="AC176" s="192"/>
      <c r="AD176" s="192"/>
      <c r="AE176" s="192"/>
      <c r="AF176" s="192"/>
      <c r="AG176" s="192"/>
      <c r="AH176" s="192"/>
      <c r="AI176" s="192"/>
      <c r="AJ176" s="192"/>
      <c r="AK176" s="192" t="str">
        <f t="shared" ref="AK176:AM176" si="192">AVERAGE(D176,G176,J176,M176,P176,Y176,S176,V176,AB176,AE176,AH176)</f>
        <v>#DIV/0!</v>
      </c>
      <c r="AL176" s="192" t="str">
        <f t="shared" si="192"/>
        <v>#DIV/0!</v>
      </c>
      <c r="AM176" s="192" t="str">
        <f t="shared" si="192"/>
        <v>#DIV/0!</v>
      </c>
      <c r="AN176" s="455" t="str">
        <f t="shared" si="171"/>
        <v>#DIV/0!</v>
      </c>
      <c r="AO176" s="454" t="str">
        <f t="shared" si="172"/>
        <v>#DIV/0!</v>
      </c>
      <c r="AP176" s="454" t="str">
        <f t="shared" si="173"/>
        <v>#DIV/0!</v>
      </c>
    </row>
    <row r="177" ht="15.75" hidden="1" customHeight="1">
      <c r="A177" s="446">
        <v>174.0</v>
      </c>
      <c r="B177" s="25" t="s">
        <v>38</v>
      </c>
      <c r="C177" s="452" t="s">
        <v>827</v>
      </c>
      <c r="D177" s="56"/>
      <c r="E177" s="56"/>
      <c r="F177" s="72"/>
      <c r="G177" s="72"/>
      <c r="H177" s="72"/>
      <c r="I177" s="72"/>
      <c r="J177" s="72"/>
      <c r="K177" s="72"/>
      <c r="L177" s="72"/>
      <c r="M177" s="72"/>
      <c r="N177" s="72"/>
      <c r="O177" s="72"/>
      <c r="P177" s="72"/>
      <c r="Q177" s="72"/>
      <c r="R177" s="72"/>
      <c r="S177" s="72"/>
      <c r="T177" s="192"/>
      <c r="U177" s="192"/>
      <c r="V177" s="192"/>
      <c r="W177" s="192"/>
      <c r="X177" s="192"/>
      <c r="Y177" s="192"/>
      <c r="Z177" s="192"/>
      <c r="AA177" s="192"/>
      <c r="AB177" s="192"/>
      <c r="AC177" s="192"/>
      <c r="AD177" s="192"/>
      <c r="AE177" s="192"/>
      <c r="AF177" s="192"/>
      <c r="AG177" s="192"/>
      <c r="AH177" s="192"/>
      <c r="AI177" s="192"/>
      <c r="AJ177" s="192"/>
      <c r="AK177" s="192" t="str">
        <f t="shared" ref="AK177:AM177" si="193">AVERAGE(D177,G177,J177,M177,P177,Y177,S177,V177,AB177,AE177,AH177)</f>
        <v>#DIV/0!</v>
      </c>
      <c r="AL177" s="192" t="str">
        <f t="shared" si="193"/>
        <v>#DIV/0!</v>
      </c>
      <c r="AM177" s="192" t="str">
        <f t="shared" si="193"/>
        <v>#DIV/0!</v>
      </c>
      <c r="AN177" s="455" t="str">
        <f t="shared" si="171"/>
        <v>#DIV/0!</v>
      </c>
      <c r="AO177" s="454" t="str">
        <f t="shared" si="172"/>
        <v>#DIV/0!</v>
      </c>
      <c r="AP177" s="454" t="str">
        <f t="shared" si="173"/>
        <v>#DIV/0!</v>
      </c>
    </row>
    <row r="178" ht="15.75" hidden="1" customHeight="1">
      <c r="A178" s="446">
        <v>175.0</v>
      </c>
      <c r="B178" s="25" t="s">
        <v>38</v>
      </c>
      <c r="C178" s="452" t="s">
        <v>828</v>
      </c>
      <c r="D178" s="56"/>
      <c r="E178" s="56"/>
      <c r="F178" s="72"/>
      <c r="G178" s="72"/>
      <c r="H178" s="72"/>
      <c r="I178" s="72"/>
      <c r="J178" s="72"/>
      <c r="K178" s="72"/>
      <c r="L178" s="72"/>
      <c r="M178" s="72"/>
      <c r="N178" s="72"/>
      <c r="O178" s="72"/>
      <c r="P178" s="72"/>
      <c r="Q178" s="72"/>
      <c r="R178" s="72"/>
      <c r="S178" s="72"/>
      <c r="T178" s="192"/>
      <c r="U178" s="192"/>
      <c r="V178" s="192"/>
      <c r="W178" s="192"/>
      <c r="X178" s="192"/>
      <c r="Y178" s="192"/>
      <c r="Z178" s="192"/>
      <c r="AA178" s="192"/>
      <c r="AB178" s="192"/>
      <c r="AC178" s="192"/>
      <c r="AD178" s="192"/>
      <c r="AE178" s="192"/>
      <c r="AF178" s="192"/>
      <c r="AG178" s="192"/>
      <c r="AH178" s="192"/>
      <c r="AI178" s="192"/>
      <c r="AJ178" s="192"/>
      <c r="AK178" s="192" t="str">
        <f t="shared" ref="AK178:AM178" si="194">AVERAGE(D178,G178,J178,M178,P178,Y178,S178,V178,AB178,AE178,AH178)</f>
        <v>#DIV/0!</v>
      </c>
      <c r="AL178" s="192" t="str">
        <f t="shared" si="194"/>
        <v>#DIV/0!</v>
      </c>
      <c r="AM178" s="192" t="str">
        <f t="shared" si="194"/>
        <v>#DIV/0!</v>
      </c>
      <c r="AN178" s="455" t="str">
        <f t="shared" si="171"/>
        <v>#DIV/0!</v>
      </c>
      <c r="AO178" s="454" t="str">
        <f t="shared" si="172"/>
        <v>#DIV/0!</v>
      </c>
      <c r="AP178" s="454" t="str">
        <f t="shared" si="173"/>
        <v>#DIV/0!</v>
      </c>
    </row>
    <row r="179" ht="15.75" hidden="1" customHeight="1">
      <c r="A179" s="446">
        <v>176.0</v>
      </c>
      <c r="B179" s="25" t="s">
        <v>38</v>
      </c>
      <c r="C179" s="452" t="s">
        <v>829</v>
      </c>
      <c r="D179" s="56"/>
      <c r="E179" s="56"/>
      <c r="F179" s="72"/>
      <c r="G179" s="72"/>
      <c r="H179" s="72"/>
      <c r="I179" s="72"/>
      <c r="J179" s="72"/>
      <c r="K179" s="72"/>
      <c r="L179" s="72"/>
      <c r="M179" s="72"/>
      <c r="N179" s="72"/>
      <c r="O179" s="72"/>
      <c r="P179" s="72"/>
      <c r="Q179" s="72"/>
      <c r="R179" s="72"/>
      <c r="S179" s="72"/>
      <c r="T179" s="192"/>
      <c r="U179" s="192"/>
      <c r="V179" s="192"/>
      <c r="W179" s="192"/>
      <c r="X179" s="192"/>
      <c r="Y179" s="192"/>
      <c r="Z179" s="192"/>
      <c r="AA179" s="192"/>
      <c r="AB179" s="192"/>
      <c r="AC179" s="192"/>
      <c r="AD179" s="192"/>
      <c r="AE179" s="192"/>
      <c r="AF179" s="192"/>
      <c r="AG179" s="192"/>
      <c r="AH179" s="192"/>
      <c r="AI179" s="192"/>
      <c r="AJ179" s="192"/>
      <c r="AK179" s="192" t="str">
        <f t="shared" ref="AK179:AM179" si="195">AVERAGE(D179,G179,J179,M179,P179,Y179,S179,V179,AB179,AE179,AH179)</f>
        <v>#DIV/0!</v>
      </c>
      <c r="AL179" s="192" t="str">
        <f t="shared" si="195"/>
        <v>#DIV/0!</v>
      </c>
      <c r="AM179" s="192" t="str">
        <f t="shared" si="195"/>
        <v>#DIV/0!</v>
      </c>
      <c r="AN179" s="455" t="str">
        <f t="shared" si="171"/>
        <v>#DIV/0!</v>
      </c>
      <c r="AO179" s="454" t="str">
        <f t="shared" si="172"/>
        <v>#DIV/0!</v>
      </c>
      <c r="AP179" s="454" t="str">
        <f t="shared" si="173"/>
        <v>#DIV/0!</v>
      </c>
    </row>
    <row r="180" ht="15.75" hidden="1" customHeight="1">
      <c r="A180" s="446">
        <v>177.0</v>
      </c>
      <c r="B180" s="25" t="s">
        <v>38</v>
      </c>
      <c r="C180" s="452" t="s">
        <v>830</v>
      </c>
      <c r="D180" s="56"/>
      <c r="E180" s="56"/>
      <c r="F180" s="72"/>
      <c r="G180" s="72"/>
      <c r="H180" s="72"/>
      <c r="I180" s="72"/>
      <c r="J180" s="72"/>
      <c r="K180" s="72"/>
      <c r="L180" s="72"/>
      <c r="M180" s="72"/>
      <c r="N180" s="72"/>
      <c r="O180" s="72"/>
      <c r="P180" s="72"/>
      <c r="Q180" s="72"/>
      <c r="R180" s="72"/>
      <c r="S180" s="72"/>
      <c r="T180" s="192"/>
      <c r="U180" s="192"/>
      <c r="V180" s="192"/>
      <c r="W180" s="192"/>
      <c r="X180" s="192"/>
      <c r="Y180" s="192"/>
      <c r="Z180" s="192"/>
      <c r="AA180" s="192"/>
      <c r="AB180" s="192"/>
      <c r="AC180" s="192"/>
      <c r="AD180" s="192"/>
      <c r="AE180" s="192"/>
      <c r="AF180" s="192"/>
      <c r="AG180" s="192"/>
      <c r="AH180" s="192"/>
      <c r="AI180" s="192"/>
      <c r="AJ180" s="192"/>
      <c r="AK180" s="192" t="str">
        <f t="shared" ref="AK180:AM180" si="196">AVERAGE(D180,G180,J180,M180,P180,Y180,S180,V180,AB180,AE180,AH180)</f>
        <v>#DIV/0!</v>
      </c>
      <c r="AL180" s="192" t="str">
        <f t="shared" si="196"/>
        <v>#DIV/0!</v>
      </c>
      <c r="AM180" s="192" t="str">
        <f t="shared" si="196"/>
        <v>#DIV/0!</v>
      </c>
      <c r="AN180" s="455" t="str">
        <f t="shared" si="171"/>
        <v>#DIV/0!</v>
      </c>
      <c r="AO180" s="454" t="str">
        <f t="shared" si="172"/>
        <v>#DIV/0!</v>
      </c>
      <c r="AP180" s="454" t="str">
        <f t="shared" si="173"/>
        <v>#DIV/0!</v>
      </c>
    </row>
    <row r="181" ht="15.75" hidden="1" customHeight="1">
      <c r="A181" s="446">
        <v>178.0</v>
      </c>
      <c r="B181" s="25" t="s">
        <v>38</v>
      </c>
      <c r="C181" s="452" t="s">
        <v>831</v>
      </c>
      <c r="D181" s="56"/>
      <c r="E181" s="56"/>
      <c r="F181" s="72"/>
      <c r="G181" s="72"/>
      <c r="H181" s="72"/>
      <c r="I181" s="72"/>
      <c r="J181" s="72"/>
      <c r="K181" s="72"/>
      <c r="L181" s="72"/>
      <c r="M181" s="72"/>
      <c r="N181" s="72"/>
      <c r="O181" s="72"/>
      <c r="P181" s="72"/>
      <c r="Q181" s="72"/>
      <c r="R181" s="72"/>
      <c r="S181" s="72"/>
      <c r="T181" s="192"/>
      <c r="U181" s="192"/>
      <c r="V181" s="192"/>
      <c r="W181" s="192"/>
      <c r="X181" s="192"/>
      <c r="Y181" s="192"/>
      <c r="Z181" s="192"/>
      <c r="AA181" s="192"/>
      <c r="AB181" s="192"/>
      <c r="AC181" s="192"/>
      <c r="AD181" s="192"/>
      <c r="AE181" s="192"/>
      <c r="AF181" s="192"/>
      <c r="AG181" s="192"/>
      <c r="AH181" s="192"/>
      <c r="AI181" s="192"/>
      <c r="AJ181" s="192"/>
      <c r="AK181" s="192" t="str">
        <f t="shared" ref="AK181:AM181" si="197">AVERAGE(D181,G181,J181,M181,P181,Y181,S181,V181,AB181,AE181,AH181)</f>
        <v>#DIV/0!</v>
      </c>
      <c r="AL181" s="192" t="str">
        <f t="shared" si="197"/>
        <v>#DIV/0!</v>
      </c>
      <c r="AM181" s="192" t="str">
        <f t="shared" si="197"/>
        <v>#DIV/0!</v>
      </c>
      <c r="AN181" s="455" t="str">
        <f t="shared" si="171"/>
        <v>#DIV/0!</v>
      </c>
      <c r="AO181" s="454" t="str">
        <f t="shared" si="172"/>
        <v>#DIV/0!</v>
      </c>
      <c r="AP181" s="454" t="str">
        <f t="shared" si="173"/>
        <v>#DIV/0!</v>
      </c>
    </row>
    <row r="182" ht="15.75" hidden="1" customHeight="1">
      <c r="A182" s="446">
        <v>179.0</v>
      </c>
      <c r="B182" s="25" t="s">
        <v>22</v>
      </c>
      <c r="C182" s="452" t="s">
        <v>832</v>
      </c>
      <c r="D182" s="56">
        <v>31.0</v>
      </c>
      <c r="E182" s="56">
        <v>80.0</v>
      </c>
      <c r="F182" s="72"/>
      <c r="G182" s="72">
        <v>40.0</v>
      </c>
      <c r="H182" s="72"/>
      <c r="I182" s="72"/>
      <c r="J182" s="72">
        <v>36.0</v>
      </c>
      <c r="K182" s="72"/>
      <c r="L182" s="72"/>
      <c r="M182" s="72"/>
      <c r="N182" s="72"/>
      <c r="O182" s="72"/>
      <c r="P182" s="72">
        <v>41.0</v>
      </c>
      <c r="Q182" s="72"/>
      <c r="R182" s="72"/>
      <c r="S182" s="72">
        <v>58.0</v>
      </c>
      <c r="T182" s="192"/>
      <c r="U182" s="192"/>
      <c r="V182" s="192">
        <v>64.0</v>
      </c>
      <c r="W182" s="192"/>
      <c r="X182" s="192"/>
      <c r="Y182" s="192">
        <v>21.0</v>
      </c>
      <c r="Z182" s="192"/>
      <c r="AA182" s="192"/>
      <c r="AB182" s="192">
        <v>60.0</v>
      </c>
      <c r="AC182" s="192"/>
      <c r="AD182" s="192"/>
      <c r="AE182" s="192">
        <v>53.0</v>
      </c>
      <c r="AF182" s="192"/>
      <c r="AG182" s="192"/>
      <c r="AH182" s="192">
        <v>50.0</v>
      </c>
      <c r="AI182" s="192"/>
      <c r="AJ182" s="192"/>
      <c r="AK182" s="191">
        <f t="shared" ref="AK182:AL182" si="198">AVERAGE(D182,G182,J182,M182,P182,Y182,S182,V182,AB182,AE182,AH182)</f>
        <v>45.4</v>
      </c>
      <c r="AL182" s="192">
        <f t="shared" si="198"/>
        <v>80</v>
      </c>
      <c r="AM182" s="192" t="str">
        <f>AVERAGE(F182,I182,L182,O182,R182,AA182,U182,X182,AD182,AG182,#REF!)</f>
        <v>#REF!</v>
      </c>
      <c r="AN182" s="192">
        <f t="shared" ref="AN182:AN210" si="200">RANK(AK182,$AK$182:$AK$210)</f>
        <v>24</v>
      </c>
      <c r="AO182" s="192" t="str">
        <f t="shared" ref="AO182:AO210" si="201">RANK(AL182,$AL$182:$AL$210)</f>
        <v>#DIV/0!</v>
      </c>
      <c r="AP182" s="192"/>
    </row>
    <row r="183" ht="15.75" hidden="1" customHeight="1">
      <c r="A183" s="446">
        <v>180.0</v>
      </c>
      <c r="B183" s="25" t="s">
        <v>22</v>
      </c>
      <c r="C183" s="452" t="s">
        <v>833</v>
      </c>
      <c r="D183" s="56">
        <v>60.0</v>
      </c>
      <c r="E183" s="56"/>
      <c r="F183" s="72"/>
      <c r="G183" s="72">
        <v>48.0</v>
      </c>
      <c r="H183" s="72"/>
      <c r="I183" s="72"/>
      <c r="J183" s="72">
        <v>65.0</v>
      </c>
      <c r="K183" s="72"/>
      <c r="L183" s="72"/>
      <c r="M183" s="72"/>
      <c r="N183" s="72"/>
      <c r="O183" s="72"/>
      <c r="P183" s="72">
        <v>76.0</v>
      </c>
      <c r="Q183" s="72"/>
      <c r="R183" s="72"/>
      <c r="S183" s="72">
        <v>89.0</v>
      </c>
      <c r="T183" s="192"/>
      <c r="U183" s="192"/>
      <c r="V183" s="192">
        <v>84.0</v>
      </c>
      <c r="W183" s="192"/>
      <c r="X183" s="192"/>
      <c r="Y183" s="192">
        <v>62.0</v>
      </c>
      <c r="Z183" s="192"/>
      <c r="AA183" s="192"/>
      <c r="AB183" s="192">
        <v>56.0</v>
      </c>
      <c r="AC183" s="192"/>
      <c r="AD183" s="192"/>
      <c r="AE183" s="192">
        <v>60.0</v>
      </c>
      <c r="AF183" s="192"/>
      <c r="AG183" s="192"/>
      <c r="AH183" s="192">
        <v>61.0</v>
      </c>
      <c r="AI183" s="192"/>
      <c r="AK183" s="191">
        <f t="shared" ref="AK183:AL183" si="199">AVERAGE(D183,G183,J183,M183,P183,Y183,S183,V183,AB183,AE183,AH183)</f>
        <v>66.1</v>
      </c>
      <c r="AL183" s="192" t="str">
        <f t="shared" si="199"/>
        <v>#DIV/0!</v>
      </c>
      <c r="AM183" s="192" t="str">
        <f>AVERAGE(F183,I183,L183,O183,R183,AA183,U183,X183,AD183,AG183,AJ182)</f>
        <v>#DIV/0!</v>
      </c>
      <c r="AN183" s="192">
        <f t="shared" si="200"/>
        <v>7</v>
      </c>
      <c r="AO183" s="192" t="str">
        <f t="shared" si="201"/>
        <v>#DIV/0!</v>
      </c>
    </row>
    <row r="184" ht="15.75" hidden="1" customHeight="1">
      <c r="A184" s="446">
        <v>181.0</v>
      </c>
      <c r="B184" s="25" t="s">
        <v>22</v>
      </c>
      <c r="C184" s="452" t="s">
        <v>834</v>
      </c>
      <c r="D184" s="56">
        <v>36.0</v>
      </c>
      <c r="E184" s="56"/>
      <c r="F184" s="72"/>
      <c r="G184" s="72">
        <v>42.0</v>
      </c>
      <c r="H184" s="72"/>
      <c r="I184" s="72"/>
      <c r="J184" s="72">
        <v>48.0</v>
      </c>
      <c r="K184" s="72"/>
      <c r="L184" s="72"/>
      <c r="M184" s="72"/>
      <c r="N184" s="72"/>
      <c r="O184" s="72"/>
      <c r="P184" s="72">
        <v>50.0</v>
      </c>
      <c r="Q184" s="72"/>
      <c r="R184" s="72"/>
      <c r="S184" s="72">
        <v>71.0</v>
      </c>
      <c r="T184" s="192"/>
      <c r="U184" s="192"/>
      <c r="V184" s="192">
        <v>31.0</v>
      </c>
      <c r="W184" s="192"/>
      <c r="X184" s="192"/>
      <c r="Y184" s="192">
        <v>53.0</v>
      </c>
      <c r="Z184" s="192"/>
      <c r="AA184" s="192"/>
      <c r="AB184" s="192">
        <v>60.0</v>
      </c>
      <c r="AC184" s="192"/>
      <c r="AD184" s="192"/>
      <c r="AE184" s="192">
        <v>54.0</v>
      </c>
      <c r="AF184" s="192"/>
      <c r="AG184" s="192"/>
      <c r="AH184" s="192">
        <v>26.0</v>
      </c>
      <c r="AI184" s="192"/>
      <c r="AJ184" s="192"/>
      <c r="AK184" s="191">
        <f t="shared" ref="AK184:AM184" si="202">AVERAGE(D184,G184,J184,M184,P184,Y184,S184,V184,AB184,AE184,AH184)</f>
        <v>47.1</v>
      </c>
      <c r="AL184" s="192" t="str">
        <f t="shared" si="202"/>
        <v>#DIV/0!</v>
      </c>
      <c r="AM184" s="192" t="str">
        <f t="shared" si="202"/>
        <v>#DIV/0!</v>
      </c>
      <c r="AN184" s="192">
        <f t="shared" si="200"/>
        <v>23</v>
      </c>
      <c r="AO184" s="192" t="str">
        <f t="shared" si="201"/>
        <v>#DIV/0!</v>
      </c>
      <c r="AP184" s="192"/>
    </row>
    <row r="185" ht="15.75" hidden="1" customHeight="1">
      <c r="A185" s="446">
        <v>182.0</v>
      </c>
      <c r="B185" s="25" t="s">
        <v>22</v>
      </c>
      <c r="C185" s="452" t="s">
        <v>835</v>
      </c>
      <c r="D185" s="56">
        <v>54.0</v>
      </c>
      <c r="E185" s="56"/>
      <c r="F185" s="72"/>
      <c r="G185" s="72">
        <v>81.0</v>
      </c>
      <c r="H185" s="72"/>
      <c r="I185" s="72"/>
      <c r="J185" s="72">
        <v>87.0</v>
      </c>
      <c r="K185" s="72"/>
      <c r="L185" s="72"/>
      <c r="M185" s="72"/>
      <c r="N185" s="72"/>
      <c r="O185" s="72"/>
      <c r="P185" s="72">
        <v>68.0</v>
      </c>
      <c r="Q185" s="72"/>
      <c r="R185" s="72"/>
      <c r="S185" s="72">
        <v>86.0</v>
      </c>
      <c r="T185" s="192"/>
      <c r="U185" s="192"/>
      <c r="V185" s="192">
        <v>76.0</v>
      </c>
      <c r="W185" s="192"/>
      <c r="X185" s="192"/>
      <c r="Y185" s="192">
        <v>62.0</v>
      </c>
      <c r="Z185" s="192"/>
      <c r="AA185" s="192"/>
      <c r="AB185" s="192">
        <v>48.0</v>
      </c>
      <c r="AC185" s="192"/>
      <c r="AD185" s="192"/>
      <c r="AE185" s="192">
        <v>69.0</v>
      </c>
      <c r="AF185" s="192"/>
      <c r="AG185" s="192"/>
      <c r="AH185" s="192">
        <v>76.0</v>
      </c>
      <c r="AI185" s="192"/>
      <c r="AJ185" s="192"/>
      <c r="AK185" s="191">
        <f t="shared" ref="AK185:AM185" si="203">AVERAGE(D185,G185,J185,M185,P185,Y185,S185,V185,AB185,AE185,AH185)</f>
        <v>70.7</v>
      </c>
      <c r="AL185" s="192" t="str">
        <f t="shared" si="203"/>
        <v>#DIV/0!</v>
      </c>
      <c r="AM185" s="192" t="str">
        <f t="shared" si="203"/>
        <v>#DIV/0!</v>
      </c>
      <c r="AN185" s="192">
        <f t="shared" si="200"/>
        <v>5</v>
      </c>
      <c r="AO185" s="192" t="str">
        <f t="shared" si="201"/>
        <v>#DIV/0!</v>
      </c>
      <c r="AP185" s="192"/>
    </row>
    <row r="186" ht="15.75" hidden="1" customHeight="1">
      <c r="A186" s="446">
        <v>183.0</v>
      </c>
      <c r="B186" s="25" t="s">
        <v>22</v>
      </c>
      <c r="C186" s="452" t="s">
        <v>836</v>
      </c>
      <c r="D186" s="56">
        <v>0.0</v>
      </c>
      <c r="E186" s="56"/>
      <c r="F186" s="72"/>
      <c r="G186" s="72">
        <v>0.0</v>
      </c>
      <c r="H186" s="72"/>
      <c r="I186" s="72"/>
      <c r="J186" s="72">
        <v>0.0</v>
      </c>
      <c r="K186" s="72"/>
      <c r="L186" s="72"/>
      <c r="M186" s="72"/>
      <c r="N186" s="72"/>
      <c r="O186" s="72"/>
      <c r="P186" s="72">
        <v>0.0</v>
      </c>
      <c r="Q186" s="72"/>
      <c r="R186" s="72"/>
      <c r="S186" s="72">
        <v>0.0</v>
      </c>
      <c r="T186" s="192"/>
      <c r="U186" s="192"/>
      <c r="V186" s="192">
        <v>0.0</v>
      </c>
      <c r="W186" s="192"/>
      <c r="X186" s="192"/>
      <c r="Y186" s="192">
        <v>0.0</v>
      </c>
      <c r="Z186" s="192"/>
      <c r="AA186" s="192"/>
      <c r="AB186" s="192">
        <v>0.0</v>
      </c>
      <c r="AC186" s="192"/>
      <c r="AD186" s="192"/>
      <c r="AE186" s="192">
        <v>0.0</v>
      </c>
      <c r="AF186" s="192"/>
      <c r="AG186" s="192"/>
      <c r="AH186" s="192">
        <v>0.0</v>
      </c>
      <c r="AI186" s="192"/>
      <c r="AJ186" s="192"/>
      <c r="AK186" s="191">
        <f t="shared" ref="AK186:AM186" si="204">AVERAGE(D186,G186,J186,M186,P186,Y186,S186,V186,AB186,AE186,AH186)</f>
        <v>0</v>
      </c>
      <c r="AL186" s="192" t="str">
        <f t="shared" si="204"/>
        <v>#DIV/0!</v>
      </c>
      <c r="AM186" s="192" t="str">
        <f t="shared" si="204"/>
        <v>#DIV/0!</v>
      </c>
      <c r="AN186" s="192">
        <f t="shared" si="200"/>
        <v>29</v>
      </c>
      <c r="AO186" s="192" t="str">
        <f t="shared" si="201"/>
        <v>#DIV/0!</v>
      </c>
      <c r="AP186" s="192"/>
    </row>
    <row r="187" ht="15.75" hidden="1" customHeight="1">
      <c r="A187" s="446">
        <v>184.0</v>
      </c>
      <c r="B187" s="25" t="s">
        <v>22</v>
      </c>
      <c r="C187" s="452" t="s">
        <v>837</v>
      </c>
      <c r="D187" s="56">
        <v>1.0</v>
      </c>
      <c r="E187" s="56"/>
      <c r="F187" s="72"/>
      <c r="G187" s="72">
        <v>1.0</v>
      </c>
      <c r="H187" s="72"/>
      <c r="I187" s="72"/>
      <c r="J187" s="72">
        <v>1.0</v>
      </c>
      <c r="K187" s="72"/>
      <c r="L187" s="72"/>
      <c r="M187" s="72"/>
      <c r="N187" s="72"/>
      <c r="O187" s="72"/>
      <c r="P187" s="72">
        <v>1.0</v>
      </c>
      <c r="Q187" s="72"/>
      <c r="R187" s="72"/>
      <c r="S187" s="72">
        <v>1.0</v>
      </c>
      <c r="T187" s="192"/>
      <c r="U187" s="192"/>
      <c r="V187" s="192">
        <v>1.0</v>
      </c>
      <c r="W187" s="192"/>
      <c r="X187" s="192"/>
      <c r="Y187" s="192">
        <v>1.0</v>
      </c>
      <c r="Z187" s="192"/>
      <c r="AA187" s="192"/>
      <c r="AB187" s="192">
        <v>1.0</v>
      </c>
      <c r="AC187" s="192"/>
      <c r="AD187" s="192"/>
      <c r="AE187" s="192">
        <v>1.0</v>
      </c>
      <c r="AF187" s="192"/>
      <c r="AG187" s="192"/>
      <c r="AH187" s="192">
        <v>1.0</v>
      </c>
      <c r="AI187" s="192"/>
      <c r="AJ187" s="192"/>
      <c r="AK187" s="191">
        <f t="shared" ref="AK187:AM187" si="205">AVERAGE(D187,G187,J187,M187,P187,Y187,S187,V187,AB187,AE187,AH187)</f>
        <v>1</v>
      </c>
      <c r="AL187" s="192" t="str">
        <f t="shared" si="205"/>
        <v>#DIV/0!</v>
      </c>
      <c r="AM187" s="192" t="str">
        <f t="shared" si="205"/>
        <v>#DIV/0!</v>
      </c>
      <c r="AN187" s="192">
        <f t="shared" si="200"/>
        <v>26</v>
      </c>
      <c r="AO187" s="192" t="str">
        <f t="shared" si="201"/>
        <v>#DIV/0!</v>
      </c>
      <c r="AP187" s="192"/>
    </row>
    <row r="188" ht="15.75" hidden="1" customHeight="1">
      <c r="A188" s="446">
        <v>185.0</v>
      </c>
      <c r="B188" s="25" t="s">
        <v>22</v>
      </c>
      <c r="C188" s="452" t="s">
        <v>838</v>
      </c>
      <c r="D188" s="56">
        <v>77.0</v>
      </c>
      <c r="E188" s="56"/>
      <c r="F188" s="72"/>
      <c r="G188" s="72">
        <v>48.0</v>
      </c>
      <c r="H188" s="72"/>
      <c r="I188" s="72"/>
      <c r="J188" s="72">
        <v>76.0</v>
      </c>
      <c r="K188" s="72"/>
      <c r="L188" s="72"/>
      <c r="M188" s="72"/>
      <c r="N188" s="72"/>
      <c r="O188" s="72"/>
      <c r="P188" s="72">
        <v>97.0</v>
      </c>
      <c r="Q188" s="72"/>
      <c r="R188" s="72"/>
      <c r="S188" s="72">
        <v>90.0</v>
      </c>
      <c r="T188" s="192"/>
      <c r="U188" s="192"/>
      <c r="V188" s="192">
        <v>83.0</v>
      </c>
      <c r="W188" s="192"/>
      <c r="X188" s="192"/>
      <c r="Y188" s="192">
        <v>54.0</v>
      </c>
      <c r="Z188" s="192"/>
      <c r="AA188" s="192"/>
      <c r="AB188" s="192">
        <v>68.0</v>
      </c>
      <c r="AC188" s="192"/>
      <c r="AD188" s="192"/>
      <c r="AE188" s="192">
        <v>76.0</v>
      </c>
      <c r="AF188" s="192"/>
      <c r="AG188" s="192"/>
      <c r="AH188" s="192">
        <v>71.0</v>
      </c>
      <c r="AI188" s="192"/>
      <c r="AJ188" s="192"/>
      <c r="AK188" s="191">
        <f t="shared" ref="AK188:AM188" si="206">AVERAGE(D188,G188,J188,M188,P188,Y188,S188,V188,AB188,AE188,AH188)</f>
        <v>74</v>
      </c>
      <c r="AL188" s="192" t="str">
        <f t="shared" si="206"/>
        <v>#DIV/0!</v>
      </c>
      <c r="AM188" s="192" t="str">
        <f t="shared" si="206"/>
        <v>#DIV/0!</v>
      </c>
      <c r="AN188" s="192">
        <f t="shared" si="200"/>
        <v>3</v>
      </c>
      <c r="AO188" s="192" t="str">
        <f t="shared" si="201"/>
        <v>#DIV/0!</v>
      </c>
      <c r="AP188" s="192"/>
    </row>
    <row r="189" ht="15.75" hidden="1" customHeight="1">
      <c r="A189" s="446">
        <v>186.0</v>
      </c>
      <c r="B189" s="25" t="s">
        <v>22</v>
      </c>
      <c r="C189" s="452" t="s">
        <v>839</v>
      </c>
      <c r="D189" s="56">
        <v>48.0</v>
      </c>
      <c r="E189" s="56"/>
      <c r="F189" s="72"/>
      <c r="G189" s="72">
        <v>50.0</v>
      </c>
      <c r="H189" s="72"/>
      <c r="I189" s="72"/>
      <c r="J189" s="72">
        <v>47.0</v>
      </c>
      <c r="K189" s="72"/>
      <c r="L189" s="72"/>
      <c r="M189" s="72"/>
      <c r="N189" s="72"/>
      <c r="O189" s="72"/>
      <c r="P189" s="72">
        <v>57.0</v>
      </c>
      <c r="Q189" s="72"/>
      <c r="R189" s="72"/>
      <c r="S189" s="72">
        <v>82.0</v>
      </c>
      <c r="T189" s="192"/>
      <c r="U189" s="192"/>
      <c r="V189" s="192">
        <v>82.0</v>
      </c>
      <c r="W189" s="192"/>
      <c r="X189" s="192"/>
      <c r="Y189" s="192">
        <v>81.0</v>
      </c>
      <c r="Z189" s="192"/>
      <c r="AA189" s="192"/>
      <c r="AB189" s="192">
        <v>48.0</v>
      </c>
      <c r="AC189" s="192"/>
      <c r="AD189" s="192"/>
      <c r="AE189" s="192">
        <v>60.0</v>
      </c>
      <c r="AF189" s="192"/>
      <c r="AG189" s="192"/>
      <c r="AH189" s="192">
        <v>72.0</v>
      </c>
      <c r="AI189" s="192"/>
      <c r="AJ189" s="192"/>
      <c r="AK189" s="191">
        <f t="shared" ref="AK189:AM189" si="207">AVERAGE(D189,G189,J189,M189,P189,Y189,S189,V189,AB189,AE189,AH189)</f>
        <v>62.7</v>
      </c>
      <c r="AL189" s="192" t="str">
        <f t="shared" si="207"/>
        <v>#DIV/0!</v>
      </c>
      <c r="AM189" s="192" t="str">
        <f t="shared" si="207"/>
        <v>#DIV/0!</v>
      </c>
      <c r="AN189" s="192">
        <f t="shared" si="200"/>
        <v>15</v>
      </c>
      <c r="AO189" s="192" t="str">
        <f t="shared" si="201"/>
        <v>#DIV/0!</v>
      </c>
      <c r="AP189" s="192"/>
    </row>
    <row r="190" ht="15.75" hidden="1" customHeight="1">
      <c r="A190" s="446">
        <v>187.0</v>
      </c>
      <c r="B190" s="25" t="s">
        <v>22</v>
      </c>
      <c r="C190" s="452" t="s">
        <v>840</v>
      </c>
      <c r="D190" s="56">
        <v>57.0</v>
      </c>
      <c r="E190" s="56"/>
      <c r="F190" s="72"/>
      <c r="G190" s="72">
        <v>58.0</v>
      </c>
      <c r="H190" s="72"/>
      <c r="I190" s="72"/>
      <c r="J190" s="72">
        <v>60.0</v>
      </c>
      <c r="K190" s="72"/>
      <c r="L190" s="72"/>
      <c r="M190" s="72"/>
      <c r="N190" s="72"/>
      <c r="O190" s="72"/>
      <c r="P190" s="72">
        <v>73.0</v>
      </c>
      <c r="Q190" s="72"/>
      <c r="R190" s="72"/>
      <c r="S190" s="72">
        <v>83.0</v>
      </c>
      <c r="T190" s="192"/>
      <c r="U190" s="192"/>
      <c r="V190" s="192">
        <v>89.0</v>
      </c>
      <c r="W190" s="192"/>
      <c r="X190" s="192"/>
      <c r="Y190" s="192">
        <v>12.0</v>
      </c>
      <c r="Z190" s="192"/>
      <c r="AA190" s="192"/>
      <c r="AB190" s="192">
        <v>68.0</v>
      </c>
      <c r="AC190" s="192"/>
      <c r="AD190" s="192"/>
      <c r="AE190" s="192">
        <v>66.0</v>
      </c>
      <c r="AF190" s="192"/>
      <c r="AG190" s="192"/>
      <c r="AH190" s="192">
        <v>64.0</v>
      </c>
      <c r="AI190" s="192"/>
      <c r="AJ190" s="192"/>
      <c r="AK190" s="191">
        <f t="shared" ref="AK190:AM190" si="208">AVERAGE(D190,G190,J190,M190,P190,Y190,S190,V190,AB190,AE190,AH190)</f>
        <v>63</v>
      </c>
      <c r="AL190" s="192" t="str">
        <f t="shared" si="208"/>
        <v>#DIV/0!</v>
      </c>
      <c r="AM190" s="192" t="str">
        <f t="shared" si="208"/>
        <v>#DIV/0!</v>
      </c>
      <c r="AN190" s="192">
        <f t="shared" si="200"/>
        <v>13</v>
      </c>
      <c r="AO190" s="192" t="str">
        <f t="shared" si="201"/>
        <v>#DIV/0!</v>
      </c>
      <c r="AP190" s="192"/>
    </row>
    <row r="191" ht="15.75" hidden="1" customHeight="1">
      <c r="A191" s="446">
        <v>188.0</v>
      </c>
      <c r="B191" s="25" t="s">
        <v>22</v>
      </c>
      <c r="C191" s="452" t="s">
        <v>841</v>
      </c>
      <c r="D191" s="56">
        <v>22.0</v>
      </c>
      <c r="E191" s="56"/>
      <c r="F191" s="72"/>
      <c r="G191" s="72">
        <v>37.0</v>
      </c>
      <c r="H191" s="72"/>
      <c r="I191" s="72"/>
      <c r="J191" s="72">
        <v>39.0</v>
      </c>
      <c r="K191" s="72"/>
      <c r="L191" s="72"/>
      <c r="M191" s="72"/>
      <c r="N191" s="72"/>
      <c r="O191" s="72"/>
      <c r="P191" s="72">
        <v>28.0</v>
      </c>
      <c r="Q191" s="72"/>
      <c r="R191" s="72"/>
      <c r="S191" s="72">
        <v>83.0</v>
      </c>
      <c r="T191" s="192"/>
      <c r="U191" s="192"/>
      <c r="V191" s="192">
        <v>63.0</v>
      </c>
      <c r="W191" s="192"/>
      <c r="X191" s="192"/>
      <c r="Y191" s="192">
        <v>56.0</v>
      </c>
      <c r="Z191" s="192"/>
      <c r="AA191" s="192"/>
      <c r="AB191" s="192">
        <v>68.0</v>
      </c>
      <c r="AC191" s="192"/>
      <c r="AD191" s="192"/>
      <c r="AE191" s="192">
        <v>34.0</v>
      </c>
      <c r="AF191" s="192"/>
      <c r="AG191" s="192"/>
      <c r="AH191" s="192">
        <v>57.0</v>
      </c>
      <c r="AI191" s="192"/>
      <c r="AJ191" s="192"/>
      <c r="AK191" s="191">
        <f t="shared" ref="AK191:AM191" si="209">AVERAGE(D191,G191,J191,M191,P191,Y191,S191,V191,AB191,AE191,AH191)</f>
        <v>48.7</v>
      </c>
      <c r="AL191" s="192" t="str">
        <f t="shared" si="209"/>
        <v>#DIV/0!</v>
      </c>
      <c r="AM191" s="192" t="str">
        <f t="shared" si="209"/>
        <v>#DIV/0!</v>
      </c>
      <c r="AN191" s="192">
        <f t="shared" si="200"/>
        <v>22</v>
      </c>
      <c r="AO191" s="192" t="str">
        <f t="shared" si="201"/>
        <v>#DIV/0!</v>
      </c>
      <c r="AP191" s="192"/>
    </row>
    <row r="192" ht="15.75" hidden="1" customHeight="1">
      <c r="A192" s="446">
        <v>189.0</v>
      </c>
      <c r="B192" s="25" t="s">
        <v>22</v>
      </c>
      <c r="C192" s="452" t="s">
        <v>842</v>
      </c>
      <c r="D192" s="56">
        <v>77.0</v>
      </c>
      <c r="E192" s="56"/>
      <c r="F192" s="72"/>
      <c r="G192" s="72">
        <v>45.0</v>
      </c>
      <c r="H192" s="72"/>
      <c r="I192" s="72"/>
      <c r="J192" s="72">
        <v>54.0</v>
      </c>
      <c r="K192" s="72"/>
      <c r="L192" s="72"/>
      <c r="M192" s="72"/>
      <c r="N192" s="72"/>
      <c r="O192" s="72"/>
      <c r="P192" s="72">
        <v>77.0</v>
      </c>
      <c r="Q192" s="72"/>
      <c r="R192" s="72"/>
      <c r="S192" s="72">
        <v>89.0</v>
      </c>
      <c r="T192" s="192"/>
      <c r="U192" s="192"/>
      <c r="V192" s="192">
        <v>76.0</v>
      </c>
      <c r="W192" s="192"/>
      <c r="X192" s="192"/>
      <c r="Y192" s="192">
        <v>23.0</v>
      </c>
      <c r="Z192" s="192"/>
      <c r="AA192" s="192"/>
      <c r="AB192" s="192">
        <v>72.0</v>
      </c>
      <c r="AC192" s="192"/>
      <c r="AD192" s="192"/>
      <c r="AE192" s="192">
        <v>63.0</v>
      </c>
      <c r="AF192" s="192"/>
      <c r="AG192" s="192"/>
      <c r="AH192" s="192">
        <v>73.0</v>
      </c>
      <c r="AI192" s="192"/>
      <c r="AJ192" s="192"/>
      <c r="AK192" s="191">
        <f t="shared" ref="AK192:AM192" si="210">AVERAGE(D192,G192,J192,M192,P192,Y192,S192,V192,AB192,AE192,AH192)</f>
        <v>64.9</v>
      </c>
      <c r="AL192" s="192" t="str">
        <f t="shared" si="210"/>
        <v>#DIV/0!</v>
      </c>
      <c r="AM192" s="192" t="str">
        <f t="shared" si="210"/>
        <v>#DIV/0!</v>
      </c>
      <c r="AN192" s="192">
        <f t="shared" si="200"/>
        <v>9</v>
      </c>
      <c r="AO192" s="192" t="str">
        <f t="shared" si="201"/>
        <v>#DIV/0!</v>
      </c>
      <c r="AP192" s="192"/>
    </row>
    <row r="193" ht="15.75" hidden="1" customHeight="1">
      <c r="A193" s="446">
        <v>190.0</v>
      </c>
      <c r="B193" s="25" t="s">
        <v>22</v>
      </c>
      <c r="C193" s="452" t="s">
        <v>821</v>
      </c>
      <c r="D193" s="56">
        <v>52.0</v>
      </c>
      <c r="E193" s="56"/>
      <c r="F193" s="72"/>
      <c r="G193" s="72">
        <v>61.0</v>
      </c>
      <c r="H193" s="72"/>
      <c r="I193" s="72"/>
      <c r="J193" s="72">
        <v>74.0</v>
      </c>
      <c r="K193" s="72"/>
      <c r="L193" s="72"/>
      <c r="M193" s="72"/>
      <c r="N193" s="72"/>
      <c r="O193" s="72"/>
      <c r="P193" s="72">
        <v>57.0</v>
      </c>
      <c r="Q193" s="72"/>
      <c r="R193" s="72"/>
      <c r="S193" s="72">
        <v>81.0</v>
      </c>
      <c r="T193" s="192"/>
      <c r="U193" s="192"/>
      <c r="V193" s="192">
        <v>53.0</v>
      </c>
      <c r="W193" s="192"/>
      <c r="X193" s="192"/>
      <c r="Y193" s="192">
        <v>65.0</v>
      </c>
      <c r="Z193" s="192"/>
      <c r="AA193" s="192"/>
      <c r="AB193" s="192">
        <v>64.0</v>
      </c>
      <c r="AC193" s="192"/>
      <c r="AD193" s="192"/>
      <c r="AE193" s="192">
        <v>53.0</v>
      </c>
      <c r="AF193" s="192"/>
      <c r="AG193" s="192"/>
      <c r="AH193" s="192">
        <v>69.0</v>
      </c>
      <c r="AI193" s="192"/>
      <c r="AJ193" s="192"/>
      <c r="AK193" s="191">
        <f t="shared" ref="AK193:AM193" si="211">AVERAGE(D193,G193,J193,M193,P193,Y193,S193,V193,AB193,AE193,AH193)</f>
        <v>62.9</v>
      </c>
      <c r="AL193" s="192" t="str">
        <f t="shared" si="211"/>
        <v>#DIV/0!</v>
      </c>
      <c r="AM193" s="192" t="str">
        <f t="shared" si="211"/>
        <v>#DIV/0!</v>
      </c>
      <c r="AN193" s="192">
        <f t="shared" si="200"/>
        <v>14</v>
      </c>
      <c r="AO193" s="192" t="str">
        <f t="shared" si="201"/>
        <v>#DIV/0!</v>
      </c>
      <c r="AP193" s="192"/>
    </row>
    <row r="194" ht="15.75" hidden="1" customHeight="1">
      <c r="A194" s="446">
        <v>191.0</v>
      </c>
      <c r="B194" s="25" t="s">
        <v>22</v>
      </c>
      <c r="C194" s="452" t="s">
        <v>843</v>
      </c>
      <c r="D194" s="56">
        <v>47.0</v>
      </c>
      <c r="E194" s="56"/>
      <c r="F194" s="72"/>
      <c r="G194" s="72">
        <v>57.0</v>
      </c>
      <c r="H194" s="72"/>
      <c r="I194" s="72"/>
      <c r="J194" s="72">
        <v>76.0</v>
      </c>
      <c r="K194" s="72"/>
      <c r="L194" s="72"/>
      <c r="M194" s="72"/>
      <c r="N194" s="72"/>
      <c r="O194" s="72"/>
      <c r="P194" s="72">
        <v>57.0</v>
      </c>
      <c r="Q194" s="72"/>
      <c r="R194" s="72"/>
      <c r="S194" s="72">
        <v>92.0</v>
      </c>
      <c r="T194" s="192"/>
      <c r="U194" s="192"/>
      <c r="V194" s="192">
        <v>68.0</v>
      </c>
      <c r="W194" s="192"/>
      <c r="X194" s="192"/>
      <c r="Y194" s="192">
        <v>76.0</v>
      </c>
      <c r="Z194" s="192"/>
      <c r="AA194" s="192"/>
      <c r="AB194" s="192">
        <v>64.0</v>
      </c>
      <c r="AC194" s="192"/>
      <c r="AD194" s="192"/>
      <c r="AE194" s="192">
        <v>62.0</v>
      </c>
      <c r="AF194" s="192"/>
      <c r="AG194" s="192"/>
      <c r="AH194" s="192">
        <v>58.0</v>
      </c>
      <c r="AI194" s="192"/>
      <c r="AJ194" s="192"/>
      <c r="AK194" s="191">
        <f t="shared" ref="AK194:AM194" si="212">AVERAGE(D194,G194,J194,M194,P194,Y194,S194,V194,AB194,AE194,AH194)</f>
        <v>65.7</v>
      </c>
      <c r="AL194" s="192" t="str">
        <f t="shared" si="212"/>
        <v>#DIV/0!</v>
      </c>
      <c r="AM194" s="192" t="str">
        <f t="shared" si="212"/>
        <v>#DIV/0!</v>
      </c>
      <c r="AN194" s="192">
        <f t="shared" si="200"/>
        <v>8</v>
      </c>
      <c r="AO194" s="192" t="str">
        <f t="shared" si="201"/>
        <v>#DIV/0!</v>
      </c>
      <c r="AP194" s="192"/>
    </row>
    <row r="195" ht="15.75" hidden="1" customHeight="1">
      <c r="A195" s="446">
        <v>192.0</v>
      </c>
      <c r="B195" s="25" t="s">
        <v>22</v>
      </c>
      <c r="C195" s="452" t="s">
        <v>844</v>
      </c>
      <c r="D195" s="56">
        <v>57.0</v>
      </c>
      <c r="E195" s="56"/>
      <c r="F195" s="72"/>
      <c r="G195" s="72">
        <v>46.0</v>
      </c>
      <c r="H195" s="72"/>
      <c r="I195" s="72"/>
      <c r="J195" s="72">
        <v>51.0</v>
      </c>
      <c r="K195" s="72"/>
      <c r="L195" s="72"/>
      <c r="M195" s="72"/>
      <c r="N195" s="72"/>
      <c r="O195" s="72"/>
      <c r="P195" s="72">
        <v>57.0</v>
      </c>
      <c r="Q195" s="72"/>
      <c r="R195" s="72"/>
      <c r="S195" s="72">
        <v>85.0</v>
      </c>
      <c r="T195" s="192"/>
      <c r="U195" s="192"/>
      <c r="V195" s="192">
        <v>69.0</v>
      </c>
      <c r="W195" s="192"/>
      <c r="X195" s="192"/>
      <c r="Y195" s="192">
        <v>67.0</v>
      </c>
      <c r="Z195" s="192"/>
      <c r="AA195" s="192"/>
      <c r="AB195" s="192">
        <v>68.0</v>
      </c>
      <c r="AC195" s="192"/>
      <c r="AD195" s="192"/>
      <c r="AE195" s="192">
        <v>70.0</v>
      </c>
      <c r="AF195" s="192"/>
      <c r="AG195" s="192"/>
      <c r="AH195" s="192">
        <v>69.0</v>
      </c>
      <c r="AI195" s="192"/>
      <c r="AJ195" s="192"/>
      <c r="AK195" s="191">
        <f t="shared" ref="AK195:AM195" si="213">AVERAGE(D195,G195,J195,M195,P195,Y195,S195,V195,AB195,AE195,AH195)</f>
        <v>63.9</v>
      </c>
      <c r="AL195" s="192" t="str">
        <f t="shared" si="213"/>
        <v>#DIV/0!</v>
      </c>
      <c r="AM195" s="192" t="str">
        <f t="shared" si="213"/>
        <v>#DIV/0!</v>
      </c>
      <c r="AN195" s="192">
        <f t="shared" si="200"/>
        <v>10</v>
      </c>
      <c r="AO195" s="192" t="str">
        <f t="shared" si="201"/>
        <v>#DIV/0!</v>
      </c>
      <c r="AP195" s="192"/>
    </row>
    <row r="196" ht="15.75" hidden="1" customHeight="1">
      <c r="A196" s="446">
        <v>193.0</v>
      </c>
      <c r="B196" s="25" t="s">
        <v>22</v>
      </c>
      <c r="C196" s="452" t="s">
        <v>845</v>
      </c>
      <c r="D196" s="56">
        <v>48.0</v>
      </c>
      <c r="E196" s="56"/>
      <c r="F196" s="72"/>
      <c r="G196" s="72">
        <v>53.0</v>
      </c>
      <c r="H196" s="72"/>
      <c r="I196" s="72"/>
      <c r="J196" s="72">
        <v>66.0</v>
      </c>
      <c r="K196" s="72"/>
      <c r="L196" s="72"/>
      <c r="M196" s="72"/>
      <c r="N196" s="72"/>
      <c r="O196" s="72"/>
      <c r="P196" s="72">
        <v>62.0</v>
      </c>
      <c r="Q196" s="72"/>
      <c r="R196" s="72"/>
      <c r="S196" s="72">
        <v>91.0</v>
      </c>
      <c r="T196" s="192"/>
      <c r="U196" s="192"/>
      <c r="V196" s="192">
        <v>67.0</v>
      </c>
      <c r="W196" s="192"/>
      <c r="X196" s="192"/>
      <c r="Y196" s="192">
        <v>45.0</v>
      </c>
      <c r="Z196" s="192"/>
      <c r="AA196" s="192"/>
      <c r="AB196" s="192">
        <v>64.0</v>
      </c>
      <c r="AC196" s="192"/>
      <c r="AD196" s="192"/>
      <c r="AE196" s="192">
        <v>78.0</v>
      </c>
      <c r="AF196" s="192"/>
      <c r="AG196" s="192"/>
      <c r="AH196" s="192">
        <v>65.0</v>
      </c>
      <c r="AI196" s="192"/>
      <c r="AJ196" s="192"/>
      <c r="AK196" s="191">
        <f t="shared" ref="AK196:AM196" si="214">AVERAGE(D196,G196,J196,M196,P196,Y196,S196,V196,AB196,AE196,AH196)</f>
        <v>63.9</v>
      </c>
      <c r="AL196" s="192" t="str">
        <f t="shared" si="214"/>
        <v>#DIV/0!</v>
      </c>
      <c r="AM196" s="192" t="str">
        <f t="shared" si="214"/>
        <v>#DIV/0!</v>
      </c>
      <c r="AN196" s="192">
        <f t="shared" si="200"/>
        <v>10</v>
      </c>
      <c r="AO196" s="192" t="str">
        <f t="shared" si="201"/>
        <v>#DIV/0!</v>
      </c>
      <c r="AP196" s="192"/>
    </row>
    <row r="197" ht="15.75" hidden="1" customHeight="1">
      <c r="A197" s="446">
        <v>194.0</v>
      </c>
      <c r="B197" s="25" t="s">
        <v>22</v>
      </c>
      <c r="C197" s="452" t="s">
        <v>846</v>
      </c>
      <c r="D197" s="56">
        <v>58.0</v>
      </c>
      <c r="E197" s="56"/>
      <c r="F197" s="72"/>
      <c r="G197" s="72">
        <v>47.0</v>
      </c>
      <c r="H197" s="72"/>
      <c r="I197" s="72"/>
      <c r="J197" s="72">
        <v>60.0</v>
      </c>
      <c r="K197" s="72"/>
      <c r="L197" s="72"/>
      <c r="M197" s="72"/>
      <c r="N197" s="72"/>
      <c r="O197" s="72"/>
      <c r="P197" s="72">
        <v>67.0</v>
      </c>
      <c r="Q197" s="72"/>
      <c r="R197" s="72"/>
      <c r="S197" s="72">
        <v>68.0</v>
      </c>
      <c r="T197" s="192"/>
      <c r="U197" s="192"/>
      <c r="V197" s="192">
        <v>80.0</v>
      </c>
      <c r="W197" s="192"/>
      <c r="X197" s="192"/>
      <c r="Y197" s="192">
        <v>43.0</v>
      </c>
      <c r="Z197" s="192"/>
      <c r="AA197" s="192"/>
      <c r="AB197" s="192">
        <v>68.0</v>
      </c>
      <c r="AC197" s="192"/>
      <c r="AD197" s="192"/>
      <c r="AE197" s="192">
        <v>78.0</v>
      </c>
      <c r="AF197" s="192"/>
      <c r="AG197" s="192"/>
      <c r="AH197" s="192">
        <v>68.0</v>
      </c>
      <c r="AI197" s="192"/>
      <c r="AJ197" s="192"/>
      <c r="AK197" s="191">
        <f t="shared" ref="AK197:AM197" si="215">AVERAGE(D197,G197,J197,M197,P197,Y197,S197,V197,AB197,AE197,AH197)</f>
        <v>63.7</v>
      </c>
      <c r="AL197" s="192" t="str">
        <f t="shared" si="215"/>
        <v>#DIV/0!</v>
      </c>
      <c r="AM197" s="192" t="str">
        <f t="shared" si="215"/>
        <v>#DIV/0!</v>
      </c>
      <c r="AN197" s="192">
        <f t="shared" si="200"/>
        <v>12</v>
      </c>
      <c r="AO197" s="192" t="str">
        <f t="shared" si="201"/>
        <v>#DIV/0!</v>
      </c>
      <c r="AP197" s="192"/>
    </row>
    <row r="198" ht="15.75" hidden="1" customHeight="1">
      <c r="A198" s="446">
        <v>195.0</v>
      </c>
      <c r="B198" s="25" t="s">
        <v>22</v>
      </c>
      <c r="C198" s="452" t="s">
        <v>847</v>
      </c>
      <c r="D198" s="56">
        <v>52.0</v>
      </c>
      <c r="E198" s="56"/>
      <c r="F198" s="72"/>
      <c r="G198" s="72">
        <v>51.0</v>
      </c>
      <c r="H198" s="72"/>
      <c r="I198" s="72"/>
      <c r="J198" s="72">
        <v>55.0</v>
      </c>
      <c r="K198" s="72"/>
      <c r="L198" s="72"/>
      <c r="M198" s="72"/>
      <c r="N198" s="72"/>
      <c r="O198" s="72"/>
      <c r="P198" s="72">
        <v>64.0</v>
      </c>
      <c r="Q198" s="72"/>
      <c r="R198" s="72"/>
      <c r="S198" s="72">
        <v>76.0</v>
      </c>
      <c r="T198" s="192"/>
      <c r="U198" s="192"/>
      <c r="V198" s="192">
        <v>43.0</v>
      </c>
      <c r="W198" s="192"/>
      <c r="X198" s="192"/>
      <c r="Y198" s="192">
        <v>52.0</v>
      </c>
      <c r="Z198" s="192"/>
      <c r="AA198" s="192"/>
      <c r="AB198" s="192">
        <v>44.0</v>
      </c>
      <c r="AC198" s="192"/>
      <c r="AD198" s="192"/>
      <c r="AE198" s="192">
        <v>60.0</v>
      </c>
      <c r="AF198" s="192"/>
      <c r="AG198" s="192"/>
      <c r="AH198" s="192">
        <v>52.0</v>
      </c>
      <c r="AI198" s="192"/>
      <c r="AJ198" s="192"/>
      <c r="AK198" s="191">
        <f t="shared" ref="AK198:AM198" si="216">AVERAGE(D198,G198,J198,M198,P198,Y198,S198,V198,AB198,AE198,AH198)</f>
        <v>54.9</v>
      </c>
      <c r="AL198" s="192" t="str">
        <f t="shared" si="216"/>
        <v>#DIV/0!</v>
      </c>
      <c r="AM198" s="192" t="str">
        <f t="shared" si="216"/>
        <v>#DIV/0!</v>
      </c>
      <c r="AN198" s="192">
        <f t="shared" si="200"/>
        <v>21</v>
      </c>
      <c r="AO198" s="192" t="str">
        <f t="shared" si="201"/>
        <v>#DIV/0!</v>
      </c>
      <c r="AP198" s="192"/>
    </row>
    <row r="199" ht="15.75" hidden="1" customHeight="1">
      <c r="A199" s="446">
        <v>196.0</v>
      </c>
      <c r="B199" s="25" t="s">
        <v>22</v>
      </c>
      <c r="C199" s="452" t="s">
        <v>848</v>
      </c>
      <c r="D199" s="56">
        <v>51.0</v>
      </c>
      <c r="E199" s="56"/>
      <c r="F199" s="72"/>
      <c r="G199" s="72">
        <v>43.0</v>
      </c>
      <c r="H199" s="72"/>
      <c r="I199" s="72"/>
      <c r="J199" s="72">
        <v>51.0</v>
      </c>
      <c r="K199" s="72"/>
      <c r="L199" s="72"/>
      <c r="M199" s="72"/>
      <c r="N199" s="72"/>
      <c r="O199" s="72"/>
      <c r="P199" s="72">
        <v>63.0</v>
      </c>
      <c r="Q199" s="72"/>
      <c r="R199" s="72"/>
      <c r="S199" s="72">
        <v>86.0</v>
      </c>
      <c r="T199" s="192"/>
      <c r="U199" s="192"/>
      <c r="V199" s="192">
        <v>50.0</v>
      </c>
      <c r="W199" s="192"/>
      <c r="X199" s="192"/>
      <c r="Y199" s="192">
        <v>62.0</v>
      </c>
      <c r="Z199" s="192"/>
      <c r="AA199" s="192"/>
      <c r="AB199" s="192">
        <v>48.0</v>
      </c>
      <c r="AC199" s="192"/>
      <c r="AD199" s="192"/>
      <c r="AE199" s="192">
        <v>52.0</v>
      </c>
      <c r="AF199" s="192"/>
      <c r="AG199" s="192"/>
      <c r="AH199" s="192">
        <v>68.0</v>
      </c>
      <c r="AI199" s="192"/>
      <c r="AJ199" s="192"/>
      <c r="AK199" s="191">
        <f t="shared" ref="AK199:AM199" si="217">AVERAGE(D199,G199,J199,M199,P199,Y199,S199,V199,AB199,AE199,AH199)</f>
        <v>57.4</v>
      </c>
      <c r="AL199" s="192" t="str">
        <f t="shared" si="217"/>
        <v>#DIV/0!</v>
      </c>
      <c r="AM199" s="192" t="str">
        <f t="shared" si="217"/>
        <v>#DIV/0!</v>
      </c>
      <c r="AN199" s="192">
        <f t="shared" si="200"/>
        <v>20</v>
      </c>
      <c r="AO199" s="192" t="str">
        <f t="shared" si="201"/>
        <v>#DIV/0!</v>
      </c>
      <c r="AP199" s="192"/>
    </row>
    <row r="200" ht="15.75" hidden="1" customHeight="1">
      <c r="A200" s="446">
        <v>197.0</v>
      </c>
      <c r="B200" s="25" t="s">
        <v>22</v>
      </c>
      <c r="C200" s="452" t="s">
        <v>849</v>
      </c>
      <c r="D200" s="56">
        <v>60.0</v>
      </c>
      <c r="E200" s="56"/>
      <c r="F200" s="72"/>
      <c r="G200" s="72">
        <v>53.0</v>
      </c>
      <c r="H200" s="72"/>
      <c r="I200" s="72"/>
      <c r="J200" s="72">
        <v>85.0</v>
      </c>
      <c r="K200" s="72"/>
      <c r="L200" s="72"/>
      <c r="M200" s="72"/>
      <c r="N200" s="72"/>
      <c r="O200" s="72"/>
      <c r="P200" s="72">
        <v>74.0</v>
      </c>
      <c r="Q200" s="72"/>
      <c r="R200" s="72"/>
      <c r="S200" s="72">
        <v>78.0</v>
      </c>
      <c r="T200" s="192"/>
      <c r="U200" s="192"/>
      <c r="V200" s="192">
        <v>89.0</v>
      </c>
      <c r="W200" s="192"/>
      <c r="X200" s="192"/>
      <c r="Y200" s="192">
        <v>64.0</v>
      </c>
      <c r="Z200" s="192"/>
      <c r="AA200" s="192"/>
      <c r="AB200" s="192">
        <v>68.0</v>
      </c>
      <c r="AC200" s="192"/>
      <c r="AD200" s="192"/>
      <c r="AE200" s="192">
        <v>83.0</v>
      </c>
      <c r="AF200" s="192"/>
      <c r="AG200" s="192"/>
      <c r="AH200" s="192">
        <v>77.0</v>
      </c>
      <c r="AI200" s="192"/>
      <c r="AJ200" s="192"/>
      <c r="AK200" s="191">
        <f t="shared" ref="AK200:AM200" si="218">AVERAGE(D200,G200,J200,M200,P200,Y200,S200,V200,AB200,AE200,AH200)</f>
        <v>73.1</v>
      </c>
      <c r="AL200" s="192" t="str">
        <f t="shared" si="218"/>
        <v>#DIV/0!</v>
      </c>
      <c r="AM200" s="192" t="str">
        <f t="shared" si="218"/>
        <v>#DIV/0!</v>
      </c>
      <c r="AN200" s="192">
        <f t="shared" si="200"/>
        <v>4</v>
      </c>
      <c r="AO200" s="192" t="str">
        <f t="shared" si="201"/>
        <v>#DIV/0!</v>
      </c>
      <c r="AP200" s="192"/>
    </row>
    <row r="201" ht="15.75" hidden="1" customHeight="1">
      <c r="A201" s="446">
        <v>198.0</v>
      </c>
      <c r="B201" s="25" t="s">
        <v>22</v>
      </c>
      <c r="C201" s="452" t="s">
        <v>850</v>
      </c>
      <c r="D201" s="56">
        <v>79.0</v>
      </c>
      <c r="E201" s="56"/>
      <c r="F201" s="72"/>
      <c r="G201" s="72">
        <v>81.0</v>
      </c>
      <c r="H201" s="72"/>
      <c r="I201" s="72"/>
      <c r="J201" s="72">
        <v>89.0</v>
      </c>
      <c r="K201" s="72"/>
      <c r="L201" s="72"/>
      <c r="M201" s="72"/>
      <c r="N201" s="72"/>
      <c r="O201" s="72"/>
      <c r="P201" s="72">
        <v>79.0</v>
      </c>
      <c r="Q201" s="72"/>
      <c r="R201" s="72"/>
      <c r="S201" s="72">
        <v>100.0</v>
      </c>
      <c r="T201" s="192"/>
      <c r="U201" s="192"/>
      <c r="V201" s="192">
        <v>91.0</v>
      </c>
      <c r="W201" s="192"/>
      <c r="X201" s="192"/>
      <c r="Y201" s="192">
        <v>79.0</v>
      </c>
      <c r="Z201" s="192"/>
      <c r="AA201" s="192"/>
      <c r="AB201" s="192">
        <v>52.0</v>
      </c>
      <c r="AC201" s="192"/>
      <c r="AD201" s="192"/>
      <c r="AE201" s="192">
        <v>85.0</v>
      </c>
      <c r="AF201" s="192"/>
      <c r="AG201" s="192"/>
      <c r="AH201" s="192">
        <v>84.0</v>
      </c>
      <c r="AI201" s="192"/>
      <c r="AJ201" s="192"/>
      <c r="AK201" s="191">
        <f t="shared" ref="AK201:AM201" si="219">AVERAGE(D201,G201,J201,M201,P201,Y201,S201,V201,AB201,AE201,AH201)</f>
        <v>81.9</v>
      </c>
      <c r="AL201" s="192" t="str">
        <f t="shared" si="219"/>
        <v>#DIV/0!</v>
      </c>
      <c r="AM201" s="192" t="str">
        <f t="shared" si="219"/>
        <v>#DIV/0!</v>
      </c>
      <c r="AN201" s="192">
        <f t="shared" si="200"/>
        <v>1</v>
      </c>
      <c r="AO201" s="192" t="str">
        <f t="shared" si="201"/>
        <v>#DIV/0!</v>
      </c>
      <c r="AP201" s="192"/>
    </row>
    <row r="202" ht="15.75" hidden="1" customHeight="1">
      <c r="A202" s="446">
        <v>199.0</v>
      </c>
      <c r="B202" s="25" t="s">
        <v>22</v>
      </c>
      <c r="C202" s="452" t="s">
        <v>851</v>
      </c>
      <c r="D202" s="56">
        <v>87.0</v>
      </c>
      <c r="E202" s="56"/>
      <c r="F202" s="72"/>
      <c r="G202" s="72">
        <v>91.0</v>
      </c>
      <c r="H202" s="72"/>
      <c r="I202" s="72"/>
      <c r="J202" s="72">
        <v>65.0</v>
      </c>
      <c r="K202" s="72"/>
      <c r="L202" s="72"/>
      <c r="M202" s="72"/>
      <c r="N202" s="72"/>
      <c r="O202" s="72"/>
      <c r="P202" s="72">
        <v>95.0</v>
      </c>
      <c r="Q202" s="72"/>
      <c r="R202" s="72"/>
      <c r="S202" s="72">
        <v>87.0</v>
      </c>
      <c r="T202" s="192"/>
      <c r="U202" s="192"/>
      <c r="V202" s="192">
        <v>89.0</v>
      </c>
      <c r="W202" s="192"/>
      <c r="X202" s="192"/>
      <c r="Y202" s="192">
        <v>77.0</v>
      </c>
      <c r="Z202" s="192"/>
      <c r="AA202" s="192"/>
      <c r="AB202" s="192">
        <v>64.0</v>
      </c>
      <c r="AC202" s="192"/>
      <c r="AD202" s="192"/>
      <c r="AE202" s="192">
        <v>87.0</v>
      </c>
      <c r="AF202" s="192"/>
      <c r="AG202" s="192"/>
      <c r="AH202" s="192">
        <v>75.0</v>
      </c>
      <c r="AI202" s="192"/>
      <c r="AJ202" s="192"/>
      <c r="AK202" s="191">
        <f t="shared" ref="AK202:AM202" si="220">AVERAGE(D202,G202,J202,M202,P202,Y202,S202,V202,AB202,AE202,AH202)</f>
        <v>81.7</v>
      </c>
      <c r="AL202" s="192" t="str">
        <f t="shared" si="220"/>
        <v>#DIV/0!</v>
      </c>
      <c r="AM202" s="192" t="str">
        <f t="shared" si="220"/>
        <v>#DIV/0!</v>
      </c>
      <c r="AN202" s="192">
        <f t="shared" si="200"/>
        <v>2</v>
      </c>
      <c r="AO202" s="192" t="str">
        <f t="shared" si="201"/>
        <v>#DIV/0!</v>
      </c>
      <c r="AP202" s="192"/>
    </row>
    <row r="203" ht="15.75" hidden="1" customHeight="1">
      <c r="A203" s="446">
        <v>200.0</v>
      </c>
      <c r="B203" s="25" t="s">
        <v>22</v>
      </c>
      <c r="C203" s="452" t="s">
        <v>852</v>
      </c>
      <c r="D203" s="56">
        <v>50.0</v>
      </c>
      <c r="E203" s="56"/>
      <c r="F203" s="72"/>
      <c r="G203" s="72">
        <v>51.0</v>
      </c>
      <c r="H203" s="72"/>
      <c r="I203" s="72"/>
      <c r="J203" s="72">
        <v>54.0</v>
      </c>
      <c r="K203" s="72"/>
      <c r="L203" s="72"/>
      <c r="M203" s="72"/>
      <c r="N203" s="72"/>
      <c r="O203" s="72"/>
      <c r="P203" s="72">
        <v>64.0</v>
      </c>
      <c r="Q203" s="72"/>
      <c r="R203" s="72"/>
      <c r="S203" s="72">
        <v>88.0</v>
      </c>
      <c r="T203" s="192"/>
      <c r="U203" s="192"/>
      <c r="V203" s="192">
        <v>88.0</v>
      </c>
      <c r="W203" s="192"/>
      <c r="X203" s="192"/>
      <c r="Y203" s="192">
        <v>66.0</v>
      </c>
      <c r="Z203" s="192"/>
      <c r="AA203" s="192"/>
      <c r="AB203" s="192">
        <v>68.0</v>
      </c>
      <c r="AC203" s="192"/>
      <c r="AD203" s="192"/>
      <c r="AE203" s="192">
        <v>61.0</v>
      </c>
      <c r="AF203" s="192"/>
      <c r="AG203" s="192"/>
      <c r="AH203" s="192">
        <v>78.0</v>
      </c>
      <c r="AI203" s="192"/>
      <c r="AJ203" s="192"/>
      <c r="AK203" s="191">
        <f t="shared" ref="AK203:AM203" si="221">AVERAGE(D203,G203,J203,M203,P203,Y203,S203,V203,AB203,AE203,AH203)</f>
        <v>66.8</v>
      </c>
      <c r="AL203" s="192" t="str">
        <f t="shared" si="221"/>
        <v>#DIV/0!</v>
      </c>
      <c r="AM203" s="192" t="str">
        <f t="shared" si="221"/>
        <v>#DIV/0!</v>
      </c>
      <c r="AN203" s="192">
        <f t="shared" si="200"/>
        <v>6</v>
      </c>
      <c r="AO203" s="192" t="str">
        <f t="shared" si="201"/>
        <v>#DIV/0!</v>
      </c>
      <c r="AP203" s="192"/>
    </row>
    <row r="204" ht="15.75" hidden="1" customHeight="1">
      <c r="A204" s="446">
        <v>201.0</v>
      </c>
      <c r="B204" s="25" t="s">
        <v>22</v>
      </c>
      <c r="C204" s="452" t="s">
        <v>853</v>
      </c>
      <c r="D204" s="56">
        <v>48.0</v>
      </c>
      <c r="E204" s="56"/>
      <c r="F204" s="72"/>
      <c r="G204" s="72">
        <v>52.0</v>
      </c>
      <c r="H204" s="72"/>
      <c r="I204" s="72"/>
      <c r="J204" s="72">
        <v>65.0</v>
      </c>
      <c r="K204" s="72"/>
      <c r="L204" s="72"/>
      <c r="M204" s="72"/>
      <c r="N204" s="72"/>
      <c r="O204" s="72"/>
      <c r="P204" s="72">
        <v>58.0</v>
      </c>
      <c r="Q204" s="72"/>
      <c r="R204" s="72"/>
      <c r="S204" s="72">
        <v>82.0</v>
      </c>
      <c r="T204" s="192"/>
      <c r="U204" s="192"/>
      <c r="V204" s="192">
        <v>70.0</v>
      </c>
      <c r="W204" s="192"/>
      <c r="X204" s="192"/>
      <c r="Y204" s="192">
        <v>73.0</v>
      </c>
      <c r="Z204" s="192"/>
      <c r="AA204" s="192"/>
      <c r="AB204" s="192">
        <v>64.0</v>
      </c>
      <c r="AC204" s="192"/>
      <c r="AD204" s="192"/>
      <c r="AE204" s="192">
        <v>62.0</v>
      </c>
      <c r="AF204" s="192"/>
      <c r="AG204" s="192"/>
      <c r="AH204" s="192">
        <v>52.0</v>
      </c>
      <c r="AI204" s="192"/>
      <c r="AJ204" s="192"/>
      <c r="AK204" s="191">
        <f t="shared" ref="AK204:AM204" si="222">AVERAGE(D204,G204,J204,M204,P204,Y204,S204,V204,AB204,AE204,AH204)</f>
        <v>62.6</v>
      </c>
      <c r="AL204" s="192" t="str">
        <f t="shared" si="222"/>
        <v>#DIV/0!</v>
      </c>
      <c r="AM204" s="192" t="str">
        <f t="shared" si="222"/>
        <v>#DIV/0!</v>
      </c>
      <c r="AN204" s="192">
        <f t="shared" si="200"/>
        <v>16</v>
      </c>
      <c r="AO204" s="192" t="str">
        <f t="shared" si="201"/>
        <v>#DIV/0!</v>
      </c>
      <c r="AP204" s="192"/>
    </row>
    <row r="205" ht="15.75" hidden="1" customHeight="1">
      <c r="A205" s="446">
        <v>202.0</v>
      </c>
      <c r="B205" s="25" t="s">
        <v>22</v>
      </c>
      <c r="C205" s="452" t="s">
        <v>854</v>
      </c>
      <c r="D205" s="56">
        <v>19.0</v>
      </c>
      <c r="E205" s="56"/>
      <c r="F205" s="72"/>
      <c r="G205" s="72">
        <v>34.0</v>
      </c>
      <c r="H205" s="72"/>
      <c r="I205" s="72"/>
      <c r="J205" s="72">
        <v>26.0</v>
      </c>
      <c r="K205" s="72"/>
      <c r="L205" s="72"/>
      <c r="M205" s="72"/>
      <c r="N205" s="72"/>
      <c r="O205" s="72"/>
      <c r="P205" s="72">
        <v>19.0</v>
      </c>
      <c r="Q205" s="72"/>
      <c r="R205" s="72"/>
      <c r="S205" s="72">
        <v>53.0</v>
      </c>
      <c r="T205" s="192"/>
      <c r="U205" s="192"/>
      <c r="V205" s="192">
        <v>41.0</v>
      </c>
      <c r="W205" s="192"/>
      <c r="X205" s="192"/>
      <c r="Y205" s="192">
        <v>60.0</v>
      </c>
      <c r="Z205" s="192"/>
      <c r="AA205" s="192"/>
      <c r="AB205" s="192">
        <v>60.0</v>
      </c>
      <c r="AC205" s="192"/>
      <c r="AD205" s="192"/>
      <c r="AE205" s="192">
        <v>24.0</v>
      </c>
      <c r="AF205" s="192"/>
      <c r="AG205" s="192"/>
      <c r="AH205" s="192">
        <v>31.0</v>
      </c>
      <c r="AI205" s="192"/>
      <c r="AJ205" s="192"/>
      <c r="AK205" s="191">
        <f t="shared" ref="AK205:AM205" si="223">AVERAGE(D205,G205,J205,M205,P205,Y205,S205,V205,AB205,AE205,AH205)</f>
        <v>36.7</v>
      </c>
      <c r="AL205" s="192" t="str">
        <f t="shared" si="223"/>
        <v>#DIV/0!</v>
      </c>
      <c r="AM205" s="192" t="str">
        <f t="shared" si="223"/>
        <v>#DIV/0!</v>
      </c>
      <c r="AN205" s="192">
        <f t="shared" si="200"/>
        <v>25</v>
      </c>
      <c r="AO205" s="192" t="str">
        <f t="shared" si="201"/>
        <v>#DIV/0!</v>
      </c>
      <c r="AP205" s="192"/>
    </row>
    <row r="206" ht="15.75" hidden="1" customHeight="1">
      <c r="A206" s="446">
        <v>203.0</v>
      </c>
      <c r="B206" s="25" t="s">
        <v>22</v>
      </c>
      <c r="C206" s="452" t="s">
        <v>855</v>
      </c>
      <c r="D206" s="56">
        <v>44.0</v>
      </c>
      <c r="E206" s="56"/>
      <c r="F206" s="72"/>
      <c r="G206" s="72">
        <v>42.0</v>
      </c>
      <c r="H206" s="72"/>
      <c r="I206" s="72"/>
      <c r="J206" s="72">
        <v>56.0</v>
      </c>
      <c r="K206" s="72"/>
      <c r="L206" s="72"/>
      <c r="M206" s="72"/>
      <c r="N206" s="72"/>
      <c r="O206" s="72"/>
      <c r="P206" s="72">
        <v>54.0</v>
      </c>
      <c r="Q206" s="72"/>
      <c r="R206" s="72"/>
      <c r="S206" s="72">
        <v>76.0</v>
      </c>
      <c r="T206" s="192"/>
      <c r="U206" s="192"/>
      <c r="V206" s="192">
        <v>75.0</v>
      </c>
      <c r="W206" s="192"/>
      <c r="X206" s="192"/>
      <c r="Y206" s="192">
        <v>50.0</v>
      </c>
      <c r="Z206" s="192"/>
      <c r="AA206" s="192"/>
      <c r="AB206" s="192">
        <v>64.0</v>
      </c>
      <c r="AC206" s="192"/>
      <c r="AD206" s="192"/>
      <c r="AE206" s="192">
        <v>60.0</v>
      </c>
      <c r="AF206" s="192"/>
      <c r="AG206" s="192"/>
      <c r="AH206" s="192">
        <v>68.0</v>
      </c>
      <c r="AI206" s="192"/>
      <c r="AJ206" s="192"/>
      <c r="AK206" s="191">
        <f t="shared" ref="AK206:AM206" si="224">AVERAGE(D206,G206,J206,M206,P206,Y206,S206,V206,AB206,AE206,AH206)</f>
        <v>58.9</v>
      </c>
      <c r="AL206" s="192" t="str">
        <f t="shared" si="224"/>
        <v>#DIV/0!</v>
      </c>
      <c r="AM206" s="192" t="str">
        <f t="shared" si="224"/>
        <v>#DIV/0!</v>
      </c>
      <c r="AN206" s="192">
        <f t="shared" si="200"/>
        <v>18</v>
      </c>
      <c r="AO206" s="192" t="str">
        <f t="shared" si="201"/>
        <v>#DIV/0!</v>
      </c>
      <c r="AP206" s="192"/>
    </row>
    <row r="207" ht="15.75" hidden="1" customHeight="1">
      <c r="A207" s="446">
        <v>204.0</v>
      </c>
      <c r="B207" s="25" t="s">
        <v>22</v>
      </c>
      <c r="C207" s="452" t="s">
        <v>856</v>
      </c>
      <c r="D207" s="56">
        <v>51.0</v>
      </c>
      <c r="E207" s="56"/>
      <c r="F207" s="72"/>
      <c r="G207" s="72">
        <v>46.0</v>
      </c>
      <c r="H207" s="72"/>
      <c r="I207" s="72"/>
      <c r="J207" s="72">
        <v>50.0</v>
      </c>
      <c r="K207" s="72"/>
      <c r="L207" s="72"/>
      <c r="M207" s="72"/>
      <c r="N207" s="72"/>
      <c r="O207" s="72"/>
      <c r="P207" s="72">
        <v>65.0</v>
      </c>
      <c r="Q207" s="72"/>
      <c r="R207" s="72"/>
      <c r="S207" s="72">
        <v>65.0</v>
      </c>
      <c r="T207" s="192"/>
      <c r="U207" s="192"/>
      <c r="V207" s="192">
        <v>66.0</v>
      </c>
      <c r="W207" s="192"/>
      <c r="X207" s="192"/>
      <c r="Y207" s="192">
        <v>41.0</v>
      </c>
      <c r="Z207" s="192"/>
      <c r="AA207" s="192"/>
      <c r="AB207" s="192">
        <v>60.0</v>
      </c>
      <c r="AC207" s="192"/>
      <c r="AD207" s="192"/>
      <c r="AE207" s="192">
        <v>69.0</v>
      </c>
      <c r="AF207" s="192"/>
      <c r="AG207" s="192"/>
      <c r="AH207" s="192">
        <v>75.0</v>
      </c>
      <c r="AI207" s="192"/>
      <c r="AJ207" s="192"/>
      <c r="AK207" s="191">
        <f t="shared" ref="AK207:AM207" si="225">AVERAGE(D207,G207,J207,M207,P207,Y207,S207,V207,AB207,AE207,AH207)</f>
        <v>58.8</v>
      </c>
      <c r="AL207" s="192" t="str">
        <f t="shared" si="225"/>
        <v>#DIV/0!</v>
      </c>
      <c r="AM207" s="192" t="str">
        <f t="shared" si="225"/>
        <v>#DIV/0!</v>
      </c>
      <c r="AN207" s="192">
        <f t="shared" si="200"/>
        <v>19</v>
      </c>
      <c r="AO207" s="192" t="str">
        <f t="shared" si="201"/>
        <v>#DIV/0!</v>
      </c>
      <c r="AP207" s="192"/>
    </row>
    <row r="208" ht="15.75" hidden="1" customHeight="1">
      <c r="A208" s="446">
        <v>205.0</v>
      </c>
      <c r="B208" s="25" t="s">
        <v>22</v>
      </c>
      <c r="C208" s="452" t="s">
        <v>857</v>
      </c>
      <c r="D208" s="56">
        <v>42.0</v>
      </c>
      <c r="E208" s="56"/>
      <c r="F208" s="72"/>
      <c r="G208" s="72">
        <v>52.0</v>
      </c>
      <c r="H208" s="72"/>
      <c r="I208" s="72"/>
      <c r="J208" s="72">
        <v>55.0</v>
      </c>
      <c r="K208" s="72"/>
      <c r="L208" s="72"/>
      <c r="M208" s="72"/>
      <c r="N208" s="72"/>
      <c r="O208" s="72"/>
      <c r="P208" s="72">
        <v>48.0</v>
      </c>
      <c r="Q208" s="72"/>
      <c r="R208" s="72"/>
      <c r="S208" s="72">
        <v>81.0</v>
      </c>
      <c r="T208" s="192"/>
      <c r="U208" s="192"/>
      <c r="V208" s="192">
        <v>81.0</v>
      </c>
      <c r="W208" s="192"/>
      <c r="X208" s="192"/>
      <c r="Y208" s="192">
        <v>63.0</v>
      </c>
      <c r="Z208" s="192"/>
      <c r="AA208" s="192"/>
      <c r="AB208" s="192">
        <v>44.0</v>
      </c>
      <c r="AC208" s="192"/>
      <c r="AD208" s="192"/>
      <c r="AE208" s="192">
        <v>73.0</v>
      </c>
      <c r="AF208" s="192"/>
      <c r="AG208" s="192"/>
      <c r="AH208" s="192">
        <v>66.0</v>
      </c>
      <c r="AI208" s="192"/>
      <c r="AJ208" s="192"/>
      <c r="AK208" s="191">
        <f t="shared" ref="AK208:AM208" si="226">AVERAGE(D208,G208,J208,M208,P208,Y208,S208,V208,AB208,AE208,AH208)</f>
        <v>60.5</v>
      </c>
      <c r="AL208" s="192" t="str">
        <f t="shared" si="226"/>
        <v>#DIV/0!</v>
      </c>
      <c r="AM208" s="192" t="str">
        <f t="shared" si="226"/>
        <v>#DIV/0!</v>
      </c>
      <c r="AN208" s="192">
        <f t="shared" si="200"/>
        <v>17</v>
      </c>
      <c r="AO208" s="192" t="str">
        <f t="shared" si="201"/>
        <v>#DIV/0!</v>
      </c>
      <c r="AP208" s="192"/>
    </row>
    <row r="209" ht="15.75" hidden="1" customHeight="1">
      <c r="A209" s="446">
        <v>206.0</v>
      </c>
      <c r="B209" s="25" t="s">
        <v>22</v>
      </c>
      <c r="C209" s="452" t="s">
        <v>297</v>
      </c>
      <c r="D209" s="56">
        <v>1.0</v>
      </c>
      <c r="E209" s="56"/>
      <c r="F209" s="72"/>
      <c r="G209" s="72">
        <v>1.0</v>
      </c>
      <c r="H209" s="72"/>
      <c r="I209" s="72"/>
      <c r="J209" s="72">
        <v>1.0</v>
      </c>
      <c r="K209" s="72"/>
      <c r="L209" s="72"/>
      <c r="M209" s="72"/>
      <c r="N209" s="72"/>
      <c r="O209" s="72"/>
      <c r="P209" s="72">
        <v>1.0</v>
      </c>
      <c r="Q209" s="72"/>
      <c r="R209" s="72"/>
      <c r="S209" s="72">
        <v>1.0</v>
      </c>
      <c r="T209" s="192"/>
      <c r="U209" s="192"/>
      <c r="V209" s="192">
        <v>1.0</v>
      </c>
      <c r="W209" s="192"/>
      <c r="X209" s="192"/>
      <c r="Y209" s="192">
        <v>1.0</v>
      </c>
      <c r="Z209" s="192"/>
      <c r="AA209" s="192"/>
      <c r="AB209" s="192">
        <v>1.0</v>
      </c>
      <c r="AC209" s="192"/>
      <c r="AD209" s="192"/>
      <c r="AE209" s="192">
        <v>1.0</v>
      </c>
      <c r="AF209" s="192"/>
      <c r="AG209" s="192"/>
      <c r="AH209" s="192">
        <v>1.0</v>
      </c>
      <c r="AI209" s="192"/>
      <c r="AJ209" s="192"/>
      <c r="AK209" s="191">
        <f t="shared" ref="AK209:AM209" si="227">AVERAGE(D209,G209,J209,M209,P209,Y209,S209,V209,AB209,AE209,AH209)</f>
        <v>1</v>
      </c>
      <c r="AL209" s="192" t="str">
        <f t="shared" si="227"/>
        <v>#DIV/0!</v>
      </c>
      <c r="AM209" s="192" t="str">
        <f t="shared" si="227"/>
        <v>#DIV/0!</v>
      </c>
      <c r="AN209" s="192">
        <f t="shared" si="200"/>
        <v>26</v>
      </c>
      <c r="AO209" s="192" t="str">
        <f t="shared" si="201"/>
        <v>#DIV/0!</v>
      </c>
      <c r="AP209" s="192"/>
    </row>
    <row r="210" ht="15.75" hidden="1" customHeight="1">
      <c r="A210" s="446">
        <v>207.0</v>
      </c>
      <c r="B210" s="25" t="s">
        <v>22</v>
      </c>
      <c r="C210" s="96" t="s">
        <v>858</v>
      </c>
      <c r="D210" s="56">
        <v>1.0</v>
      </c>
      <c r="E210" s="56"/>
      <c r="F210" s="72"/>
      <c r="G210" s="72">
        <v>1.0</v>
      </c>
      <c r="H210" s="72"/>
      <c r="I210" s="72"/>
      <c r="J210" s="72">
        <v>1.0</v>
      </c>
      <c r="K210" s="72"/>
      <c r="L210" s="72"/>
      <c r="M210" s="72"/>
      <c r="N210" s="72"/>
      <c r="O210" s="72"/>
      <c r="P210" s="72">
        <v>1.0</v>
      </c>
      <c r="Q210" s="72"/>
      <c r="R210" s="72"/>
      <c r="S210" s="72">
        <v>1.0</v>
      </c>
      <c r="T210" s="192"/>
      <c r="U210" s="192"/>
      <c r="V210" s="192">
        <v>1.0</v>
      </c>
      <c r="W210" s="192"/>
      <c r="X210" s="192"/>
      <c r="Y210" s="192">
        <v>1.0</v>
      </c>
      <c r="Z210" s="192"/>
      <c r="AA210" s="192"/>
      <c r="AB210" s="192">
        <v>1.0</v>
      </c>
      <c r="AC210" s="192"/>
      <c r="AD210" s="192"/>
      <c r="AE210" s="192">
        <v>1.0</v>
      </c>
      <c r="AF210" s="192"/>
      <c r="AG210" s="192"/>
      <c r="AH210" s="192">
        <v>1.0</v>
      </c>
      <c r="AI210" s="192"/>
      <c r="AJ210" s="192"/>
      <c r="AK210" s="191">
        <f t="shared" ref="AK210:AM210" si="228">AVERAGE(D210,G210,J210,M210,P210,Y210,S210,V210,AB210,AE210,AH210)</f>
        <v>1</v>
      </c>
      <c r="AL210" s="192" t="str">
        <f t="shared" si="228"/>
        <v>#DIV/0!</v>
      </c>
      <c r="AM210" s="192" t="str">
        <f t="shared" si="228"/>
        <v>#DIV/0!</v>
      </c>
      <c r="AN210" s="192">
        <f t="shared" si="200"/>
        <v>26</v>
      </c>
      <c r="AO210" s="192" t="str">
        <f t="shared" si="201"/>
        <v>#DIV/0!</v>
      </c>
      <c r="AP210" s="192"/>
    </row>
    <row r="211" ht="15.75" customHeight="1">
      <c r="A211" s="26"/>
      <c r="B211" s="26"/>
      <c r="D211" s="212"/>
      <c r="E211" s="212"/>
      <c r="F211" s="39"/>
      <c r="G211" s="39"/>
      <c r="H211" s="39"/>
      <c r="I211" s="39"/>
      <c r="J211" s="39"/>
      <c r="K211" s="39"/>
      <c r="L211" s="39"/>
      <c r="M211" s="39"/>
      <c r="N211" s="39"/>
      <c r="O211" s="39"/>
      <c r="P211" s="39"/>
      <c r="Q211" s="39"/>
      <c r="R211" s="39"/>
      <c r="S211" s="39"/>
      <c r="AK211" s="61"/>
      <c r="AN211" s="455"/>
    </row>
    <row r="212" ht="15.75" customHeight="1">
      <c r="A212" s="26"/>
      <c r="B212" s="26"/>
      <c r="D212" s="98"/>
      <c r="E212" s="98"/>
      <c r="F212" s="39"/>
      <c r="G212" s="39"/>
      <c r="H212" s="39"/>
      <c r="I212" s="39"/>
      <c r="J212" s="39"/>
      <c r="K212" s="39"/>
      <c r="L212" s="39"/>
      <c r="M212" s="39"/>
      <c r="N212" s="39"/>
      <c r="O212" s="39"/>
      <c r="P212" s="39"/>
      <c r="Q212" s="39"/>
      <c r="R212" s="39"/>
      <c r="S212" s="39"/>
      <c r="AK212" s="61"/>
    </row>
    <row r="213" ht="15.75" customHeight="1">
      <c r="A213" s="26"/>
      <c r="B213" s="26"/>
      <c r="D213" s="98"/>
      <c r="E213" s="98"/>
      <c r="F213" s="39"/>
      <c r="G213" s="39"/>
      <c r="H213" s="39"/>
      <c r="I213" s="39"/>
      <c r="J213" s="39"/>
      <c r="K213" s="39"/>
      <c r="L213" s="39"/>
      <c r="M213" s="39"/>
      <c r="N213" s="39"/>
      <c r="O213" s="39"/>
      <c r="P213" s="39"/>
      <c r="Q213" s="39"/>
      <c r="R213" s="39"/>
      <c r="S213" s="39"/>
      <c r="AK213" s="61"/>
    </row>
    <row r="214" ht="15.75" customHeight="1">
      <c r="A214" s="26"/>
      <c r="B214" s="26"/>
      <c r="D214" s="98"/>
      <c r="E214" s="98"/>
      <c r="F214" s="39"/>
      <c r="G214" s="39"/>
      <c r="H214" s="39"/>
      <c r="I214" s="39"/>
      <c r="J214" s="39"/>
      <c r="K214" s="39"/>
      <c r="L214" s="39"/>
      <c r="M214" s="39"/>
      <c r="N214" s="39"/>
      <c r="O214" s="39"/>
      <c r="P214" s="39"/>
      <c r="Q214" s="39"/>
      <c r="R214" s="39"/>
      <c r="S214" s="39"/>
      <c r="AK214" s="61"/>
    </row>
    <row r="215" ht="15.75" customHeight="1">
      <c r="A215" s="26"/>
      <c r="B215" s="26"/>
      <c r="D215" s="98"/>
      <c r="E215" s="98"/>
      <c r="F215" s="39"/>
      <c r="G215" s="39"/>
      <c r="H215" s="39"/>
      <c r="I215" s="39"/>
      <c r="J215" s="39"/>
      <c r="K215" s="39"/>
      <c r="L215" s="39"/>
      <c r="M215" s="39"/>
      <c r="N215" s="39"/>
      <c r="O215" s="39"/>
      <c r="P215" s="39"/>
      <c r="Q215" s="39"/>
      <c r="R215" s="39"/>
      <c r="S215" s="39"/>
      <c r="AK215" s="61"/>
    </row>
    <row r="216" ht="15.75" customHeight="1">
      <c r="A216" s="26"/>
      <c r="B216" s="26"/>
      <c r="D216" s="98"/>
      <c r="E216" s="98"/>
      <c r="F216" s="39"/>
      <c r="G216" s="39"/>
      <c r="H216" s="39"/>
      <c r="I216" s="39"/>
      <c r="J216" s="39"/>
      <c r="K216" s="39"/>
      <c r="L216" s="39"/>
      <c r="M216" s="39"/>
      <c r="N216" s="39"/>
      <c r="O216" s="39"/>
      <c r="P216" s="39"/>
      <c r="Q216" s="39"/>
      <c r="R216" s="39"/>
      <c r="S216" s="39"/>
      <c r="AK216" s="61"/>
    </row>
    <row r="217" ht="15.75" customHeight="1">
      <c r="A217" s="26"/>
      <c r="B217" s="26"/>
      <c r="D217" s="98"/>
      <c r="E217" s="98"/>
      <c r="F217" s="39"/>
      <c r="G217" s="39"/>
      <c r="H217" s="39"/>
      <c r="I217" s="39"/>
      <c r="J217" s="39"/>
      <c r="K217" s="39"/>
      <c r="L217" s="39"/>
      <c r="M217" s="39"/>
      <c r="N217" s="39"/>
      <c r="O217" s="39"/>
      <c r="P217" s="39"/>
      <c r="Q217" s="39"/>
      <c r="R217" s="39"/>
      <c r="S217" s="39"/>
      <c r="AK217" s="61"/>
    </row>
    <row r="218" ht="15.75" customHeight="1">
      <c r="A218" s="26"/>
      <c r="B218" s="26"/>
      <c r="D218" s="98"/>
      <c r="E218" s="98"/>
      <c r="F218" s="39"/>
      <c r="G218" s="39"/>
      <c r="H218" s="39"/>
      <c r="I218" s="39"/>
      <c r="J218" s="39"/>
      <c r="K218" s="39"/>
      <c r="L218" s="39"/>
      <c r="M218" s="39"/>
      <c r="N218" s="39"/>
      <c r="O218" s="39"/>
      <c r="P218" s="39"/>
      <c r="Q218" s="39"/>
      <c r="R218" s="39"/>
      <c r="S218" s="39"/>
      <c r="AK218" s="61"/>
    </row>
    <row r="219" ht="15.75" customHeight="1">
      <c r="A219" s="26"/>
      <c r="B219" s="26"/>
      <c r="D219" s="98"/>
      <c r="E219" s="98"/>
      <c r="F219" s="39"/>
      <c r="G219" s="39"/>
      <c r="H219" s="39"/>
      <c r="I219" s="39"/>
      <c r="J219" s="39"/>
      <c r="K219" s="39"/>
      <c r="L219" s="39"/>
      <c r="M219" s="39"/>
      <c r="N219" s="39"/>
      <c r="O219" s="39"/>
      <c r="P219" s="39"/>
      <c r="Q219" s="39"/>
      <c r="R219" s="39"/>
      <c r="S219" s="39"/>
      <c r="AK219" s="61"/>
    </row>
    <row r="220" ht="15.75" customHeight="1">
      <c r="A220" s="26"/>
      <c r="B220" s="26"/>
      <c r="D220" s="98"/>
      <c r="E220" s="98"/>
      <c r="F220" s="39"/>
      <c r="G220" s="39"/>
      <c r="H220" s="39"/>
      <c r="I220" s="39"/>
      <c r="J220" s="39"/>
      <c r="K220" s="39"/>
      <c r="L220" s="39"/>
      <c r="M220" s="39"/>
      <c r="N220" s="39"/>
      <c r="O220" s="39"/>
      <c r="P220" s="39"/>
      <c r="Q220" s="39"/>
      <c r="R220" s="39"/>
      <c r="S220" s="39"/>
      <c r="AK220" s="61"/>
    </row>
    <row r="221" ht="15.75" customHeight="1">
      <c r="A221" s="26"/>
      <c r="B221" s="26"/>
      <c r="D221" s="98"/>
      <c r="E221" s="98"/>
      <c r="F221" s="39"/>
      <c r="G221" s="39"/>
      <c r="H221" s="39"/>
      <c r="I221" s="39"/>
      <c r="J221" s="39"/>
      <c r="K221" s="39"/>
      <c r="L221" s="39"/>
      <c r="M221" s="39"/>
      <c r="N221" s="39"/>
      <c r="O221" s="39"/>
      <c r="P221" s="39"/>
      <c r="Q221" s="39"/>
      <c r="R221" s="39"/>
      <c r="S221" s="39"/>
      <c r="AK221" s="61"/>
    </row>
    <row r="222" ht="15.75" customHeight="1">
      <c r="A222" s="26"/>
      <c r="B222" s="26"/>
      <c r="D222" s="98"/>
      <c r="E222" s="98"/>
      <c r="F222" s="39"/>
      <c r="G222" s="39"/>
      <c r="H222" s="39"/>
      <c r="I222" s="39"/>
      <c r="J222" s="39"/>
      <c r="K222" s="39"/>
      <c r="L222" s="39"/>
      <c r="M222" s="39"/>
      <c r="N222" s="39"/>
      <c r="O222" s="39"/>
      <c r="P222" s="39"/>
      <c r="Q222" s="39"/>
      <c r="R222" s="39"/>
      <c r="S222" s="39"/>
      <c r="AK222" s="61"/>
    </row>
    <row r="223" ht="15.75" customHeight="1">
      <c r="A223" s="26" t="s">
        <v>139</v>
      </c>
      <c r="B223" s="26">
        <v>0.0</v>
      </c>
      <c r="C223" s="113" t="s">
        <v>140</v>
      </c>
      <c r="D223" s="98"/>
      <c r="E223" s="98"/>
      <c r="F223" s="39"/>
      <c r="G223" s="39"/>
      <c r="H223" s="39"/>
      <c r="I223" s="39"/>
      <c r="J223" s="39"/>
      <c r="K223" s="39"/>
      <c r="L223" s="39"/>
      <c r="M223" s="39"/>
      <c r="N223" s="39"/>
      <c r="O223" s="39"/>
      <c r="P223" s="39"/>
      <c r="Q223" s="39"/>
      <c r="R223" s="39"/>
      <c r="S223" s="39"/>
      <c r="AK223" s="61"/>
    </row>
    <row r="224" ht="15.75" customHeight="1">
      <c r="A224" s="26" t="s">
        <v>141</v>
      </c>
      <c r="B224" s="26">
        <v>20.0</v>
      </c>
      <c r="C224" s="113" t="s">
        <v>142</v>
      </c>
      <c r="D224" s="98"/>
      <c r="E224" s="98"/>
      <c r="F224" s="39"/>
      <c r="G224" s="39"/>
      <c r="H224" s="39"/>
      <c r="I224" s="39"/>
      <c r="J224" s="39"/>
      <c r="K224" s="39"/>
      <c r="L224" s="39"/>
      <c r="M224" s="39"/>
      <c r="N224" s="39"/>
      <c r="O224" s="39"/>
      <c r="P224" s="39"/>
      <c r="Q224" s="39"/>
      <c r="R224" s="39"/>
      <c r="S224" s="39"/>
      <c r="AK224" s="61"/>
    </row>
    <row r="225" ht="15.75" customHeight="1">
      <c r="A225" s="114" t="s">
        <v>143</v>
      </c>
      <c r="B225" s="115">
        <v>30.0</v>
      </c>
      <c r="C225" s="114" t="s">
        <v>144</v>
      </c>
      <c r="D225" s="98"/>
      <c r="E225" s="98"/>
      <c r="F225" s="39"/>
      <c r="G225" s="39"/>
      <c r="H225" s="39"/>
      <c r="I225" s="39"/>
      <c r="J225" s="39"/>
      <c r="K225" s="39"/>
      <c r="L225" s="39"/>
      <c r="M225" s="39"/>
      <c r="N225" s="39"/>
      <c r="O225" s="39"/>
      <c r="P225" s="39"/>
      <c r="Q225" s="39"/>
      <c r="R225" s="39"/>
      <c r="S225" s="39"/>
      <c r="AK225" s="61"/>
    </row>
    <row r="226" ht="15.75" customHeight="1">
      <c r="A226" s="114" t="s">
        <v>145</v>
      </c>
      <c r="B226" s="115">
        <v>40.0</v>
      </c>
      <c r="C226" s="114" t="s">
        <v>146</v>
      </c>
      <c r="D226" s="98"/>
      <c r="E226" s="98"/>
      <c r="F226" s="39"/>
      <c r="G226" s="39"/>
      <c r="H226" s="39"/>
      <c r="I226" s="39"/>
      <c r="J226" s="39"/>
      <c r="K226" s="39"/>
      <c r="L226" s="39"/>
      <c r="M226" s="39"/>
      <c r="N226" s="39"/>
      <c r="O226" s="39"/>
      <c r="P226" s="39"/>
      <c r="Q226" s="39"/>
      <c r="R226" s="39"/>
      <c r="S226" s="39"/>
      <c r="AK226" s="61"/>
    </row>
    <row r="227" ht="15.75" customHeight="1">
      <c r="A227" s="114" t="s">
        <v>147</v>
      </c>
      <c r="B227" s="115">
        <v>50.0</v>
      </c>
      <c r="C227" s="114" t="s">
        <v>93</v>
      </c>
      <c r="D227" s="98"/>
      <c r="E227" s="98"/>
      <c r="F227" s="39"/>
      <c r="G227" s="39"/>
      <c r="H227" s="39"/>
      <c r="I227" s="39"/>
      <c r="J227" s="39"/>
      <c r="K227" s="39"/>
      <c r="L227" s="39"/>
      <c r="M227" s="39"/>
      <c r="N227" s="39"/>
      <c r="O227" s="39"/>
      <c r="P227" s="39"/>
      <c r="Q227" s="39"/>
      <c r="R227" s="39"/>
      <c r="S227" s="39"/>
      <c r="AK227" s="61"/>
    </row>
    <row r="228" ht="15.75" customHeight="1">
      <c r="A228" s="114" t="s">
        <v>148</v>
      </c>
      <c r="B228" s="115">
        <v>60.0</v>
      </c>
      <c r="C228" s="114" t="s">
        <v>90</v>
      </c>
      <c r="D228" s="98"/>
      <c r="E228" s="98"/>
      <c r="F228" s="39"/>
      <c r="G228" s="39"/>
      <c r="H228" s="39"/>
      <c r="I228" s="39"/>
      <c r="J228" s="39"/>
      <c r="K228" s="39"/>
      <c r="L228" s="39"/>
      <c r="M228" s="39"/>
      <c r="N228" s="39"/>
      <c r="O228" s="39"/>
      <c r="P228" s="39"/>
      <c r="Q228" s="39"/>
      <c r="R228" s="39"/>
      <c r="S228" s="39"/>
      <c r="AK228" s="61"/>
    </row>
    <row r="229" ht="15.75" customHeight="1">
      <c r="A229" s="114" t="s">
        <v>149</v>
      </c>
      <c r="B229" s="115">
        <v>70.0</v>
      </c>
      <c r="C229" s="114" t="s">
        <v>87</v>
      </c>
      <c r="D229" s="98"/>
      <c r="E229" s="98"/>
      <c r="F229" s="39"/>
      <c r="G229" s="39"/>
      <c r="H229" s="39"/>
      <c r="I229" s="39"/>
      <c r="J229" s="39"/>
      <c r="K229" s="39"/>
      <c r="L229" s="39"/>
      <c r="M229" s="39"/>
      <c r="N229" s="39"/>
      <c r="O229" s="39"/>
      <c r="P229" s="39"/>
      <c r="Q229" s="39"/>
      <c r="R229" s="39"/>
      <c r="S229" s="39"/>
      <c r="AK229" s="61"/>
    </row>
    <row r="230" ht="15.75" customHeight="1">
      <c r="A230" s="116" t="s">
        <v>150</v>
      </c>
      <c r="B230" s="117">
        <v>80.0</v>
      </c>
      <c r="C230" s="116" t="s">
        <v>85</v>
      </c>
      <c r="D230" s="98"/>
      <c r="E230" s="98"/>
      <c r="F230" s="39"/>
      <c r="G230" s="39"/>
      <c r="H230" s="39"/>
      <c r="I230" s="39"/>
      <c r="J230" s="39"/>
      <c r="K230" s="39"/>
      <c r="L230" s="39"/>
      <c r="M230" s="39"/>
      <c r="N230" s="39"/>
      <c r="O230" s="39"/>
      <c r="P230" s="39"/>
      <c r="Q230" s="39"/>
      <c r="R230" s="39"/>
      <c r="S230" s="39"/>
      <c r="AK230" s="61"/>
    </row>
    <row r="231" ht="15.75" customHeight="1">
      <c r="A231" s="116" t="s">
        <v>151</v>
      </c>
      <c r="B231" s="117">
        <v>90.0</v>
      </c>
      <c r="C231" s="116" t="s">
        <v>152</v>
      </c>
      <c r="D231" s="98"/>
      <c r="E231" s="98"/>
      <c r="F231" s="39"/>
      <c r="G231" s="39"/>
      <c r="H231" s="39"/>
      <c r="I231" s="39"/>
      <c r="J231" s="39"/>
      <c r="K231" s="39"/>
      <c r="L231" s="39"/>
      <c r="M231" s="39"/>
      <c r="N231" s="39"/>
      <c r="O231" s="39"/>
      <c r="P231" s="39"/>
      <c r="Q231" s="39"/>
      <c r="R231" s="39"/>
      <c r="S231" s="39"/>
      <c r="AK231" s="61"/>
    </row>
    <row r="232" ht="15.75" customHeight="1">
      <c r="A232" s="26"/>
      <c r="B232" s="26"/>
      <c r="D232" s="98"/>
      <c r="E232" s="98"/>
      <c r="F232" s="39"/>
      <c r="G232" s="39"/>
      <c r="H232" s="39"/>
      <c r="I232" s="39"/>
      <c r="J232" s="39"/>
      <c r="K232" s="39"/>
      <c r="L232" s="39"/>
      <c r="M232" s="39"/>
      <c r="N232" s="39"/>
      <c r="O232" s="39"/>
      <c r="P232" s="39"/>
      <c r="Q232" s="39"/>
      <c r="R232" s="39"/>
      <c r="S232" s="39"/>
      <c r="AK232" s="61"/>
    </row>
    <row r="233" ht="15.75" customHeight="1">
      <c r="A233" s="26"/>
      <c r="B233" s="26"/>
      <c r="D233" s="98"/>
      <c r="E233" s="98"/>
      <c r="F233" s="39"/>
      <c r="G233" s="39"/>
      <c r="H233" s="39"/>
      <c r="I233" s="39"/>
      <c r="J233" s="39"/>
      <c r="K233" s="39"/>
      <c r="L233" s="39"/>
      <c r="M233" s="39"/>
      <c r="N233" s="39"/>
      <c r="O233" s="39"/>
      <c r="P233" s="39"/>
      <c r="Q233" s="39"/>
      <c r="R233" s="39"/>
      <c r="S233" s="39"/>
      <c r="AK233" s="61"/>
    </row>
    <row r="234" ht="15.75" customHeight="1">
      <c r="A234" s="26"/>
      <c r="B234" s="26"/>
      <c r="D234" s="98"/>
      <c r="E234" s="98"/>
      <c r="F234" s="39"/>
      <c r="G234" s="39"/>
      <c r="H234" s="39"/>
      <c r="I234" s="39"/>
      <c r="J234" s="39"/>
      <c r="K234" s="39"/>
      <c r="L234" s="39"/>
      <c r="M234" s="39"/>
      <c r="N234" s="39"/>
      <c r="O234" s="39"/>
      <c r="P234" s="39"/>
      <c r="Q234" s="39"/>
      <c r="R234" s="39"/>
      <c r="S234" s="39"/>
      <c r="AK234" s="61"/>
    </row>
    <row r="235" ht="15.75" customHeight="1">
      <c r="A235" s="26"/>
      <c r="B235" s="26"/>
      <c r="D235" s="98"/>
      <c r="E235" s="98"/>
      <c r="F235" s="39"/>
      <c r="G235" s="39"/>
      <c r="H235" s="39"/>
      <c r="I235" s="39"/>
      <c r="J235" s="39"/>
      <c r="K235" s="39"/>
      <c r="L235" s="39"/>
      <c r="M235" s="39"/>
      <c r="N235" s="39"/>
      <c r="O235" s="39"/>
      <c r="P235" s="39"/>
      <c r="Q235" s="39"/>
      <c r="R235" s="39"/>
      <c r="S235" s="39"/>
      <c r="AK235" s="61"/>
    </row>
    <row r="236" ht="15.75" customHeight="1">
      <c r="A236" s="26"/>
      <c r="B236" s="26"/>
      <c r="D236" s="98"/>
      <c r="E236" s="98"/>
      <c r="F236" s="39"/>
      <c r="G236" s="39"/>
      <c r="H236" s="39"/>
      <c r="I236" s="39"/>
      <c r="J236" s="39"/>
      <c r="K236" s="39"/>
      <c r="L236" s="39"/>
      <c r="M236" s="39"/>
      <c r="N236" s="39"/>
      <c r="O236" s="39"/>
      <c r="P236" s="39"/>
      <c r="Q236" s="39"/>
      <c r="R236" s="39"/>
      <c r="S236" s="39"/>
      <c r="AK236" s="61"/>
    </row>
    <row r="237" ht="15.75" customHeight="1">
      <c r="A237" s="26"/>
      <c r="B237" s="26"/>
      <c r="AK237" s="61"/>
    </row>
    <row r="238" ht="15.75" customHeight="1">
      <c r="A238" s="26"/>
      <c r="B238" s="26"/>
      <c r="AK238" s="61"/>
    </row>
    <row r="239" ht="15.75" customHeight="1">
      <c r="A239" s="26"/>
      <c r="B239" s="26"/>
      <c r="AK239" s="61"/>
    </row>
    <row r="240" ht="15.75" customHeight="1">
      <c r="A240" s="26"/>
      <c r="B240" s="26"/>
      <c r="AK240" s="61"/>
    </row>
    <row r="241" ht="15.75" customHeight="1">
      <c r="A241" s="26"/>
      <c r="B241" s="26"/>
      <c r="AK241" s="61"/>
    </row>
    <row r="242" ht="15.75" customHeight="1">
      <c r="A242" s="26"/>
      <c r="B242" s="26"/>
      <c r="AK242" s="61"/>
    </row>
    <row r="243" ht="15.75" customHeight="1">
      <c r="A243" s="26"/>
      <c r="B243" s="26"/>
      <c r="AK243" s="61"/>
    </row>
    <row r="244" ht="15.75" customHeight="1">
      <c r="A244" s="26"/>
      <c r="B244" s="26"/>
      <c r="AK244" s="61"/>
    </row>
    <row r="245" ht="15.75" customHeight="1">
      <c r="A245" s="26"/>
      <c r="B245" s="26"/>
      <c r="AK245" s="61"/>
    </row>
    <row r="246" ht="15.75" customHeight="1">
      <c r="A246" s="26"/>
      <c r="B246" s="26"/>
      <c r="AK246" s="61"/>
    </row>
    <row r="247" ht="15.75" customHeight="1">
      <c r="A247" s="26"/>
      <c r="B247" s="26"/>
      <c r="AK247" s="61"/>
    </row>
    <row r="248" ht="15.75" customHeight="1">
      <c r="A248" s="26"/>
      <c r="B248" s="26"/>
      <c r="AK248" s="61"/>
    </row>
    <row r="249" ht="15.75" customHeight="1">
      <c r="A249" s="26"/>
      <c r="B249" s="26"/>
      <c r="AK249" s="61"/>
    </row>
    <row r="250" ht="15.75" customHeight="1">
      <c r="A250" s="26"/>
      <c r="B250" s="26"/>
      <c r="AK250" s="61"/>
    </row>
    <row r="251" ht="15.75" customHeight="1">
      <c r="A251" s="26"/>
      <c r="B251" s="26"/>
      <c r="AK251" s="61"/>
    </row>
    <row r="252" ht="15.75" customHeight="1">
      <c r="A252" s="26"/>
      <c r="B252" s="26"/>
      <c r="AK252" s="61"/>
    </row>
    <row r="253" ht="15.75" customHeight="1">
      <c r="A253" s="26"/>
      <c r="B253" s="26"/>
      <c r="AK253" s="61"/>
    </row>
    <row r="254" ht="15.75" customHeight="1">
      <c r="A254" s="26"/>
      <c r="B254" s="26"/>
      <c r="AK254" s="61"/>
    </row>
    <row r="255" ht="15.75" customHeight="1">
      <c r="A255" s="26"/>
      <c r="B255" s="26"/>
      <c r="AK255" s="61"/>
    </row>
    <row r="256" ht="15.75" customHeight="1">
      <c r="A256" s="26"/>
      <c r="B256" s="26"/>
      <c r="AK256" s="61"/>
    </row>
    <row r="257" ht="15.75" customHeight="1">
      <c r="A257" s="26"/>
      <c r="B257" s="26"/>
      <c r="AK257" s="61"/>
    </row>
    <row r="258" ht="15.75" customHeight="1">
      <c r="A258" s="26"/>
      <c r="B258" s="26"/>
      <c r="AK258" s="61"/>
    </row>
    <row r="259" ht="15.75" customHeight="1">
      <c r="A259" s="26"/>
      <c r="B259" s="26"/>
      <c r="AK259" s="61"/>
    </row>
    <row r="260" ht="15.75" customHeight="1">
      <c r="A260" s="26"/>
      <c r="B260" s="26"/>
      <c r="AK260" s="61"/>
    </row>
    <row r="261" ht="15.75" customHeight="1">
      <c r="A261" s="26"/>
      <c r="B261" s="26"/>
      <c r="AK261" s="61"/>
    </row>
    <row r="262" ht="15.75" customHeight="1">
      <c r="A262" s="26"/>
      <c r="B262" s="26"/>
      <c r="AK262" s="61"/>
    </row>
    <row r="263" ht="15.75" customHeight="1">
      <c r="A263" s="26"/>
      <c r="B263" s="26"/>
      <c r="AK263" s="61"/>
    </row>
    <row r="264" ht="15.75" customHeight="1">
      <c r="A264" s="26"/>
      <c r="B264" s="26"/>
      <c r="AK264" s="61"/>
    </row>
    <row r="265" ht="15.75" customHeight="1">
      <c r="A265" s="26"/>
      <c r="B265" s="26"/>
      <c r="AK265" s="61"/>
    </row>
    <row r="266" ht="15.75" customHeight="1">
      <c r="A266" s="26"/>
      <c r="B266" s="26"/>
      <c r="AK266" s="61"/>
    </row>
    <row r="267" ht="15.75" customHeight="1">
      <c r="A267" s="26"/>
      <c r="B267" s="26"/>
      <c r="AK267" s="61"/>
    </row>
    <row r="268" ht="15.75" customHeight="1">
      <c r="A268" s="26"/>
      <c r="B268" s="26"/>
      <c r="AK268" s="61"/>
    </row>
    <row r="269" ht="15.75" customHeight="1">
      <c r="A269" s="26"/>
      <c r="B269" s="26"/>
      <c r="AK269" s="61"/>
    </row>
    <row r="270" ht="15.75" customHeight="1">
      <c r="A270" s="26"/>
      <c r="B270" s="26"/>
      <c r="AK270" s="61"/>
    </row>
    <row r="271" ht="15.75" customHeight="1">
      <c r="A271" s="26"/>
      <c r="B271" s="26"/>
      <c r="AK271" s="61"/>
    </row>
    <row r="272" ht="15.75" customHeight="1">
      <c r="A272" s="26"/>
      <c r="B272" s="26"/>
      <c r="AK272" s="61"/>
    </row>
    <row r="273" ht="15.75" customHeight="1">
      <c r="A273" s="26"/>
      <c r="B273" s="26"/>
      <c r="AK273" s="61"/>
    </row>
    <row r="274" ht="15.75" customHeight="1">
      <c r="A274" s="26"/>
      <c r="B274" s="26"/>
      <c r="AK274" s="61"/>
    </row>
    <row r="275" ht="15.75" customHeight="1">
      <c r="A275" s="26"/>
      <c r="B275" s="26"/>
      <c r="AK275" s="61"/>
    </row>
    <row r="276" ht="15.75" customHeight="1">
      <c r="A276" s="26"/>
      <c r="B276" s="26"/>
      <c r="AK276" s="61"/>
    </row>
    <row r="277" ht="15.75" customHeight="1">
      <c r="A277" s="26"/>
      <c r="B277" s="26"/>
      <c r="AK277" s="61"/>
    </row>
    <row r="278" ht="15.75" customHeight="1">
      <c r="A278" s="26"/>
      <c r="B278" s="26"/>
      <c r="AK278" s="61"/>
    </row>
    <row r="279" ht="15.75" customHeight="1">
      <c r="A279" s="26"/>
      <c r="B279" s="26"/>
      <c r="AK279" s="61"/>
    </row>
    <row r="280" ht="15.75" customHeight="1">
      <c r="A280" s="26"/>
      <c r="B280" s="26"/>
      <c r="AK280" s="61"/>
    </row>
    <row r="281" ht="15.75" customHeight="1">
      <c r="A281" s="26"/>
      <c r="B281" s="26"/>
      <c r="AK281" s="61"/>
    </row>
    <row r="282" ht="15.75" customHeight="1">
      <c r="A282" s="26"/>
      <c r="B282" s="26"/>
      <c r="AK282" s="61"/>
    </row>
    <row r="283" ht="15.75" customHeight="1">
      <c r="A283" s="26"/>
      <c r="B283" s="26"/>
      <c r="AK283" s="61"/>
    </row>
    <row r="284" ht="15.75" customHeight="1">
      <c r="A284" s="26"/>
      <c r="B284" s="26"/>
      <c r="AK284" s="61"/>
    </row>
    <row r="285" ht="15.75" customHeight="1">
      <c r="A285" s="26"/>
      <c r="B285" s="26"/>
      <c r="AK285" s="61"/>
    </row>
    <row r="286" ht="15.75" customHeight="1">
      <c r="A286" s="26"/>
      <c r="B286" s="26"/>
      <c r="AK286" s="61"/>
    </row>
    <row r="287" ht="15.75" customHeight="1">
      <c r="A287" s="26"/>
      <c r="B287" s="26"/>
      <c r="AK287" s="61"/>
    </row>
    <row r="288" ht="15.75" customHeight="1">
      <c r="A288" s="26"/>
      <c r="B288" s="26"/>
      <c r="AK288" s="61"/>
    </row>
    <row r="289" ht="15.75" customHeight="1">
      <c r="A289" s="26"/>
      <c r="B289" s="26"/>
      <c r="AK289" s="61"/>
    </row>
    <row r="290" ht="15.75" customHeight="1">
      <c r="A290" s="26"/>
      <c r="B290" s="26"/>
      <c r="AK290" s="61"/>
    </row>
    <row r="291" ht="15.75" customHeight="1">
      <c r="A291" s="26"/>
      <c r="B291" s="26"/>
      <c r="AK291" s="61"/>
    </row>
    <row r="292" ht="15.75" customHeight="1">
      <c r="A292" s="26"/>
      <c r="B292" s="26"/>
      <c r="AK292" s="61"/>
    </row>
    <row r="293" ht="15.75" customHeight="1">
      <c r="A293" s="26"/>
      <c r="B293" s="26"/>
      <c r="AK293" s="61"/>
    </row>
    <row r="294" ht="15.75" customHeight="1">
      <c r="A294" s="26"/>
      <c r="B294" s="26"/>
      <c r="AK294" s="61"/>
    </row>
    <row r="295" ht="15.75" customHeight="1">
      <c r="A295" s="26"/>
      <c r="B295" s="26"/>
      <c r="AK295" s="61"/>
    </row>
    <row r="296" ht="15.75" customHeight="1">
      <c r="A296" s="26"/>
      <c r="B296" s="26"/>
      <c r="AK296" s="61"/>
    </row>
    <row r="297" ht="15.75" customHeight="1">
      <c r="A297" s="26"/>
      <c r="B297" s="26"/>
      <c r="AK297" s="61"/>
    </row>
    <row r="298" ht="15.75" customHeight="1">
      <c r="A298" s="26"/>
      <c r="B298" s="26"/>
      <c r="AK298" s="61"/>
    </row>
    <row r="299" ht="15.75" customHeight="1">
      <c r="A299" s="26"/>
      <c r="B299" s="26"/>
      <c r="AK299" s="61"/>
    </row>
    <row r="300" ht="15.75" customHeight="1">
      <c r="A300" s="26"/>
      <c r="B300" s="26"/>
      <c r="AK300" s="61"/>
    </row>
    <row r="301" ht="15.75" customHeight="1">
      <c r="A301" s="26"/>
      <c r="B301" s="26"/>
      <c r="AK301" s="61"/>
    </row>
    <row r="302" ht="15.75" customHeight="1">
      <c r="A302" s="26"/>
      <c r="B302" s="26"/>
      <c r="AK302" s="61"/>
    </row>
    <row r="303" ht="15.75" customHeight="1">
      <c r="A303" s="26"/>
      <c r="B303" s="26"/>
      <c r="AK303" s="61"/>
    </row>
    <row r="304" ht="15.75" customHeight="1">
      <c r="A304" s="26"/>
      <c r="B304" s="26"/>
      <c r="AK304" s="61"/>
    </row>
    <row r="305" ht="15.75" customHeight="1">
      <c r="A305" s="26"/>
      <c r="B305" s="26"/>
      <c r="AK305" s="61"/>
    </row>
    <row r="306" ht="15.75" customHeight="1">
      <c r="A306" s="26"/>
      <c r="B306" s="26"/>
      <c r="AK306" s="61"/>
    </row>
    <row r="307" ht="15.75" customHeight="1">
      <c r="A307" s="26"/>
      <c r="B307" s="26"/>
      <c r="AK307" s="61"/>
    </row>
    <row r="308" ht="15.75" customHeight="1">
      <c r="A308" s="26"/>
      <c r="B308" s="26"/>
      <c r="AK308" s="61"/>
    </row>
    <row r="309" ht="15.75" customHeight="1">
      <c r="A309" s="26"/>
      <c r="B309" s="26"/>
      <c r="AK309" s="61"/>
    </row>
    <row r="310" ht="15.75" customHeight="1">
      <c r="A310" s="26"/>
      <c r="B310" s="26"/>
      <c r="AK310" s="61"/>
    </row>
    <row r="311" ht="15.75" customHeight="1">
      <c r="A311" s="26"/>
      <c r="B311" s="26"/>
      <c r="AK311" s="61"/>
    </row>
    <row r="312" ht="15.75" customHeight="1">
      <c r="A312" s="26"/>
      <c r="B312" s="26"/>
      <c r="AK312" s="61"/>
    </row>
    <row r="313" ht="15.75" customHeight="1">
      <c r="A313" s="26"/>
      <c r="B313" s="26"/>
      <c r="AK313" s="61"/>
    </row>
    <row r="314" ht="15.75" customHeight="1">
      <c r="A314" s="26"/>
      <c r="B314" s="26"/>
      <c r="AK314" s="61"/>
    </row>
    <row r="315" ht="15.75" customHeight="1">
      <c r="A315" s="26"/>
      <c r="B315" s="26"/>
      <c r="AK315" s="61"/>
    </row>
    <row r="316" ht="15.75" customHeight="1">
      <c r="A316" s="26"/>
      <c r="B316" s="26"/>
      <c r="AK316" s="61"/>
    </row>
    <row r="317" ht="15.75" customHeight="1">
      <c r="A317" s="26"/>
      <c r="B317" s="26"/>
      <c r="AK317" s="61"/>
    </row>
    <row r="318" ht="15.75" customHeight="1">
      <c r="A318" s="26"/>
      <c r="B318" s="26"/>
      <c r="AK318" s="61"/>
    </row>
    <row r="319" ht="15.75" customHeight="1">
      <c r="A319" s="26"/>
      <c r="B319" s="26"/>
      <c r="AK319" s="61"/>
    </row>
    <row r="320" ht="15.75" customHeight="1">
      <c r="A320" s="26"/>
      <c r="B320" s="26"/>
      <c r="AK320" s="61"/>
    </row>
    <row r="321" ht="15.75" customHeight="1">
      <c r="A321" s="26"/>
      <c r="B321" s="26"/>
      <c r="AK321" s="61"/>
    </row>
    <row r="322" ht="15.75" customHeight="1">
      <c r="A322" s="26"/>
      <c r="B322" s="26"/>
      <c r="AK322" s="61"/>
    </row>
    <row r="323" ht="15.75" customHeight="1">
      <c r="A323" s="26"/>
      <c r="B323" s="26"/>
      <c r="AK323" s="61"/>
    </row>
    <row r="324" ht="15.75" customHeight="1">
      <c r="A324" s="26"/>
      <c r="B324" s="26"/>
      <c r="AK324" s="61"/>
    </row>
    <row r="325" ht="15.75" customHeight="1">
      <c r="A325" s="26"/>
      <c r="B325" s="26"/>
      <c r="AK325" s="61"/>
    </row>
    <row r="326" ht="15.75" customHeight="1">
      <c r="A326" s="26"/>
      <c r="B326" s="26"/>
      <c r="AK326" s="61"/>
    </row>
    <row r="327" ht="15.75" customHeight="1">
      <c r="A327" s="26"/>
      <c r="B327" s="26"/>
      <c r="AK327" s="61"/>
    </row>
    <row r="328" ht="15.75" customHeight="1">
      <c r="A328" s="26"/>
      <c r="B328" s="26"/>
      <c r="AK328" s="61"/>
    </row>
    <row r="329" ht="15.75" customHeight="1">
      <c r="A329" s="26"/>
      <c r="B329" s="26"/>
      <c r="AK329" s="61"/>
    </row>
    <row r="330" ht="15.75" customHeight="1">
      <c r="A330" s="26"/>
      <c r="B330" s="26"/>
      <c r="AK330" s="61"/>
    </row>
    <row r="331" ht="15.75" customHeight="1">
      <c r="A331" s="26"/>
      <c r="B331" s="26"/>
      <c r="AK331" s="61"/>
    </row>
    <row r="332" ht="15.75" customHeight="1">
      <c r="A332" s="26"/>
      <c r="B332" s="26"/>
      <c r="AK332" s="61"/>
    </row>
    <row r="333" ht="15.75" customHeight="1">
      <c r="A333" s="26"/>
      <c r="B333" s="26"/>
      <c r="AK333" s="61"/>
    </row>
    <row r="334" ht="15.75" customHeight="1">
      <c r="A334" s="26"/>
      <c r="B334" s="26"/>
      <c r="AK334" s="61"/>
    </row>
    <row r="335" ht="15.75" customHeight="1">
      <c r="A335" s="26"/>
      <c r="B335" s="26"/>
      <c r="AK335" s="61"/>
    </row>
    <row r="336" ht="15.75" customHeight="1">
      <c r="A336" s="26"/>
      <c r="B336" s="26"/>
      <c r="AK336" s="61"/>
    </row>
    <row r="337" ht="15.75" customHeight="1">
      <c r="A337" s="26"/>
      <c r="B337" s="26"/>
      <c r="AK337" s="61"/>
    </row>
    <row r="338" ht="15.75" customHeight="1">
      <c r="A338" s="26"/>
      <c r="B338" s="26"/>
      <c r="AK338" s="61"/>
    </row>
    <row r="339" ht="15.75" customHeight="1">
      <c r="A339" s="26"/>
      <c r="B339" s="26"/>
      <c r="AK339" s="61"/>
    </row>
    <row r="340" ht="15.75" customHeight="1">
      <c r="A340" s="26"/>
      <c r="B340" s="26"/>
      <c r="AK340" s="61"/>
    </row>
    <row r="341" ht="15.75" customHeight="1">
      <c r="A341" s="26"/>
      <c r="B341" s="26"/>
      <c r="AK341" s="61"/>
    </row>
    <row r="342" ht="15.75" customHeight="1">
      <c r="A342" s="26"/>
      <c r="B342" s="26"/>
      <c r="AK342" s="61"/>
    </row>
    <row r="343" ht="15.75" customHeight="1">
      <c r="A343" s="26"/>
      <c r="B343" s="26"/>
      <c r="AK343" s="61"/>
    </row>
    <row r="344" ht="15.75" customHeight="1">
      <c r="A344" s="26"/>
      <c r="B344" s="26"/>
      <c r="AK344" s="61"/>
    </row>
    <row r="345" ht="15.75" customHeight="1">
      <c r="A345" s="26"/>
      <c r="B345" s="26"/>
      <c r="AK345" s="61"/>
    </row>
    <row r="346" ht="15.75" customHeight="1">
      <c r="A346" s="26"/>
      <c r="B346" s="26"/>
      <c r="AK346" s="61"/>
    </row>
    <row r="347" ht="15.75" customHeight="1">
      <c r="A347" s="26"/>
      <c r="B347" s="26"/>
      <c r="AK347" s="61"/>
    </row>
    <row r="348" ht="15.75" customHeight="1">
      <c r="A348" s="26"/>
      <c r="B348" s="26"/>
      <c r="AK348" s="61"/>
    </row>
    <row r="349" ht="15.75" customHeight="1">
      <c r="A349" s="26"/>
      <c r="B349" s="26"/>
      <c r="AK349" s="61"/>
    </row>
    <row r="350" ht="15.75" customHeight="1">
      <c r="A350" s="26"/>
      <c r="B350" s="26"/>
      <c r="AK350" s="61"/>
    </row>
    <row r="351" ht="15.75" customHeight="1">
      <c r="A351" s="26"/>
      <c r="B351" s="26"/>
      <c r="AK351" s="61"/>
    </row>
    <row r="352" ht="15.75" customHeight="1">
      <c r="A352" s="26"/>
      <c r="B352" s="26"/>
      <c r="AK352" s="61"/>
    </row>
    <row r="353" ht="15.75" customHeight="1">
      <c r="A353" s="26"/>
      <c r="B353" s="26"/>
      <c r="AK353" s="61"/>
    </row>
    <row r="354" ht="15.75" customHeight="1">
      <c r="A354" s="26"/>
      <c r="B354" s="26"/>
      <c r="AK354" s="61"/>
    </row>
    <row r="355" ht="15.75" customHeight="1">
      <c r="A355" s="26"/>
      <c r="B355" s="26"/>
      <c r="AK355" s="61"/>
    </row>
    <row r="356" ht="15.75" customHeight="1">
      <c r="A356" s="26"/>
      <c r="B356" s="26"/>
      <c r="AK356" s="61"/>
    </row>
    <row r="357" ht="15.75" customHeight="1">
      <c r="A357" s="26"/>
      <c r="B357" s="26"/>
      <c r="AK357" s="61"/>
    </row>
    <row r="358" ht="15.75" customHeight="1">
      <c r="A358" s="26"/>
      <c r="B358" s="26"/>
      <c r="AK358" s="61"/>
    </row>
    <row r="359" ht="15.75" customHeight="1">
      <c r="A359" s="26"/>
      <c r="B359" s="26"/>
      <c r="AK359" s="61"/>
    </row>
    <row r="360" ht="15.75" customHeight="1">
      <c r="A360" s="26"/>
      <c r="B360" s="26"/>
      <c r="AK360" s="61"/>
    </row>
    <row r="361" ht="15.75" customHeight="1">
      <c r="A361" s="26"/>
      <c r="B361" s="26"/>
      <c r="AK361" s="61"/>
    </row>
    <row r="362" ht="15.75" customHeight="1">
      <c r="A362" s="26"/>
      <c r="B362" s="26"/>
      <c r="AK362" s="61"/>
    </row>
    <row r="363" ht="15.75" customHeight="1">
      <c r="A363" s="26"/>
      <c r="B363" s="26"/>
      <c r="AK363" s="61"/>
    </row>
    <row r="364" ht="15.75" customHeight="1">
      <c r="A364" s="26"/>
      <c r="B364" s="26"/>
      <c r="AK364" s="61"/>
    </row>
    <row r="365" ht="15.75" customHeight="1">
      <c r="A365" s="26"/>
      <c r="B365" s="26"/>
      <c r="AK365" s="61"/>
    </row>
    <row r="366" ht="15.75" customHeight="1">
      <c r="A366" s="26"/>
      <c r="B366" s="26"/>
      <c r="AK366" s="61"/>
    </row>
    <row r="367" ht="15.75" customHeight="1">
      <c r="A367" s="26"/>
      <c r="B367" s="26"/>
      <c r="AK367" s="61"/>
    </row>
    <row r="368" ht="15.75" customHeight="1">
      <c r="A368" s="26"/>
      <c r="B368" s="26"/>
      <c r="AK368" s="61"/>
    </row>
    <row r="369" ht="15.75" customHeight="1">
      <c r="A369" s="26"/>
      <c r="B369" s="26"/>
      <c r="AK369" s="61"/>
    </row>
    <row r="370" ht="15.75" customHeight="1">
      <c r="A370" s="26"/>
      <c r="B370" s="26"/>
      <c r="AK370" s="61"/>
    </row>
    <row r="371" ht="15.75" customHeight="1">
      <c r="A371" s="26"/>
      <c r="B371" s="26"/>
      <c r="AK371" s="61"/>
    </row>
    <row r="372" ht="15.75" customHeight="1">
      <c r="A372" s="26"/>
      <c r="B372" s="26"/>
      <c r="AK372" s="61"/>
    </row>
    <row r="373" ht="15.75" customHeight="1">
      <c r="A373" s="26"/>
      <c r="B373" s="26"/>
      <c r="AK373" s="61"/>
    </row>
    <row r="374" ht="15.75" customHeight="1">
      <c r="A374" s="26"/>
      <c r="B374" s="26"/>
      <c r="AK374" s="61"/>
    </row>
    <row r="375" ht="15.75" customHeight="1">
      <c r="A375" s="26"/>
      <c r="B375" s="26"/>
      <c r="AK375" s="61"/>
    </row>
    <row r="376" ht="15.75" customHeight="1">
      <c r="A376" s="26"/>
      <c r="B376" s="26"/>
      <c r="AK376" s="61"/>
    </row>
    <row r="377" ht="15.75" customHeight="1">
      <c r="A377" s="26"/>
      <c r="B377" s="26"/>
      <c r="AK377" s="61"/>
    </row>
    <row r="378" ht="15.75" customHeight="1">
      <c r="A378" s="26"/>
      <c r="B378" s="26"/>
      <c r="AK378" s="61"/>
    </row>
    <row r="379" ht="15.75" customHeight="1">
      <c r="A379" s="26"/>
      <c r="B379" s="26"/>
      <c r="AK379" s="61"/>
    </row>
    <row r="380" ht="15.75" customHeight="1">
      <c r="A380" s="26"/>
      <c r="B380" s="26"/>
      <c r="AK380" s="61"/>
    </row>
    <row r="381" ht="15.75" customHeight="1">
      <c r="A381" s="26"/>
      <c r="B381" s="26"/>
      <c r="AK381" s="61"/>
    </row>
    <row r="382" ht="15.75" customHeight="1">
      <c r="A382" s="26"/>
      <c r="B382" s="26"/>
      <c r="AK382" s="61"/>
    </row>
    <row r="383" ht="15.75" customHeight="1">
      <c r="A383" s="26"/>
      <c r="B383" s="26"/>
      <c r="AK383" s="61"/>
    </row>
    <row r="384" ht="15.75" customHeight="1">
      <c r="A384" s="26"/>
      <c r="B384" s="26"/>
      <c r="AK384" s="61"/>
    </row>
    <row r="385" ht="15.75" customHeight="1">
      <c r="A385" s="26"/>
      <c r="B385" s="26"/>
      <c r="AK385" s="61"/>
    </row>
    <row r="386" ht="15.75" customHeight="1">
      <c r="A386" s="26"/>
      <c r="B386" s="26"/>
      <c r="AK386" s="61"/>
    </row>
    <row r="387" ht="15.75" customHeight="1">
      <c r="A387" s="26"/>
      <c r="B387" s="26"/>
      <c r="AK387" s="61"/>
    </row>
    <row r="388" ht="15.75" customHeight="1">
      <c r="A388" s="26"/>
      <c r="B388" s="26"/>
      <c r="AK388" s="61"/>
    </row>
    <row r="389" ht="15.75" customHeight="1">
      <c r="A389" s="26"/>
      <c r="B389" s="26"/>
      <c r="AK389" s="61"/>
    </row>
    <row r="390" ht="15.75" customHeight="1">
      <c r="A390" s="26"/>
      <c r="B390" s="26"/>
      <c r="AK390" s="61"/>
    </row>
    <row r="391" ht="15.75" customHeight="1">
      <c r="A391" s="26"/>
      <c r="B391" s="26"/>
      <c r="AK391" s="61"/>
    </row>
    <row r="392" ht="15.75" customHeight="1">
      <c r="A392" s="26"/>
      <c r="B392" s="26"/>
      <c r="AK392" s="61"/>
    </row>
    <row r="393" ht="15.75" customHeight="1">
      <c r="A393" s="26"/>
      <c r="B393" s="26"/>
      <c r="AK393" s="61"/>
    </row>
    <row r="394" ht="15.75" customHeight="1">
      <c r="A394" s="26"/>
      <c r="B394" s="26"/>
      <c r="AK394" s="61"/>
    </row>
    <row r="395" ht="15.75" customHeight="1">
      <c r="A395" s="26"/>
      <c r="B395" s="26"/>
      <c r="AK395" s="61"/>
    </row>
    <row r="396" ht="15.75" customHeight="1">
      <c r="A396" s="26"/>
      <c r="B396" s="26"/>
      <c r="AK396" s="61"/>
    </row>
    <row r="397" ht="15.75" customHeight="1">
      <c r="A397" s="26"/>
      <c r="B397" s="26"/>
      <c r="AK397" s="61"/>
    </row>
    <row r="398" ht="15.75" customHeight="1">
      <c r="A398" s="26"/>
      <c r="B398" s="26"/>
      <c r="AK398" s="61"/>
    </row>
    <row r="399" ht="15.75" customHeight="1">
      <c r="A399" s="26"/>
      <c r="B399" s="26"/>
      <c r="AK399" s="61"/>
    </row>
    <row r="400" ht="15.75" customHeight="1">
      <c r="A400" s="26"/>
      <c r="B400" s="26"/>
      <c r="AK400" s="61"/>
    </row>
    <row r="401" ht="15.75" customHeight="1">
      <c r="A401" s="26"/>
      <c r="B401" s="26"/>
      <c r="AK401" s="61"/>
    </row>
    <row r="402" ht="15.75" customHeight="1">
      <c r="A402" s="26"/>
      <c r="B402" s="26"/>
      <c r="AK402" s="61"/>
    </row>
    <row r="403" ht="15.75" customHeight="1">
      <c r="A403" s="26"/>
      <c r="B403" s="26"/>
      <c r="AK403" s="61"/>
    </row>
    <row r="404" ht="15.75" customHeight="1">
      <c r="A404" s="26"/>
      <c r="B404" s="26"/>
      <c r="AK404" s="61"/>
    </row>
    <row r="405" ht="15.75" customHeight="1">
      <c r="A405" s="26"/>
      <c r="B405" s="26"/>
      <c r="AK405" s="61"/>
    </row>
    <row r="406" ht="15.75" customHeight="1">
      <c r="A406" s="26"/>
      <c r="B406" s="26"/>
      <c r="AK406" s="61"/>
    </row>
    <row r="407" ht="15.75" customHeight="1">
      <c r="A407" s="26"/>
      <c r="B407" s="26"/>
      <c r="AK407" s="61"/>
    </row>
    <row r="408" ht="15.75" customHeight="1">
      <c r="A408" s="26"/>
      <c r="B408" s="26"/>
      <c r="AK408" s="61"/>
    </row>
    <row r="409" ht="15.75" customHeight="1">
      <c r="A409" s="26"/>
      <c r="B409" s="26"/>
      <c r="AK409" s="61"/>
    </row>
    <row r="410" ht="15.75" customHeight="1">
      <c r="A410" s="26"/>
      <c r="B410" s="26"/>
      <c r="AK410" s="61"/>
    </row>
    <row r="411" ht="15.75" customHeight="1">
      <c r="A411" s="26"/>
      <c r="B411" s="26"/>
      <c r="AK411" s="61"/>
    </row>
    <row r="412" ht="15.75" customHeight="1">
      <c r="A412" s="26"/>
      <c r="B412" s="26"/>
      <c r="AK412" s="61"/>
    </row>
    <row r="413" ht="15.75" customHeight="1">
      <c r="A413" s="26"/>
      <c r="B413" s="26"/>
      <c r="AK413" s="61"/>
    </row>
    <row r="414" ht="15.75" customHeight="1">
      <c r="A414" s="26"/>
      <c r="B414" s="26"/>
      <c r="AK414" s="61"/>
    </row>
    <row r="415" ht="15.75" customHeight="1">
      <c r="A415" s="26"/>
      <c r="B415" s="26"/>
      <c r="AK415" s="61"/>
    </row>
    <row r="416" ht="15.75" customHeight="1">
      <c r="A416" s="26"/>
      <c r="B416" s="26"/>
      <c r="AK416" s="61"/>
    </row>
    <row r="417" ht="15.75" customHeight="1">
      <c r="A417" s="26"/>
      <c r="B417" s="26"/>
      <c r="AK417" s="61"/>
    </row>
    <row r="418" ht="15.75" customHeight="1">
      <c r="A418" s="26"/>
      <c r="B418" s="26"/>
      <c r="AK418" s="61"/>
    </row>
    <row r="419" ht="15.75" customHeight="1">
      <c r="A419" s="26"/>
      <c r="B419" s="26"/>
      <c r="AK419" s="61"/>
    </row>
    <row r="420" ht="15.75" customHeight="1">
      <c r="A420" s="26"/>
      <c r="B420" s="26"/>
      <c r="AK420" s="61"/>
    </row>
    <row r="421" ht="15.75" customHeight="1">
      <c r="A421" s="26"/>
      <c r="B421" s="26"/>
      <c r="AK421" s="61"/>
    </row>
    <row r="422" ht="15.75" customHeight="1">
      <c r="A422" s="26"/>
      <c r="B422" s="26"/>
      <c r="AK422" s="61"/>
    </row>
    <row r="423" ht="15.75" customHeight="1">
      <c r="A423" s="26"/>
      <c r="B423" s="26"/>
      <c r="AK423" s="61"/>
    </row>
    <row r="424" ht="15.75" customHeight="1">
      <c r="A424" s="26"/>
      <c r="B424" s="26"/>
      <c r="AK424" s="61"/>
    </row>
    <row r="425" ht="15.75" customHeight="1">
      <c r="A425" s="26"/>
      <c r="B425" s="26"/>
      <c r="AK425" s="61"/>
    </row>
    <row r="426" ht="15.75" customHeight="1">
      <c r="A426" s="26"/>
      <c r="B426" s="26"/>
      <c r="AK426" s="61"/>
    </row>
    <row r="427" ht="15.75" customHeight="1">
      <c r="A427" s="26"/>
      <c r="B427" s="26"/>
      <c r="AK427" s="61"/>
    </row>
    <row r="428" ht="15.75" customHeight="1">
      <c r="A428" s="26"/>
      <c r="B428" s="26"/>
      <c r="AK428" s="61"/>
    </row>
    <row r="429" ht="15.75" customHeight="1">
      <c r="A429" s="26"/>
      <c r="B429" s="26"/>
      <c r="AK429" s="61"/>
    </row>
    <row r="430" ht="15.75" customHeight="1">
      <c r="A430" s="26"/>
      <c r="B430" s="26"/>
      <c r="AK430" s="61"/>
    </row>
    <row r="431" ht="15.75" customHeight="1">
      <c r="A431" s="26"/>
      <c r="B431" s="26"/>
      <c r="AK431" s="61"/>
    </row>
    <row r="432" ht="15.75" customHeight="1">
      <c r="A432" s="26"/>
      <c r="B432" s="26"/>
      <c r="AK432" s="61"/>
    </row>
    <row r="433" ht="15.75" customHeight="1">
      <c r="A433" s="26"/>
      <c r="B433" s="26"/>
      <c r="AK433" s="61"/>
    </row>
    <row r="434" ht="15.75" customHeight="1">
      <c r="A434" s="26"/>
      <c r="B434" s="26"/>
      <c r="AK434" s="61"/>
    </row>
    <row r="435" ht="15.75" customHeight="1">
      <c r="A435" s="26"/>
      <c r="B435" s="26"/>
      <c r="AK435" s="61"/>
    </row>
    <row r="436" ht="15.75" customHeight="1">
      <c r="A436" s="26"/>
      <c r="B436" s="26"/>
      <c r="AK436" s="61"/>
    </row>
    <row r="437" ht="15.75" customHeight="1">
      <c r="A437" s="26"/>
      <c r="B437" s="26"/>
      <c r="AK437" s="61"/>
    </row>
    <row r="438" ht="15.75" customHeight="1">
      <c r="A438" s="26"/>
      <c r="B438" s="26"/>
      <c r="AK438" s="61"/>
    </row>
    <row r="439" ht="15.75" customHeight="1">
      <c r="A439" s="26"/>
      <c r="B439" s="26"/>
      <c r="AK439" s="61"/>
    </row>
    <row r="440" ht="15.75" customHeight="1">
      <c r="A440" s="26"/>
      <c r="B440" s="26"/>
      <c r="AK440" s="61"/>
    </row>
    <row r="441" ht="15.75" customHeight="1">
      <c r="A441" s="26"/>
      <c r="B441" s="26"/>
      <c r="AK441" s="61"/>
    </row>
    <row r="442" ht="15.75" customHeight="1">
      <c r="A442" s="26"/>
      <c r="B442" s="26"/>
      <c r="AK442" s="61"/>
    </row>
    <row r="443" ht="15.75" customHeight="1">
      <c r="A443" s="26"/>
      <c r="B443" s="26"/>
      <c r="AK443" s="61"/>
    </row>
    <row r="444" ht="15.75" customHeight="1">
      <c r="A444" s="26"/>
      <c r="B444" s="26"/>
      <c r="AK444" s="61"/>
    </row>
    <row r="445" ht="15.75" customHeight="1">
      <c r="A445" s="26"/>
      <c r="B445" s="26"/>
      <c r="AK445" s="61"/>
    </row>
    <row r="446" ht="15.75" customHeight="1">
      <c r="A446" s="26"/>
      <c r="B446" s="26"/>
      <c r="AK446" s="61"/>
    </row>
    <row r="447" ht="15.75" customHeight="1">
      <c r="A447" s="26"/>
      <c r="B447" s="26"/>
      <c r="AK447" s="61"/>
    </row>
    <row r="448" ht="15.75" customHeight="1">
      <c r="A448" s="26"/>
      <c r="B448" s="26"/>
      <c r="AK448" s="61"/>
    </row>
    <row r="449" ht="15.75" customHeight="1">
      <c r="A449" s="26"/>
      <c r="B449" s="26"/>
      <c r="AK449" s="61"/>
    </row>
    <row r="450" ht="15.75" customHeight="1">
      <c r="A450" s="26"/>
      <c r="B450" s="26"/>
      <c r="AK450" s="61"/>
    </row>
    <row r="451" ht="15.75" customHeight="1">
      <c r="A451" s="26"/>
      <c r="B451" s="26"/>
      <c r="AK451" s="61"/>
    </row>
    <row r="452" ht="15.75" customHeight="1">
      <c r="A452" s="26"/>
      <c r="B452" s="26"/>
      <c r="AK452" s="61"/>
    </row>
    <row r="453" ht="15.75" customHeight="1">
      <c r="A453" s="26"/>
      <c r="B453" s="26"/>
      <c r="AK453" s="61"/>
    </row>
    <row r="454" ht="15.75" customHeight="1">
      <c r="A454" s="26"/>
      <c r="B454" s="26"/>
      <c r="AK454" s="61"/>
    </row>
    <row r="455" ht="15.75" customHeight="1">
      <c r="A455" s="26"/>
      <c r="B455" s="26"/>
      <c r="AK455" s="61"/>
    </row>
    <row r="456" ht="15.75" customHeight="1">
      <c r="A456" s="26"/>
      <c r="B456" s="26"/>
      <c r="AK456" s="61"/>
    </row>
    <row r="457" ht="15.75" customHeight="1">
      <c r="A457" s="26"/>
      <c r="B457" s="26"/>
      <c r="AK457" s="61"/>
    </row>
    <row r="458" ht="15.75" customHeight="1">
      <c r="A458" s="26"/>
      <c r="B458" s="26"/>
      <c r="AK458" s="61"/>
    </row>
    <row r="459" ht="15.75" customHeight="1">
      <c r="A459" s="26"/>
      <c r="B459" s="26"/>
      <c r="AK459" s="61"/>
    </row>
    <row r="460" ht="15.75" customHeight="1">
      <c r="A460" s="26"/>
      <c r="B460" s="26"/>
      <c r="AK460" s="61"/>
    </row>
    <row r="461" ht="15.75" customHeight="1">
      <c r="A461" s="26"/>
      <c r="B461" s="26"/>
      <c r="AK461" s="61"/>
    </row>
    <row r="462" ht="15.75" customHeight="1">
      <c r="A462" s="26"/>
      <c r="B462" s="26"/>
      <c r="AK462" s="61"/>
    </row>
    <row r="463" ht="15.75" customHeight="1">
      <c r="A463" s="26"/>
      <c r="B463" s="26"/>
      <c r="AK463" s="61"/>
    </row>
    <row r="464" ht="15.75" customHeight="1">
      <c r="A464" s="26"/>
      <c r="B464" s="26"/>
      <c r="AK464" s="61"/>
    </row>
    <row r="465" ht="15.75" customHeight="1">
      <c r="A465" s="26"/>
      <c r="B465" s="26"/>
      <c r="AK465" s="61"/>
    </row>
    <row r="466" ht="15.75" customHeight="1">
      <c r="A466" s="26"/>
      <c r="B466" s="26"/>
      <c r="AK466" s="61"/>
    </row>
    <row r="467" ht="15.75" customHeight="1">
      <c r="A467" s="26"/>
      <c r="B467" s="26"/>
      <c r="AK467" s="61"/>
    </row>
    <row r="468" ht="15.75" customHeight="1">
      <c r="A468" s="26"/>
      <c r="B468" s="26"/>
      <c r="AK468" s="61"/>
    </row>
    <row r="469" ht="15.75" customHeight="1">
      <c r="A469" s="26"/>
      <c r="B469" s="26"/>
      <c r="AK469" s="61"/>
    </row>
    <row r="470" ht="15.75" customHeight="1">
      <c r="A470" s="26"/>
      <c r="B470" s="26"/>
      <c r="AK470" s="61"/>
    </row>
    <row r="471" ht="15.75" customHeight="1">
      <c r="A471" s="26"/>
      <c r="B471" s="26"/>
      <c r="AK471" s="61"/>
    </row>
    <row r="472" ht="15.75" customHeight="1">
      <c r="A472" s="26"/>
      <c r="B472" s="26"/>
      <c r="AK472" s="61"/>
    </row>
    <row r="473" ht="15.75" customHeight="1">
      <c r="A473" s="26"/>
      <c r="B473" s="26"/>
      <c r="AK473" s="61"/>
    </row>
    <row r="474" ht="15.75" customHeight="1">
      <c r="A474" s="26"/>
      <c r="B474" s="26"/>
      <c r="AK474" s="61"/>
    </row>
    <row r="475" ht="15.75" customHeight="1">
      <c r="A475" s="26"/>
      <c r="B475" s="26"/>
      <c r="AK475" s="61"/>
    </row>
    <row r="476" ht="15.75" customHeight="1">
      <c r="A476" s="26"/>
      <c r="B476" s="26"/>
      <c r="AK476" s="61"/>
    </row>
    <row r="477" ht="15.75" customHeight="1">
      <c r="A477" s="26"/>
      <c r="B477" s="26"/>
      <c r="AK477" s="61"/>
    </row>
    <row r="478" ht="15.75" customHeight="1">
      <c r="A478" s="26"/>
      <c r="B478" s="26"/>
      <c r="AK478" s="61"/>
    </row>
    <row r="479" ht="15.75" customHeight="1">
      <c r="A479" s="26"/>
      <c r="B479" s="26"/>
      <c r="AK479" s="61"/>
    </row>
    <row r="480" ht="15.75" customHeight="1">
      <c r="A480" s="26"/>
      <c r="B480" s="26"/>
      <c r="AK480" s="61"/>
    </row>
    <row r="481" ht="15.75" customHeight="1">
      <c r="A481" s="26"/>
      <c r="B481" s="26"/>
      <c r="AK481" s="61"/>
    </row>
    <row r="482" ht="15.75" customHeight="1">
      <c r="A482" s="26"/>
      <c r="B482" s="26"/>
      <c r="AK482" s="61"/>
    </row>
    <row r="483" ht="15.75" customHeight="1">
      <c r="A483" s="26"/>
      <c r="B483" s="26"/>
      <c r="AK483" s="61"/>
    </row>
    <row r="484" ht="15.75" customHeight="1">
      <c r="A484" s="26"/>
      <c r="B484" s="26"/>
      <c r="AK484" s="61"/>
    </row>
    <row r="485" ht="15.75" customHeight="1">
      <c r="A485" s="26"/>
      <c r="B485" s="26"/>
      <c r="AK485" s="61"/>
    </row>
    <row r="486" ht="15.75" customHeight="1">
      <c r="A486" s="26"/>
      <c r="B486" s="26"/>
      <c r="AK486" s="61"/>
    </row>
    <row r="487" ht="15.75" customHeight="1">
      <c r="A487" s="26"/>
      <c r="B487" s="26"/>
      <c r="AK487" s="61"/>
    </row>
    <row r="488" ht="15.75" customHeight="1">
      <c r="A488" s="26"/>
      <c r="B488" s="26"/>
      <c r="AK488" s="61"/>
    </row>
    <row r="489" ht="15.75" customHeight="1">
      <c r="A489" s="26"/>
      <c r="B489" s="26"/>
      <c r="AK489" s="61"/>
    </row>
    <row r="490" ht="15.75" customHeight="1">
      <c r="A490" s="26"/>
      <c r="B490" s="26"/>
      <c r="AK490" s="61"/>
    </row>
    <row r="491" ht="15.75" customHeight="1">
      <c r="A491" s="26"/>
      <c r="B491" s="26"/>
      <c r="AK491" s="61"/>
    </row>
    <row r="492" ht="15.75" customHeight="1">
      <c r="A492" s="26"/>
      <c r="B492" s="26"/>
      <c r="AK492" s="61"/>
    </row>
    <row r="493" ht="15.75" customHeight="1">
      <c r="A493" s="26"/>
      <c r="B493" s="26"/>
      <c r="AK493" s="61"/>
    </row>
    <row r="494" ht="15.75" customHeight="1">
      <c r="A494" s="26"/>
      <c r="B494" s="26"/>
      <c r="AK494" s="61"/>
    </row>
    <row r="495" ht="15.75" customHeight="1">
      <c r="A495" s="26"/>
      <c r="B495" s="26"/>
      <c r="AK495" s="61"/>
    </row>
    <row r="496" ht="15.75" customHeight="1">
      <c r="A496" s="26"/>
      <c r="B496" s="26"/>
      <c r="AK496" s="61"/>
    </row>
    <row r="497" ht="15.75" customHeight="1">
      <c r="A497" s="26"/>
      <c r="B497" s="26"/>
      <c r="AK497" s="61"/>
    </row>
    <row r="498" ht="15.75" customHeight="1">
      <c r="A498" s="26"/>
      <c r="B498" s="26"/>
      <c r="AK498" s="61"/>
    </row>
    <row r="499" ht="15.75" customHeight="1">
      <c r="A499" s="26"/>
      <c r="B499" s="26"/>
      <c r="AK499" s="61"/>
    </row>
    <row r="500" ht="15.75" customHeight="1">
      <c r="A500" s="26"/>
      <c r="B500" s="26"/>
      <c r="AK500" s="61"/>
    </row>
    <row r="501" ht="15.75" customHeight="1">
      <c r="A501" s="26"/>
      <c r="B501" s="26"/>
      <c r="AK501" s="61"/>
    </row>
    <row r="502" ht="15.75" customHeight="1">
      <c r="A502" s="26"/>
      <c r="B502" s="26"/>
      <c r="AK502" s="61"/>
    </row>
    <row r="503" ht="15.75" customHeight="1">
      <c r="A503" s="26"/>
      <c r="B503" s="26"/>
      <c r="AK503" s="61"/>
    </row>
    <row r="504" ht="15.75" customHeight="1">
      <c r="A504" s="26"/>
      <c r="B504" s="26"/>
      <c r="AK504" s="61"/>
    </row>
    <row r="505" ht="15.75" customHeight="1">
      <c r="A505" s="26"/>
      <c r="B505" s="26"/>
      <c r="AK505" s="61"/>
    </row>
    <row r="506" ht="15.75" customHeight="1">
      <c r="A506" s="26"/>
      <c r="B506" s="26"/>
      <c r="AK506" s="61"/>
    </row>
    <row r="507" ht="15.75" customHeight="1">
      <c r="A507" s="26"/>
      <c r="B507" s="26"/>
      <c r="AK507" s="61"/>
    </row>
    <row r="508" ht="15.75" customHeight="1">
      <c r="A508" s="26"/>
      <c r="B508" s="26"/>
      <c r="AK508" s="61"/>
    </row>
    <row r="509" ht="15.75" customHeight="1">
      <c r="A509" s="26"/>
      <c r="B509" s="26"/>
      <c r="AK509" s="61"/>
    </row>
    <row r="510" ht="15.75" customHeight="1">
      <c r="A510" s="26"/>
      <c r="B510" s="26"/>
      <c r="AK510" s="61"/>
    </row>
    <row r="511" ht="15.75" customHeight="1">
      <c r="A511" s="26"/>
      <c r="B511" s="26"/>
      <c r="AK511" s="61"/>
    </row>
    <row r="512" ht="15.75" customHeight="1">
      <c r="A512" s="26"/>
      <c r="B512" s="26"/>
      <c r="AK512" s="61"/>
    </row>
    <row r="513" ht="15.75" customHeight="1">
      <c r="A513" s="26"/>
      <c r="B513" s="26"/>
      <c r="AK513" s="61"/>
    </row>
    <row r="514" ht="15.75" customHeight="1">
      <c r="A514" s="26"/>
      <c r="B514" s="26"/>
      <c r="AK514" s="61"/>
    </row>
    <row r="515" ht="15.75" customHeight="1">
      <c r="A515" s="26"/>
      <c r="B515" s="26"/>
      <c r="AK515" s="61"/>
    </row>
    <row r="516" ht="15.75" customHeight="1">
      <c r="A516" s="26"/>
      <c r="B516" s="26"/>
      <c r="AK516" s="61"/>
    </row>
    <row r="517" ht="15.75" customHeight="1">
      <c r="A517" s="26"/>
      <c r="B517" s="26"/>
      <c r="AK517" s="61"/>
    </row>
    <row r="518" ht="15.75" customHeight="1">
      <c r="A518" s="26"/>
      <c r="B518" s="26"/>
      <c r="AK518" s="61"/>
    </row>
    <row r="519" ht="15.75" customHeight="1">
      <c r="A519" s="26"/>
      <c r="B519" s="26"/>
      <c r="AK519" s="61"/>
    </row>
    <row r="520" ht="15.75" customHeight="1">
      <c r="A520" s="26"/>
      <c r="B520" s="26"/>
      <c r="AK520" s="61"/>
    </row>
    <row r="521" ht="15.75" customHeight="1">
      <c r="A521" s="26"/>
      <c r="B521" s="26"/>
      <c r="AK521" s="61"/>
    </row>
    <row r="522" ht="15.75" customHeight="1">
      <c r="A522" s="26"/>
      <c r="B522" s="26"/>
      <c r="AK522" s="61"/>
    </row>
    <row r="523" ht="15.75" customHeight="1">
      <c r="A523" s="26"/>
      <c r="B523" s="26"/>
      <c r="AK523" s="61"/>
    </row>
    <row r="524" ht="15.75" customHeight="1">
      <c r="A524" s="26"/>
      <c r="B524" s="26"/>
      <c r="AK524" s="61"/>
    </row>
    <row r="525" ht="15.75" customHeight="1">
      <c r="A525" s="26"/>
      <c r="B525" s="26"/>
      <c r="AK525" s="61"/>
    </row>
    <row r="526" ht="15.75" customHeight="1">
      <c r="A526" s="26"/>
      <c r="B526" s="26"/>
      <c r="AK526" s="61"/>
    </row>
    <row r="527" ht="15.75" customHeight="1">
      <c r="A527" s="26"/>
      <c r="B527" s="26"/>
      <c r="AK527" s="61"/>
    </row>
    <row r="528" ht="15.75" customHeight="1">
      <c r="A528" s="26"/>
      <c r="B528" s="26"/>
      <c r="AK528" s="61"/>
    </row>
    <row r="529" ht="15.75" customHeight="1">
      <c r="A529" s="26"/>
      <c r="B529" s="26"/>
      <c r="AK529" s="61"/>
    </row>
    <row r="530" ht="15.75" customHeight="1">
      <c r="A530" s="26"/>
      <c r="B530" s="26"/>
      <c r="AK530" s="61"/>
    </row>
    <row r="531" ht="15.75" customHeight="1">
      <c r="A531" s="26"/>
      <c r="B531" s="26"/>
      <c r="AK531" s="61"/>
    </row>
    <row r="532" ht="15.75" customHeight="1">
      <c r="A532" s="26"/>
      <c r="B532" s="26"/>
      <c r="AK532" s="61"/>
    </row>
    <row r="533" ht="15.75" customHeight="1">
      <c r="A533" s="26"/>
      <c r="B533" s="26"/>
      <c r="AK533" s="61"/>
    </row>
    <row r="534" ht="15.75" customHeight="1">
      <c r="A534" s="26"/>
      <c r="B534" s="26"/>
      <c r="AK534" s="61"/>
    </row>
    <row r="535" ht="15.75" customHeight="1">
      <c r="A535" s="26"/>
      <c r="B535" s="26"/>
      <c r="AK535" s="61"/>
    </row>
    <row r="536" ht="15.75" customHeight="1">
      <c r="A536" s="26"/>
      <c r="B536" s="26"/>
      <c r="AK536" s="61"/>
    </row>
    <row r="537" ht="15.75" customHeight="1">
      <c r="A537" s="26"/>
      <c r="B537" s="26"/>
      <c r="AK537" s="61"/>
    </row>
    <row r="538" ht="15.75" customHeight="1">
      <c r="A538" s="26"/>
      <c r="B538" s="26"/>
      <c r="AK538" s="61"/>
    </row>
    <row r="539" ht="15.75" customHeight="1">
      <c r="A539" s="26"/>
      <c r="B539" s="26"/>
      <c r="AK539" s="61"/>
    </row>
    <row r="540" ht="15.75" customHeight="1">
      <c r="A540" s="26"/>
      <c r="B540" s="26"/>
      <c r="AK540" s="61"/>
    </row>
    <row r="541" ht="15.75" customHeight="1">
      <c r="A541" s="26"/>
      <c r="B541" s="26"/>
      <c r="AK541" s="61"/>
    </row>
    <row r="542" ht="15.75" customHeight="1">
      <c r="A542" s="26"/>
      <c r="B542" s="26"/>
      <c r="AK542" s="61"/>
    </row>
    <row r="543" ht="15.75" customHeight="1">
      <c r="A543" s="26"/>
      <c r="B543" s="26"/>
      <c r="AK543" s="61"/>
    </row>
    <row r="544" ht="15.75" customHeight="1">
      <c r="A544" s="26"/>
      <c r="B544" s="26"/>
      <c r="AK544" s="61"/>
    </row>
    <row r="545" ht="15.75" customHeight="1">
      <c r="A545" s="26"/>
      <c r="B545" s="26"/>
      <c r="AK545" s="61"/>
    </row>
    <row r="546" ht="15.75" customHeight="1">
      <c r="A546" s="26"/>
      <c r="B546" s="26"/>
      <c r="AK546" s="61"/>
    </row>
    <row r="547" ht="15.75" customHeight="1">
      <c r="A547" s="26"/>
      <c r="B547" s="26"/>
      <c r="AK547" s="61"/>
    </row>
    <row r="548" ht="15.75" customHeight="1">
      <c r="A548" s="26"/>
      <c r="B548" s="26"/>
      <c r="AK548" s="61"/>
    </row>
    <row r="549" ht="15.75" customHeight="1">
      <c r="A549" s="26"/>
      <c r="B549" s="26"/>
      <c r="AK549" s="61"/>
    </row>
    <row r="550" ht="15.75" customHeight="1">
      <c r="A550" s="26"/>
      <c r="B550" s="26"/>
      <c r="AK550" s="61"/>
    </row>
    <row r="551" ht="15.75" customHeight="1">
      <c r="A551" s="26"/>
      <c r="B551" s="26"/>
      <c r="AK551" s="61"/>
    </row>
    <row r="552" ht="15.75" customHeight="1">
      <c r="A552" s="26"/>
      <c r="B552" s="26"/>
      <c r="AK552" s="61"/>
    </row>
    <row r="553" ht="15.75" customHeight="1">
      <c r="A553" s="26"/>
      <c r="B553" s="26"/>
      <c r="AK553" s="61"/>
    </row>
    <row r="554" ht="15.75" customHeight="1">
      <c r="A554" s="26"/>
      <c r="B554" s="26"/>
      <c r="AK554" s="61"/>
    </row>
    <row r="555" ht="15.75" customHeight="1">
      <c r="A555" s="26"/>
      <c r="B555" s="26"/>
      <c r="AK555" s="61"/>
    </row>
    <row r="556" ht="15.75" customHeight="1">
      <c r="A556" s="26"/>
      <c r="B556" s="26"/>
      <c r="AK556" s="61"/>
    </row>
    <row r="557" ht="15.75" customHeight="1">
      <c r="A557" s="26"/>
      <c r="B557" s="26"/>
      <c r="AK557" s="61"/>
    </row>
    <row r="558" ht="15.75" customHeight="1">
      <c r="A558" s="26"/>
      <c r="B558" s="26"/>
      <c r="AK558" s="61"/>
    </row>
    <row r="559" ht="15.75" customHeight="1">
      <c r="A559" s="26"/>
      <c r="B559" s="26"/>
      <c r="AK559" s="61"/>
    </row>
    <row r="560" ht="15.75" customHeight="1">
      <c r="A560" s="26"/>
      <c r="B560" s="26"/>
      <c r="AK560" s="61"/>
    </row>
    <row r="561" ht="15.75" customHeight="1">
      <c r="A561" s="26"/>
      <c r="B561" s="26"/>
      <c r="AK561" s="61"/>
    </row>
    <row r="562" ht="15.75" customHeight="1">
      <c r="A562" s="26"/>
      <c r="B562" s="26"/>
      <c r="AK562" s="61"/>
    </row>
    <row r="563" ht="15.75" customHeight="1">
      <c r="A563" s="26"/>
      <c r="B563" s="26"/>
      <c r="AK563" s="61"/>
    </row>
    <row r="564" ht="15.75" customHeight="1">
      <c r="A564" s="26"/>
      <c r="B564" s="26"/>
      <c r="AK564" s="61"/>
    </row>
    <row r="565" ht="15.75" customHeight="1">
      <c r="A565" s="26"/>
      <c r="B565" s="26"/>
      <c r="AK565" s="61"/>
    </row>
    <row r="566" ht="15.75" customHeight="1">
      <c r="A566" s="26"/>
      <c r="B566" s="26"/>
      <c r="AK566" s="61"/>
    </row>
    <row r="567" ht="15.75" customHeight="1">
      <c r="A567" s="26"/>
      <c r="B567" s="26"/>
      <c r="AK567" s="61"/>
    </row>
    <row r="568" ht="15.75" customHeight="1">
      <c r="A568" s="26"/>
      <c r="B568" s="26"/>
      <c r="AK568" s="61"/>
    </row>
    <row r="569" ht="15.75" customHeight="1">
      <c r="A569" s="26"/>
      <c r="B569" s="26"/>
      <c r="AK569" s="61"/>
    </row>
    <row r="570" ht="15.75" customHeight="1">
      <c r="A570" s="26"/>
      <c r="B570" s="26"/>
      <c r="AK570" s="61"/>
    </row>
    <row r="571" ht="15.75" customHeight="1">
      <c r="A571" s="26"/>
      <c r="B571" s="26"/>
      <c r="AK571" s="61"/>
    </row>
    <row r="572" ht="15.75" customHeight="1">
      <c r="A572" s="26"/>
      <c r="B572" s="26"/>
      <c r="AK572" s="61"/>
    </row>
    <row r="573" ht="15.75" customHeight="1">
      <c r="A573" s="26"/>
      <c r="B573" s="26"/>
      <c r="AK573" s="61"/>
    </row>
    <row r="574" ht="15.75" customHeight="1">
      <c r="A574" s="26"/>
      <c r="B574" s="26"/>
      <c r="AK574" s="61"/>
    </row>
    <row r="575" ht="15.75" customHeight="1">
      <c r="A575" s="26"/>
      <c r="B575" s="26"/>
      <c r="AK575" s="61"/>
    </row>
    <row r="576" ht="15.75" customHeight="1">
      <c r="A576" s="26"/>
      <c r="B576" s="26"/>
      <c r="AK576" s="61"/>
    </row>
    <row r="577" ht="15.75" customHeight="1">
      <c r="A577" s="26"/>
      <c r="B577" s="26"/>
      <c r="AK577" s="61"/>
    </row>
    <row r="578" ht="15.75" customHeight="1">
      <c r="A578" s="26"/>
      <c r="B578" s="26"/>
      <c r="AK578" s="61"/>
    </row>
    <row r="579" ht="15.75" customHeight="1">
      <c r="A579" s="26"/>
      <c r="B579" s="26"/>
      <c r="AK579" s="61"/>
    </row>
    <row r="580" ht="15.75" customHeight="1">
      <c r="A580" s="26"/>
      <c r="B580" s="26"/>
      <c r="AK580" s="61"/>
    </row>
    <row r="581" ht="15.75" customHeight="1">
      <c r="A581" s="26"/>
      <c r="B581" s="26"/>
      <c r="AK581" s="61"/>
    </row>
    <row r="582" ht="15.75" customHeight="1">
      <c r="A582" s="26"/>
      <c r="B582" s="26"/>
      <c r="AK582" s="61"/>
    </row>
    <row r="583" ht="15.75" customHeight="1">
      <c r="A583" s="26"/>
      <c r="B583" s="26"/>
      <c r="AK583" s="61"/>
    </row>
    <row r="584" ht="15.75" customHeight="1">
      <c r="A584" s="26"/>
      <c r="B584" s="26"/>
      <c r="AK584" s="61"/>
    </row>
    <row r="585" ht="15.75" customHeight="1">
      <c r="A585" s="26"/>
      <c r="B585" s="26"/>
      <c r="AK585" s="61"/>
    </row>
    <row r="586" ht="15.75" customHeight="1">
      <c r="A586" s="26"/>
      <c r="B586" s="26"/>
      <c r="AK586" s="61"/>
    </row>
    <row r="587" ht="15.75" customHeight="1">
      <c r="A587" s="26"/>
      <c r="B587" s="26"/>
      <c r="AK587" s="61"/>
    </row>
    <row r="588" ht="15.75" customHeight="1">
      <c r="A588" s="26"/>
      <c r="B588" s="26"/>
      <c r="AK588" s="61"/>
    </row>
    <row r="589" ht="15.75" customHeight="1">
      <c r="A589" s="26"/>
      <c r="B589" s="26"/>
      <c r="AK589" s="61"/>
    </row>
    <row r="590" ht="15.75" customHeight="1">
      <c r="A590" s="26"/>
      <c r="B590" s="26"/>
      <c r="AK590" s="61"/>
    </row>
    <row r="591" ht="15.75" customHeight="1">
      <c r="A591" s="26"/>
      <c r="B591" s="26"/>
      <c r="AK591" s="61"/>
    </row>
    <row r="592" ht="15.75" customHeight="1">
      <c r="A592" s="26"/>
      <c r="B592" s="26"/>
      <c r="AK592" s="61"/>
    </row>
    <row r="593" ht="15.75" customHeight="1">
      <c r="A593" s="26"/>
      <c r="B593" s="26"/>
      <c r="AK593" s="61"/>
    </row>
    <row r="594" ht="15.75" customHeight="1">
      <c r="A594" s="26"/>
      <c r="B594" s="26"/>
      <c r="AK594" s="61"/>
    </row>
    <row r="595" ht="15.75" customHeight="1">
      <c r="A595" s="26"/>
      <c r="B595" s="26"/>
      <c r="AK595" s="61"/>
    </row>
    <row r="596" ht="15.75" customHeight="1">
      <c r="A596" s="26"/>
      <c r="B596" s="26"/>
      <c r="AK596" s="61"/>
    </row>
    <row r="597" ht="15.75" customHeight="1">
      <c r="A597" s="26"/>
      <c r="B597" s="26"/>
      <c r="AK597" s="61"/>
    </row>
    <row r="598" ht="15.75" customHeight="1">
      <c r="A598" s="26"/>
      <c r="B598" s="26"/>
      <c r="AK598" s="61"/>
    </row>
    <row r="599" ht="15.75" customHeight="1">
      <c r="A599" s="26"/>
      <c r="B599" s="26"/>
      <c r="AK599" s="61"/>
    </row>
    <row r="600" ht="15.75" customHeight="1">
      <c r="A600" s="26"/>
      <c r="B600" s="26"/>
      <c r="AK600" s="61"/>
    </row>
    <row r="601" ht="15.75" customHeight="1">
      <c r="A601" s="26"/>
      <c r="B601" s="26"/>
      <c r="AK601" s="61"/>
    </row>
    <row r="602" ht="15.75" customHeight="1">
      <c r="A602" s="26"/>
      <c r="B602" s="26"/>
      <c r="AK602" s="61"/>
    </row>
    <row r="603" ht="15.75" customHeight="1">
      <c r="A603" s="26"/>
      <c r="B603" s="26"/>
      <c r="AK603" s="61"/>
    </row>
    <row r="604" ht="15.75" customHeight="1">
      <c r="A604" s="26"/>
      <c r="B604" s="26"/>
      <c r="AK604" s="61"/>
    </row>
    <row r="605" ht="15.75" customHeight="1">
      <c r="A605" s="26"/>
      <c r="B605" s="26"/>
      <c r="AK605" s="61"/>
    </row>
    <row r="606" ht="15.75" customHeight="1">
      <c r="A606" s="26"/>
      <c r="B606" s="26"/>
      <c r="AK606" s="61"/>
    </row>
    <row r="607" ht="15.75" customHeight="1">
      <c r="A607" s="26"/>
      <c r="B607" s="26"/>
      <c r="AK607" s="61"/>
    </row>
    <row r="608" ht="15.75" customHeight="1">
      <c r="A608" s="26"/>
      <c r="B608" s="26"/>
      <c r="AK608" s="61"/>
    </row>
    <row r="609" ht="15.75" customHeight="1">
      <c r="A609" s="26"/>
      <c r="B609" s="26"/>
      <c r="AK609" s="61"/>
    </row>
    <row r="610" ht="15.75" customHeight="1">
      <c r="A610" s="26"/>
      <c r="B610" s="26"/>
      <c r="AK610" s="61"/>
    </row>
    <row r="611" ht="15.75" customHeight="1">
      <c r="A611" s="26"/>
      <c r="B611" s="26"/>
      <c r="AK611" s="61"/>
    </row>
    <row r="612" ht="15.75" customHeight="1">
      <c r="A612" s="26"/>
      <c r="B612" s="26"/>
      <c r="AK612" s="61"/>
    </row>
    <row r="613" ht="15.75" customHeight="1">
      <c r="A613" s="26"/>
      <c r="B613" s="26"/>
      <c r="AK613" s="61"/>
    </row>
    <row r="614" ht="15.75" customHeight="1">
      <c r="A614" s="26"/>
      <c r="B614" s="26"/>
      <c r="AK614" s="61"/>
    </row>
    <row r="615" ht="15.75" customHeight="1">
      <c r="A615" s="26"/>
      <c r="B615" s="26"/>
      <c r="AK615" s="61"/>
    </row>
    <row r="616" ht="15.75" customHeight="1">
      <c r="A616" s="26"/>
      <c r="B616" s="26"/>
      <c r="AK616" s="61"/>
    </row>
    <row r="617" ht="15.75" customHeight="1">
      <c r="A617" s="26"/>
      <c r="B617" s="26"/>
      <c r="AK617" s="61"/>
    </row>
    <row r="618" ht="15.75" customHeight="1">
      <c r="A618" s="26"/>
      <c r="B618" s="26"/>
      <c r="AK618" s="61"/>
    </row>
    <row r="619" ht="15.75" customHeight="1">
      <c r="A619" s="26"/>
      <c r="B619" s="26"/>
      <c r="AK619" s="61"/>
    </row>
    <row r="620" ht="15.75" customHeight="1">
      <c r="A620" s="26"/>
      <c r="B620" s="26"/>
      <c r="AK620" s="61"/>
    </row>
    <row r="621" ht="15.75" customHeight="1">
      <c r="A621" s="26"/>
      <c r="B621" s="26"/>
      <c r="AK621" s="61"/>
    </row>
    <row r="622" ht="15.75" customHeight="1">
      <c r="A622" s="26"/>
      <c r="B622" s="26"/>
      <c r="AK622" s="61"/>
    </row>
    <row r="623" ht="15.75" customHeight="1">
      <c r="A623" s="26"/>
      <c r="B623" s="26"/>
      <c r="AK623" s="61"/>
    </row>
    <row r="624" ht="15.75" customHeight="1">
      <c r="A624" s="26"/>
      <c r="B624" s="26"/>
      <c r="AK624" s="61"/>
    </row>
    <row r="625" ht="15.75" customHeight="1">
      <c r="A625" s="26"/>
      <c r="B625" s="26"/>
      <c r="AK625" s="61"/>
    </row>
    <row r="626" ht="15.75" customHeight="1">
      <c r="A626" s="26"/>
      <c r="B626" s="26"/>
      <c r="AK626" s="61"/>
    </row>
    <row r="627" ht="15.75" customHeight="1">
      <c r="A627" s="26"/>
      <c r="B627" s="26"/>
      <c r="AK627" s="61"/>
    </row>
    <row r="628" ht="15.75" customHeight="1">
      <c r="A628" s="26"/>
      <c r="B628" s="26"/>
      <c r="AK628" s="61"/>
    </row>
    <row r="629" ht="15.75" customHeight="1">
      <c r="A629" s="26"/>
      <c r="B629" s="26"/>
      <c r="AK629" s="61"/>
    </row>
    <row r="630" ht="15.75" customHeight="1">
      <c r="A630" s="26"/>
      <c r="B630" s="26"/>
      <c r="AK630" s="61"/>
    </row>
    <row r="631" ht="15.75" customHeight="1">
      <c r="A631" s="26"/>
      <c r="B631" s="26"/>
      <c r="AK631" s="61"/>
    </row>
    <row r="632" ht="15.75" customHeight="1">
      <c r="A632" s="26"/>
      <c r="B632" s="26"/>
      <c r="AK632" s="61"/>
    </row>
    <row r="633" ht="15.75" customHeight="1">
      <c r="A633" s="26"/>
      <c r="B633" s="26"/>
      <c r="AK633" s="61"/>
    </row>
    <row r="634" ht="15.75" customHeight="1">
      <c r="A634" s="26"/>
      <c r="B634" s="26"/>
      <c r="AK634" s="61"/>
    </row>
    <row r="635" ht="15.75" customHeight="1">
      <c r="A635" s="26"/>
      <c r="B635" s="26"/>
      <c r="AK635" s="61"/>
    </row>
    <row r="636" ht="15.75" customHeight="1">
      <c r="A636" s="26"/>
      <c r="B636" s="26"/>
      <c r="AK636" s="61"/>
    </row>
    <row r="637" ht="15.75" customHeight="1">
      <c r="A637" s="26"/>
      <c r="B637" s="26"/>
      <c r="AK637" s="61"/>
    </row>
    <row r="638" ht="15.75" customHeight="1">
      <c r="A638" s="26"/>
      <c r="B638" s="26"/>
      <c r="AK638" s="61"/>
    </row>
    <row r="639" ht="15.75" customHeight="1">
      <c r="A639" s="26"/>
      <c r="B639" s="26"/>
      <c r="AK639" s="61"/>
    </row>
    <row r="640" ht="15.75" customHeight="1">
      <c r="A640" s="26"/>
      <c r="B640" s="26"/>
      <c r="AK640" s="61"/>
    </row>
    <row r="641" ht="15.75" customHeight="1">
      <c r="A641" s="26"/>
      <c r="B641" s="26"/>
      <c r="AK641" s="61"/>
    </row>
    <row r="642" ht="15.75" customHeight="1">
      <c r="A642" s="26"/>
      <c r="B642" s="26"/>
      <c r="AK642" s="61"/>
    </row>
    <row r="643" ht="15.75" customHeight="1">
      <c r="A643" s="26"/>
      <c r="B643" s="26"/>
      <c r="AK643" s="61"/>
    </row>
    <row r="644" ht="15.75" customHeight="1">
      <c r="A644" s="26"/>
      <c r="B644" s="26"/>
      <c r="AK644" s="61"/>
    </row>
    <row r="645" ht="15.75" customHeight="1">
      <c r="A645" s="26"/>
      <c r="B645" s="26"/>
      <c r="AK645" s="61"/>
    </row>
    <row r="646" ht="15.75" customHeight="1">
      <c r="A646" s="26"/>
      <c r="B646" s="26"/>
      <c r="AK646" s="61"/>
    </row>
    <row r="647" ht="15.75" customHeight="1">
      <c r="A647" s="26"/>
      <c r="B647" s="26"/>
      <c r="AK647" s="61"/>
    </row>
    <row r="648" ht="15.75" customHeight="1">
      <c r="A648" s="26"/>
      <c r="B648" s="26"/>
      <c r="AK648" s="61"/>
    </row>
    <row r="649" ht="15.75" customHeight="1">
      <c r="A649" s="26"/>
      <c r="B649" s="26"/>
      <c r="AK649" s="61"/>
    </row>
    <row r="650" ht="15.75" customHeight="1">
      <c r="A650" s="26"/>
      <c r="B650" s="26"/>
      <c r="AK650" s="61"/>
    </row>
    <row r="651" ht="15.75" customHeight="1">
      <c r="A651" s="26"/>
      <c r="B651" s="26"/>
      <c r="AK651" s="61"/>
    </row>
    <row r="652" ht="15.75" customHeight="1">
      <c r="A652" s="26"/>
      <c r="B652" s="26"/>
      <c r="AK652" s="61"/>
    </row>
    <row r="653" ht="15.75" customHeight="1">
      <c r="A653" s="26"/>
      <c r="B653" s="26"/>
      <c r="AK653" s="61"/>
    </row>
    <row r="654" ht="15.75" customHeight="1">
      <c r="A654" s="26"/>
      <c r="B654" s="26"/>
      <c r="AK654" s="61"/>
    </row>
    <row r="655" ht="15.75" customHeight="1">
      <c r="A655" s="26"/>
      <c r="B655" s="26"/>
      <c r="AK655" s="61"/>
    </row>
    <row r="656" ht="15.75" customHeight="1">
      <c r="A656" s="26"/>
      <c r="B656" s="26"/>
      <c r="AK656" s="61"/>
    </row>
    <row r="657" ht="15.75" customHeight="1">
      <c r="A657" s="26"/>
      <c r="B657" s="26"/>
      <c r="AK657" s="61"/>
    </row>
    <row r="658" ht="15.75" customHeight="1">
      <c r="A658" s="26"/>
      <c r="B658" s="26"/>
      <c r="AK658" s="61"/>
    </row>
    <row r="659" ht="15.75" customHeight="1">
      <c r="A659" s="26"/>
      <c r="B659" s="26"/>
      <c r="AK659" s="61"/>
    </row>
    <row r="660" ht="15.75" customHeight="1">
      <c r="A660" s="26"/>
      <c r="B660" s="26"/>
      <c r="AK660" s="61"/>
    </row>
    <row r="661" ht="15.75" customHeight="1">
      <c r="A661" s="26"/>
      <c r="B661" s="26"/>
      <c r="AK661" s="61"/>
    </row>
    <row r="662" ht="15.75" customHeight="1">
      <c r="A662" s="26"/>
      <c r="B662" s="26"/>
      <c r="AK662" s="61"/>
    </row>
    <row r="663" ht="15.75" customHeight="1">
      <c r="A663" s="26"/>
      <c r="B663" s="26"/>
      <c r="AK663" s="61"/>
    </row>
    <row r="664" ht="15.75" customHeight="1">
      <c r="A664" s="26"/>
      <c r="B664" s="26"/>
      <c r="AK664" s="61"/>
    </row>
    <row r="665" ht="15.75" customHeight="1">
      <c r="A665" s="26"/>
      <c r="B665" s="26"/>
      <c r="AK665" s="61"/>
    </row>
    <row r="666" ht="15.75" customHeight="1">
      <c r="A666" s="26"/>
      <c r="B666" s="26"/>
      <c r="AK666" s="61"/>
    </row>
    <row r="667" ht="15.75" customHeight="1">
      <c r="A667" s="26"/>
      <c r="B667" s="26"/>
      <c r="AK667" s="61"/>
    </row>
    <row r="668" ht="15.75" customHeight="1">
      <c r="A668" s="26"/>
      <c r="B668" s="26"/>
      <c r="AK668" s="61"/>
    </row>
    <row r="669" ht="15.75" customHeight="1">
      <c r="A669" s="26"/>
      <c r="B669" s="26"/>
      <c r="AK669" s="61"/>
    </row>
    <row r="670" ht="15.75" customHeight="1">
      <c r="A670" s="26"/>
      <c r="B670" s="26"/>
      <c r="AK670" s="61"/>
    </row>
    <row r="671" ht="15.75" customHeight="1">
      <c r="A671" s="26"/>
      <c r="B671" s="26"/>
      <c r="AK671" s="61"/>
    </row>
    <row r="672" ht="15.75" customHeight="1">
      <c r="A672" s="26"/>
      <c r="B672" s="26"/>
      <c r="AK672" s="61"/>
    </row>
    <row r="673" ht="15.75" customHeight="1">
      <c r="A673" s="26"/>
      <c r="B673" s="26"/>
      <c r="AK673" s="61"/>
    </row>
    <row r="674" ht="15.75" customHeight="1">
      <c r="A674" s="26"/>
      <c r="B674" s="26"/>
      <c r="AK674" s="61"/>
    </row>
    <row r="675" ht="15.75" customHeight="1">
      <c r="A675" s="26"/>
      <c r="B675" s="26"/>
      <c r="AK675" s="61"/>
    </row>
    <row r="676" ht="15.75" customHeight="1">
      <c r="A676" s="26"/>
      <c r="B676" s="26"/>
      <c r="AK676" s="61"/>
    </row>
    <row r="677" ht="15.75" customHeight="1">
      <c r="A677" s="26"/>
      <c r="B677" s="26"/>
      <c r="AK677" s="61"/>
    </row>
    <row r="678" ht="15.75" customHeight="1">
      <c r="A678" s="26"/>
      <c r="B678" s="26"/>
      <c r="AK678" s="61"/>
    </row>
    <row r="679" ht="15.75" customHeight="1">
      <c r="A679" s="26"/>
      <c r="B679" s="26"/>
      <c r="AK679" s="61"/>
    </row>
    <row r="680" ht="15.75" customHeight="1">
      <c r="A680" s="26"/>
      <c r="B680" s="26"/>
      <c r="AK680" s="61"/>
    </row>
    <row r="681" ht="15.75" customHeight="1">
      <c r="A681" s="26"/>
      <c r="B681" s="26"/>
      <c r="AK681" s="61"/>
    </row>
    <row r="682" ht="15.75" customHeight="1">
      <c r="A682" s="26"/>
      <c r="B682" s="26"/>
      <c r="AK682" s="61"/>
    </row>
    <row r="683" ht="15.75" customHeight="1">
      <c r="A683" s="26"/>
      <c r="B683" s="26"/>
      <c r="AK683" s="61"/>
    </row>
    <row r="684" ht="15.75" customHeight="1">
      <c r="A684" s="26"/>
      <c r="B684" s="26"/>
      <c r="AK684" s="61"/>
    </row>
    <row r="685" ht="15.75" customHeight="1">
      <c r="A685" s="26"/>
      <c r="B685" s="26"/>
      <c r="AK685" s="61"/>
    </row>
    <row r="686" ht="15.75" customHeight="1">
      <c r="A686" s="26"/>
      <c r="B686" s="26"/>
      <c r="AK686" s="61"/>
    </row>
    <row r="687" ht="15.75" customHeight="1">
      <c r="A687" s="26"/>
      <c r="B687" s="26"/>
      <c r="AK687" s="61"/>
    </row>
    <row r="688" ht="15.75" customHeight="1">
      <c r="A688" s="26"/>
      <c r="B688" s="26"/>
      <c r="AK688" s="61"/>
    </row>
    <row r="689" ht="15.75" customHeight="1">
      <c r="A689" s="26"/>
      <c r="B689" s="26"/>
      <c r="AK689" s="61"/>
    </row>
    <row r="690" ht="15.75" customHeight="1">
      <c r="A690" s="26"/>
      <c r="B690" s="26"/>
      <c r="AK690" s="61"/>
    </row>
    <row r="691" ht="15.75" customHeight="1">
      <c r="A691" s="26"/>
      <c r="B691" s="26"/>
      <c r="AK691" s="61"/>
    </row>
    <row r="692" ht="15.75" customHeight="1">
      <c r="A692" s="26"/>
      <c r="B692" s="26"/>
      <c r="AK692" s="61"/>
    </row>
    <row r="693" ht="15.75" customHeight="1">
      <c r="A693" s="26"/>
      <c r="B693" s="26"/>
      <c r="AK693" s="61"/>
    </row>
    <row r="694" ht="15.75" customHeight="1">
      <c r="A694" s="26"/>
      <c r="B694" s="26"/>
      <c r="AK694" s="61"/>
    </row>
    <row r="695" ht="15.75" customHeight="1">
      <c r="A695" s="26"/>
      <c r="B695" s="26"/>
      <c r="AK695" s="61"/>
    </row>
    <row r="696" ht="15.75" customHeight="1">
      <c r="A696" s="26"/>
      <c r="B696" s="26"/>
      <c r="AK696" s="61"/>
    </row>
    <row r="697" ht="15.75" customHeight="1">
      <c r="A697" s="26"/>
      <c r="B697" s="26"/>
      <c r="AK697" s="61"/>
    </row>
    <row r="698" ht="15.75" customHeight="1">
      <c r="A698" s="26"/>
      <c r="B698" s="26"/>
      <c r="AK698" s="61"/>
    </row>
    <row r="699" ht="15.75" customHeight="1">
      <c r="A699" s="26"/>
      <c r="B699" s="26"/>
      <c r="AK699" s="61"/>
    </row>
    <row r="700" ht="15.75" customHeight="1">
      <c r="A700" s="26"/>
      <c r="B700" s="26"/>
      <c r="AK700" s="61"/>
    </row>
    <row r="701" ht="15.75" customHeight="1">
      <c r="A701" s="26"/>
      <c r="B701" s="26"/>
      <c r="AK701" s="61"/>
    </row>
    <row r="702" ht="15.75" customHeight="1">
      <c r="A702" s="26"/>
      <c r="B702" s="26"/>
      <c r="AK702" s="61"/>
    </row>
    <row r="703" ht="15.75" customHeight="1">
      <c r="A703" s="26"/>
      <c r="B703" s="26"/>
      <c r="AK703" s="61"/>
    </row>
    <row r="704" ht="15.75" customHeight="1">
      <c r="A704" s="26"/>
      <c r="B704" s="26"/>
      <c r="AK704" s="61"/>
    </row>
    <row r="705" ht="15.75" customHeight="1">
      <c r="A705" s="26"/>
      <c r="B705" s="26"/>
      <c r="AK705" s="61"/>
    </row>
    <row r="706" ht="15.75" customHeight="1">
      <c r="A706" s="26"/>
      <c r="B706" s="26"/>
      <c r="AK706" s="61"/>
    </row>
    <row r="707" ht="15.75" customHeight="1">
      <c r="A707" s="26"/>
      <c r="B707" s="26"/>
      <c r="AK707" s="61"/>
    </row>
    <row r="708" ht="15.75" customHeight="1">
      <c r="A708" s="26"/>
      <c r="B708" s="26"/>
      <c r="AK708" s="61"/>
    </row>
    <row r="709" ht="15.75" customHeight="1">
      <c r="A709" s="26"/>
      <c r="B709" s="26"/>
      <c r="AK709" s="61"/>
    </row>
    <row r="710" ht="15.75" customHeight="1">
      <c r="A710" s="26"/>
      <c r="B710" s="26"/>
      <c r="AK710" s="61"/>
    </row>
    <row r="711" ht="15.75" customHeight="1">
      <c r="A711" s="26"/>
      <c r="B711" s="26"/>
      <c r="AK711" s="61"/>
    </row>
    <row r="712" ht="15.75" customHeight="1">
      <c r="A712" s="26"/>
      <c r="B712" s="26"/>
      <c r="AK712" s="61"/>
    </row>
    <row r="713" ht="15.75" customHeight="1">
      <c r="A713" s="26"/>
      <c r="B713" s="26"/>
      <c r="AK713" s="61"/>
    </row>
    <row r="714" ht="15.75" customHeight="1">
      <c r="A714" s="26"/>
      <c r="B714" s="26"/>
      <c r="AK714" s="61"/>
    </row>
    <row r="715" ht="15.75" customHeight="1">
      <c r="A715" s="26"/>
      <c r="B715" s="26"/>
      <c r="AK715" s="61"/>
    </row>
    <row r="716" ht="15.75" customHeight="1">
      <c r="A716" s="26"/>
      <c r="B716" s="26"/>
      <c r="AK716" s="61"/>
    </row>
    <row r="717" ht="15.75" customHeight="1">
      <c r="A717" s="26"/>
      <c r="B717" s="26"/>
      <c r="AK717" s="61"/>
    </row>
    <row r="718" ht="15.75" customHeight="1">
      <c r="A718" s="26"/>
      <c r="B718" s="26"/>
      <c r="AK718" s="61"/>
    </row>
    <row r="719" ht="15.75" customHeight="1">
      <c r="A719" s="26"/>
      <c r="B719" s="26"/>
      <c r="AK719" s="61"/>
    </row>
    <row r="720" ht="15.75" customHeight="1">
      <c r="A720" s="26"/>
      <c r="B720" s="26"/>
      <c r="AK720" s="61"/>
    </row>
    <row r="721" ht="15.75" customHeight="1">
      <c r="A721" s="26"/>
      <c r="B721" s="26"/>
      <c r="AK721" s="61"/>
    </row>
    <row r="722" ht="15.75" customHeight="1">
      <c r="A722" s="26"/>
      <c r="B722" s="26"/>
      <c r="AK722" s="61"/>
    </row>
    <row r="723" ht="15.75" customHeight="1">
      <c r="A723" s="26"/>
      <c r="B723" s="26"/>
      <c r="AK723" s="61"/>
    </row>
    <row r="724" ht="15.75" customHeight="1">
      <c r="A724" s="26"/>
      <c r="B724" s="26"/>
      <c r="AK724" s="61"/>
    </row>
    <row r="725" ht="15.75" customHeight="1">
      <c r="A725" s="26"/>
      <c r="B725" s="26"/>
      <c r="AK725" s="61"/>
    </row>
    <row r="726" ht="15.75" customHeight="1">
      <c r="A726" s="26"/>
      <c r="B726" s="26"/>
      <c r="AK726" s="61"/>
    </row>
    <row r="727" ht="15.75" customHeight="1">
      <c r="A727" s="26"/>
      <c r="B727" s="26"/>
      <c r="AK727" s="61"/>
    </row>
    <row r="728" ht="15.75" customHeight="1">
      <c r="A728" s="26"/>
      <c r="B728" s="26"/>
      <c r="AK728" s="61"/>
    </row>
    <row r="729" ht="15.75" customHeight="1">
      <c r="A729" s="26"/>
      <c r="B729" s="26"/>
      <c r="AK729" s="61"/>
    </row>
    <row r="730" ht="15.75" customHeight="1">
      <c r="A730" s="26"/>
      <c r="B730" s="26"/>
      <c r="AK730" s="61"/>
    </row>
    <row r="731" ht="15.75" customHeight="1">
      <c r="A731" s="26"/>
      <c r="B731" s="26"/>
      <c r="AK731" s="61"/>
    </row>
    <row r="732" ht="15.75" customHeight="1">
      <c r="A732" s="26"/>
      <c r="B732" s="26"/>
      <c r="AK732" s="61"/>
    </row>
    <row r="733" ht="15.75" customHeight="1">
      <c r="A733" s="26"/>
      <c r="B733" s="26"/>
      <c r="AK733" s="61"/>
    </row>
    <row r="734" ht="15.75" customHeight="1">
      <c r="A734" s="26"/>
      <c r="B734" s="26"/>
      <c r="AK734" s="61"/>
    </row>
    <row r="735" ht="15.75" customHeight="1">
      <c r="A735" s="26"/>
      <c r="B735" s="26"/>
      <c r="AK735" s="61"/>
    </row>
    <row r="736" ht="15.75" customHeight="1">
      <c r="A736" s="26"/>
      <c r="B736" s="26"/>
      <c r="AK736" s="61"/>
    </row>
    <row r="737" ht="15.75" customHeight="1">
      <c r="A737" s="26"/>
      <c r="B737" s="26"/>
      <c r="AK737" s="61"/>
    </row>
    <row r="738" ht="15.75" customHeight="1">
      <c r="A738" s="26"/>
      <c r="B738" s="26"/>
      <c r="AK738" s="61"/>
    </row>
    <row r="739" ht="15.75" customHeight="1">
      <c r="A739" s="26"/>
      <c r="B739" s="26"/>
      <c r="AK739" s="61"/>
    </row>
    <row r="740" ht="15.75" customHeight="1">
      <c r="A740" s="26"/>
      <c r="B740" s="26"/>
      <c r="AK740" s="61"/>
    </row>
    <row r="741" ht="15.75" customHeight="1">
      <c r="A741" s="26"/>
      <c r="B741" s="26"/>
      <c r="AK741" s="61"/>
    </row>
    <row r="742" ht="15.75" customHeight="1">
      <c r="A742" s="26"/>
      <c r="B742" s="26"/>
      <c r="AK742" s="61"/>
    </row>
    <row r="743" ht="15.75" customHeight="1">
      <c r="A743" s="26"/>
      <c r="B743" s="26"/>
      <c r="AK743" s="61"/>
    </row>
    <row r="744" ht="15.75" customHeight="1">
      <c r="A744" s="26"/>
      <c r="B744" s="26"/>
      <c r="AK744" s="61"/>
    </row>
    <row r="745" ht="15.75" customHeight="1">
      <c r="A745" s="26"/>
      <c r="B745" s="26"/>
      <c r="AK745" s="61"/>
    </row>
    <row r="746" ht="15.75" customHeight="1">
      <c r="A746" s="26"/>
      <c r="B746" s="26"/>
      <c r="AK746" s="61"/>
    </row>
    <row r="747" ht="15.75" customHeight="1">
      <c r="A747" s="26"/>
      <c r="B747" s="26"/>
      <c r="AK747" s="61"/>
    </row>
    <row r="748" ht="15.75" customHeight="1">
      <c r="A748" s="26"/>
      <c r="B748" s="26"/>
      <c r="AK748" s="61"/>
    </row>
    <row r="749" ht="15.75" customHeight="1">
      <c r="A749" s="26"/>
      <c r="B749" s="26"/>
      <c r="AK749" s="61"/>
    </row>
    <row r="750" ht="15.75" customHeight="1">
      <c r="A750" s="26"/>
      <c r="B750" s="26"/>
      <c r="AK750" s="61"/>
    </row>
    <row r="751" ht="15.75" customHeight="1">
      <c r="A751" s="26"/>
      <c r="B751" s="26"/>
      <c r="AK751" s="61"/>
    </row>
    <row r="752" ht="15.75" customHeight="1">
      <c r="A752" s="26"/>
      <c r="B752" s="26"/>
      <c r="AK752" s="61"/>
    </row>
    <row r="753" ht="15.75" customHeight="1">
      <c r="A753" s="26"/>
      <c r="B753" s="26"/>
      <c r="AK753" s="61"/>
    </row>
    <row r="754" ht="15.75" customHeight="1">
      <c r="A754" s="26"/>
      <c r="B754" s="26"/>
      <c r="AK754" s="61"/>
    </row>
    <row r="755" ht="15.75" customHeight="1">
      <c r="A755" s="26"/>
      <c r="B755" s="26"/>
      <c r="AK755" s="61"/>
    </row>
    <row r="756" ht="15.75" customHeight="1">
      <c r="A756" s="26"/>
      <c r="B756" s="26"/>
      <c r="AK756" s="61"/>
    </row>
    <row r="757" ht="15.75" customHeight="1">
      <c r="A757" s="26"/>
      <c r="B757" s="26"/>
      <c r="AK757" s="61"/>
    </row>
    <row r="758" ht="15.75" customHeight="1">
      <c r="A758" s="26"/>
      <c r="B758" s="26"/>
      <c r="AK758" s="61"/>
    </row>
    <row r="759" ht="15.75" customHeight="1">
      <c r="A759" s="26"/>
      <c r="B759" s="26"/>
      <c r="AK759" s="61"/>
    </row>
    <row r="760" ht="15.75" customHeight="1">
      <c r="A760" s="26"/>
      <c r="B760" s="26"/>
      <c r="AK760" s="61"/>
    </row>
    <row r="761" ht="15.75" customHeight="1">
      <c r="A761" s="26"/>
      <c r="B761" s="26"/>
      <c r="AK761" s="61"/>
    </row>
    <row r="762" ht="15.75" customHeight="1">
      <c r="A762" s="26"/>
      <c r="B762" s="26"/>
      <c r="AK762" s="61"/>
    </row>
    <row r="763" ht="15.75" customHeight="1">
      <c r="A763" s="26"/>
      <c r="B763" s="26"/>
      <c r="AK763" s="61"/>
    </row>
    <row r="764" ht="15.75" customHeight="1">
      <c r="A764" s="26"/>
      <c r="B764" s="26"/>
      <c r="AK764" s="61"/>
    </row>
    <row r="765" ht="15.75" customHeight="1">
      <c r="A765" s="26"/>
      <c r="B765" s="26"/>
      <c r="AK765" s="61"/>
    </row>
    <row r="766" ht="15.75" customHeight="1">
      <c r="A766" s="26"/>
      <c r="B766" s="26"/>
      <c r="AK766" s="61"/>
    </row>
    <row r="767" ht="15.75" customHeight="1">
      <c r="A767" s="26"/>
      <c r="B767" s="26"/>
      <c r="AK767" s="61"/>
    </row>
    <row r="768" ht="15.75" customHeight="1">
      <c r="A768" s="26"/>
      <c r="B768" s="26"/>
      <c r="AK768" s="61"/>
    </row>
    <row r="769" ht="15.75" customHeight="1">
      <c r="A769" s="26"/>
      <c r="B769" s="26"/>
      <c r="AK769" s="61"/>
    </row>
    <row r="770" ht="15.75" customHeight="1">
      <c r="A770" s="26"/>
      <c r="B770" s="26"/>
      <c r="AK770" s="61"/>
    </row>
    <row r="771" ht="15.75" customHeight="1">
      <c r="A771" s="26"/>
      <c r="B771" s="26"/>
      <c r="AK771" s="61"/>
    </row>
    <row r="772" ht="15.75" customHeight="1">
      <c r="A772" s="26"/>
      <c r="B772" s="26"/>
      <c r="AK772" s="61"/>
    </row>
    <row r="773" ht="15.75" customHeight="1">
      <c r="A773" s="26"/>
      <c r="B773" s="26"/>
      <c r="AK773" s="61"/>
    </row>
    <row r="774" ht="15.75" customHeight="1">
      <c r="A774" s="26"/>
      <c r="B774" s="26"/>
      <c r="AK774" s="61"/>
    </row>
    <row r="775" ht="15.75" customHeight="1">
      <c r="A775" s="26"/>
      <c r="B775" s="26"/>
      <c r="AK775" s="61"/>
    </row>
    <row r="776" ht="15.75" customHeight="1">
      <c r="A776" s="26"/>
      <c r="B776" s="26"/>
      <c r="AK776" s="61"/>
    </row>
    <row r="777" ht="15.75" customHeight="1">
      <c r="A777" s="26"/>
      <c r="B777" s="26"/>
      <c r="AK777" s="61"/>
    </row>
    <row r="778" ht="15.75" customHeight="1">
      <c r="A778" s="26"/>
      <c r="B778" s="26"/>
      <c r="AK778" s="61"/>
    </row>
    <row r="779" ht="15.75" customHeight="1">
      <c r="A779" s="26"/>
      <c r="B779" s="26"/>
      <c r="AK779" s="61"/>
    </row>
    <row r="780" ht="15.75" customHeight="1">
      <c r="A780" s="26"/>
      <c r="B780" s="26"/>
      <c r="AK780" s="61"/>
    </row>
    <row r="781" ht="15.75" customHeight="1">
      <c r="A781" s="26"/>
      <c r="B781" s="26"/>
      <c r="AK781" s="61"/>
    </row>
    <row r="782" ht="15.75" customHeight="1">
      <c r="A782" s="26"/>
      <c r="B782" s="26"/>
      <c r="AK782" s="61"/>
    </row>
    <row r="783" ht="15.75" customHeight="1">
      <c r="A783" s="26"/>
      <c r="B783" s="26"/>
      <c r="AK783" s="61"/>
    </row>
    <row r="784" ht="15.75" customHeight="1">
      <c r="A784" s="26"/>
      <c r="B784" s="26"/>
      <c r="AK784" s="61"/>
    </row>
    <row r="785" ht="15.75" customHeight="1">
      <c r="A785" s="26"/>
      <c r="B785" s="26"/>
      <c r="AK785" s="61"/>
    </row>
    <row r="786" ht="15.75" customHeight="1">
      <c r="A786" s="26"/>
      <c r="B786" s="26"/>
      <c r="AK786" s="61"/>
    </row>
    <row r="787" ht="15.75" customHeight="1">
      <c r="A787" s="26"/>
      <c r="B787" s="26"/>
      <c r="AK787" s="61"/>
    </row>
    <row r="788" ht="15.75" customHeight="1">
      <c r="A788" s="26"/>
      <c r="B788" s="26"/>
      <c r="AK788" s="61"/>
    </row>
    <row r="789" ht="15.75" customHeight="1">
      <c r="A789" s="26"/>
      <c r="B789" s="26"/>
      <c r="AK789" s="61"/>
    </row>
    <row r="790" ht="15.75" customHeight="1">
      <c r="A790" s="26"/>
      <c r="B790" s="26"/>
      <c r="AK790" s="61"/>
    </row>
    <row r="791" ht="15.75" customHeight="1">
      <c r="A791" s="26"/>
      <c r="B791" s="26"/>
      <c r="AK791" s="61"/>
    </row>
    <row r="792" ht="15.75" customHeight="1">
      <c r="A792" s="26"/>
      <c r="B792" s="26"/>
      <c r="AK792" s="61"/>
    </row>
    <row r="793" ht="15.75" customHeight="1">
      <c r="A793" s="26"/>
      <c r="B793" s="26"/>
      <c r="AK793" s="61"/>
    </row>
    <row r="794" ht="15.75" customHeight="1">
      <c r="A794" s="26"/>
      <c r="B794" s="26"/>
      <c r="AK794" s="61"/>
    </row>
    <row r="795" ht="15.75" customHeight="1">
      <c r="A795" s="26"/>
      <c r="B795" s="26"/>
      <c r="AK795" s="61"/>
    </row>
    <row r="796" ht="15.75" customHeight="1">
      <c r="A796" s="26"/>
      <c r="B796" s="26"/>
      <c r="AK796" s="61"/>
    </row>
    <row r="797" ht="15.75" customHeight="1">
      <c r="A797" s="26"/>
      <c r="B797" s="26"/>
      <c r="AK797" s="61"/>
    </row>
    <row r="798" ht="15.75" customHeight="1">
      <c r="A798" s="26"/>
      <c r="B798" s="26"/>
      <c r="AK798" s="61"/>
    </row>
    <row r="799" ht="15.75" customHeight="1">
      <c r="A799" s="26"/>
      <c r="B799" s="26"/>
      <c r="AK799" s="61"/>
    </row>
    <row r="800" ht="15.75" customHeight="1">
      <c r="A800" s="26"/>
      <c r="B800" s="26"/>
      <c r="AK800" s="61"/>
    </row>
    <row r="801" ht="15.75" customHeight="1">
      <c r="A801" s="26"/>
      <c r="B801" s="26"/>
      <c r="AK801" s="61"/>
    </row>
    <row r="802" ht="15.75" customHeight="1">
      <c r="A802" s="26"/>
      <c r="B802" s="26"/>
      <c r="AK802" s="61"/>
    </row>
    <row r="803" ht="15.75" customHeight="1">
      <c r="A803" s="26"/>
      <c r="B803" s="26"/>
      <c r="AK803" s="61"/>
    </row>
    <row r="804" ht="15.75" customHeight="1">
      <c r="A804" s="26"/>
      <c r="B804" s="26"/>
      <c r="AK804" s="61"/>
    </row>
    <row r="805" ht="15.75" customHeight="1">
      <c r="A805" s="26"/>
      <c r="B805" s="26"/>
      <c r="AK805" s="61"/>
    </row>
    <row r="806" ht="15.75" customHeight="1">
      <c r="A806" s="26"/>
      <c r="B806" s="26"/>
      <c r="AK806" s="61"/>
    </row>
    <row r="807" ht="15.75" customHeight="1">
      <c r="A807" s="26"/>
      <c r="B807" s="26"/>
      <c r="AK807" s="61"/>
    </row>
    <row r="808" ht="15.75" customHeight="1">
      <c r="A808" s="26"/>
      <c r="B808" s="26"/>
      <c r="AK808" s="61"/>
    </row>
    <row r="809" ht="15.75" customHeight="1">
      <c r="A809" s="26"/>
      <c r="B809" s="26"/>
      <c r="AK809" s="61"/>
    </row>
    <row r="810" ht="15.75" customHeight="1">
      <c r="A810" s="26"/>
      <c r="B810" s="26"/>
      <c r="AK810" s="61"/>
    </row>
    <row r="811" ht="15.75" customHeight="1">
      <c r="A811" s="26"/>
      <c r="B811" s="26"/>
      <c r="AK811" s="61"/>
    </row>
    <row r="812" ht="15.75" customHeight="1">
      <c r="A812" s="26"/>
      <c r="B812" s="26"/>
      <c r="AK812" s="61"/>
    </row>
    <row r="813" ht="15.75" customHeight="1">
      <c r="A813" s="26"/>
      <c r="B813" s="26"/>
      <c r="AK813" s="61"/>
    </row>
    <row r="814" ht="15.75" customHeight="1">
      <c r="A814" s="26"/>
      <c r="B814" s="26"/>
      <c r="AK814" s="61"/>
    </row>
    <row r="815" ht="15.75" customHeight="1">
      <c r="A815" s="26"/>
      <c r="B815" s="26"/>
      <c r="AK815" s="61"/>
    </row>
    <row r="816" ht="15.75" customHeight="1">
      <c r="A816" s="26"/>
      <c r="B816" s="26"/>
      <c r="AK816" s="61"/>
    </row>
    <row r="817" ht="15.75" customHeight="1">
      <c r="A817" s="26"/>
      <c r="B817" s="26"/>
      <c r="AK817" s="61"/>
    </row>
    <row r="818" ht="15.75" customHeight="1">
      <c r="A818" s="26"/>
      <c r="B818" s="26"/>
      <c r="AK818" s="61"/>
    </row>
    <row r="819" ht="15.75" customHeight="1">
      <c r="A819" s="26"/>
      <c r="B819" s="26"/>
      <c r="AK819" s="61"/>
    </row>
    <row r="820" ht="15.75" customHeight="1">
      <c r="A820" s="26"/>
      <c r="B820" s="26"/>
      <c r="AK820" s="61"/>
    </row>
    <row r="821" ht="15.75" customHeight="1">
      <c r="A821" s="26"/>
      <c r="B821" s="26"/>
      <c r="AK821" s="61"/>
    </row>
    <row r="822" ht="15.75" customHeight="1">
      <c r="A822" s="26"/>
      <c r="B822" s="26"/>
      <c r="AK822" s="61"/>
    </row>
    <row r="823" ht="15.75" customHeight="1">
      <c r="A823" s="26"/>
      <c r="B823" s="26"/>
      <c r="AK823" s="61"/>
    </row>
    <row r="824" ht="15.75" customHeight="1">
      <c r="A824" s="26"/>
      <c r="B824" s="26"/>
      <c r="AK824" s="61"/>
    </row>
    <row r="825" ht="15.75" customHeight="1">
      <c r="A825" s="26"/>
      <c r="B825" s="26"/>
      <c r="AK825" s="61"/>
    </row>
    <row r="826" ht="15.75" customHeight="1">
      <c r="A826" s="26"/>
      <c r="B826" s="26"/>
      <c r="AK826" s="61"/>
    </row>
    <row r="827" ht="15.75" customHeight="1">
      <c r="A827" s="26"/>
      <c r="B827" s="26"/>
      <c r="AK827" s="61"/>
    </row>
    <row r="828" ht="15.75" customHeight="1">
      <c r="A828" s="26"/>
      <c r="B828" s="26"/>
      <c r="AK828" s="61"/>
    </row>
    <row r="829" ht="15.75" customHeight="1">
      <c r="A829" s="26"/>
      <c r="B829" s="26"/>
      <c r="AK829" s="61"/>
    </row>
    <row r="830" ht="15.75" customHeight="1">
      <c r="A830" s="26"/>
      <c r="B830" s="26"/>
      <c r="AK830" s="61"/>
    </row>
    <row r="831" ht="15.75" customHeight="1">
      <c r="A831" s="26"/>
      <c r="B831" s="26"/>
      <c r="AK831" s="61"/>
    </row>
    <row r="832" ht="15.75" customHeight="1">
      <c r="A832" s="26"/>
      <c r="B832" s="26"/>
      <c r="AK832" s="61"/>
    </row>
    <row r="833" ht="15.75" customHeight="1">
      <c r="A833" s="26"/>
      <c r="B833" s="26"/>
      <c r="AK833" s="61"/>
    </row>
    <row r="834" ht="15.75" customHeight="1">
      <c r="A834" s="26"/>
      <c r="B834" s="26"/>
      <c r="AK834" s="61"/>
    </row>
    <row r="835" ht="15.75" customHeight="1">
      <c r="A835" s="26"/>
      <c r="B835" s="26"/>
      <c r="AK835" s="61"/>
    </row>
    <row r="836" ht="15.75" customHeight="1">
      <c r="A836" s="26"/>
      <c r="B836" s="26"/>
      <c r="AK836" s="61"/>
    </row>
    <row r="837" ht="15.75" customHeight="1">
      <c r="A837" s="26"/>
      <c r="B837" s="26"/>
      <c r="AK837" s="61"/>
    </row>
    <row r="838" ht="15.75" customHeight="1">
      <c r="A838" s="26"/>
      <c r="B838" s="26"/>
      <c r="AK838" s="61"/>
    </row>
    <row r="839" ht="15.75" customHeight="1">
      <c r="A839" s="26"/>
      <c r="B839" s="26"/>
      <c r="AK839" s="61"/>
    </row>
    <row r="840" ht="15.75" customHeight="1">
      <c r="A840" s="26"/>
      <c r="B840" s="26"/>
      <c r="AK840" s="61"/>
    </row>
    <row r="841" ht="15.75" customHeight="1">
      <c r="A841" s="26"/>
      <c r="B841" s="26"/>
      <c r="AK841" s="61"/>
    </row>
    <row r="842" ht="15.75" customHeight="1">
      <c r="A842" s="26"/>
      <c r="B842" s="26"/>
      <c r="AK842" s="61"/>
    </row>
    <row r="843" ht="15.75" customHeight="1">
      <c r="A843" s="26"/>
      <c r="B843" s="26"/>
      <c r="AK843" s="61"/>
    </row>
    <row r="844" ht="15.75" customHeight="1">
      <c r="A844" s="26"/>
      <c r="B844" s="26"/>
      <c r="AK844" s="61"/>
    </row>
    <row r="845" ht="15.75" customHeight="1">
      <c r="A845" s="26"/>
      <c r="B845" s="26"/>
      <c r="AK845" s="61"/>
    </row>
    <row r="846" ht="15.75" customHeight="1">
      <c r="A846" s="26"/>
      <c r="B846" s="26"/>
      <c r="AK846" s="61"/>
    </row>
    <row r="847" ht="15.75" customHeight="1">
      <c r="A847" s="26"/>
      <c r="B847" s="26"/>
      <c r="AK847" s="61"/>
    </row>
    <row r="848" ht="15.75" customHeight="1">
      <c r="A848" s="26"/>
      <c r="B848" s="26"/>
      <c r="AK848" s="61"/>
    </row>
    <row r="849" ht="15.75" customHeight="1">
      <c r="A849" s="26"/>
      <c r="B849" s="26"/>
      <c r="AK849" s="61"/>
    </row>
    <row r="850" ht="15.75" customHeight="1">
      <c r="A850" s="26"/>
      <c r="B850" s="26"/>
      <c r="AK850" s="61"/>
    </row>
    <row r="851" ht="15.75" customHeight="1">
      <c r="A851" s="26"/>
      <c r="B851" s="26"/>
      <c r="AK851" s="61"/>
    </row>
    <row r="852" ht="15.75" customHeight="1">
      <c r="A852" s="26"/>
      <c r="B852" s="26"/>
      <c r="AK852" s="61"/>
    </row>
    <row r="853" ht="15.75" customHeight="1">
      <c r="A853" s="26"/>
      <c r="B853" s="26"/>
      <c r="AK853" s="61"/>
    </row>
    <row r="854" ht="15.75" customHeight="1">
      <c r="A854" s="26"/>
      <c r="B854" s="26"/>
      <c r="AK854" s="61"/>
    </row>
    <row r="855" ht="15.75" customHeight="1">
      <c r="A855" s="26"/>
      <c r="B855" s="26"/>
      <c r="AK855" s="61"/>
    </row>
    <row r="856" ht="15.75" customHeight="1">
      <c r="A856" s="26"/>
      <c r="B856" s="26"/>
      <c r="AK856" s="61"/>
    </row>
    <row r="857" ht="15.75" customHeight="1">
      <c r="A857" s="26"/>
      <c r="B857" s="26"/>
      <c r="AK857" s="61"/>
    </row>
    <row r="858" ht="15.75" customHeight="1">
      <c r="A858" s="26"/>
      <c r="B858" s="26"/>
      <c r="AK858" s="61"/>
    </row>
    <row r="859" ht="15.75" customHeight="1">
      <c r="A859" s="26"/>
      <c r="B859" s="26"/>
      <c r="AK859" s="61"/>
    </row>
    <row r="860" ht="15.75" customHeight="1">
      <c r="A860" s="26"/>
      <c r="B860" s="26"/>
      <c r="AK860" s="61"/>
    </row>
    <row r="861" ht="15.75" customHeight="1">
      <c r="A861" s="26"/>
      <c r="B861" s="26"/>
      <c r="AK861" s="61"/>
    </row>
    <row r="862" ht="15.75" customHeight="1">
      <c r="A862" s="26"/>
      <c r="B862" s="26"/>
      <c r="AK862" s="61"/>
    </row>
    <row r="863" ht="15.75" customHeight="1">
      <c r="A863" s="26"/>
      <c r="B863" s="26"/>
      <c r="AK863" s="61"/>
    </row>
    <row r="864" ht="15.75" customHeight="1">
      <c r="A864" s="26"/>
      <c r="B864" s="26"/>
      <c r="AK864" s="61"/>
    </row>
    <row r="865" ht="15.75" customHeight="1">
      <c r="A865" s="26"/>
      <c r="B865" s="26"/>
      <c r="AK865" s="61"/>
    </row>
    <row r="866" ht="15.75" customHeight="1">
      <c r="A866" s="26"/>
      <c r="B866" s="26"/>
      <c r="AK866" s="61"/>
    </row>
    <row r="867" ht="15.75" customHeight="1">
      <c r="A867" s="26"/>
      <c r="B867" s="26"/>
      <c r="AK867" s="61"/>
    </row>
    <row r="868" ht="15.75" customHeight="1">
      <c r="A868" s="26"/>
      <c r="B868" s="26"/>
      <c r="AK868" s="61"/>
    </row>
    <row r="869" ht="15.75" customHeight="1">
      <c r="A869" s="26"/>
      <c r="B869" s="26"/>
      <c r="AK869" s="61"/>
    </row>
    <row r="870" ht="15.75" customHeight="1">
      <c r="A870" s="26"/>
      <c r="B870" s="26"/>
      <c r="AK870" s="61"/>
    </row>
    <row r="871" ht="15.75" customHeight="1">
      <c r="A871" s="26"/>
      <c r="B871" s="26"/>
      <c r="AK871" s="61"/>
    </row>
    <row r="872" ht="15.75" customHeight="1">
      <c r="A872" s="26"/>
      <c r="B872" s="26"/>
      <c r="AK872" s="61"/>
    </row>
    <row r="873" ht="15.75" customHeight="1">
      <c r="A873" s="26"/>
      <c r="B873" s="26"/>
      <c r="AK873" s="61"/>
    </row>
    <row r="874" ht="15.75" customHeight="1">
      <c r="A874" s="26"/>
      <c r="B874" s="26"/>
      <c r="AK874" s="61"/>
    </row>
    <row r="875" ht="15.75" customHeight="1">
      <c r="A875" s="26"/>
      <c r="B875" s="26"/>
      <c r="AK875" s="61"/>
    </row>
    <row r="876" ht="15.75" customHeight="1">
      <c r="A876" s="26"/>
      <c r="B876" s="26"/>
      <c r="AK876" s="61"/>
    </row>
    <row r="877" ht="15.75" customHeight="1">
      <c r="A877" s="26"/>
      <c r="B877" s="26"/>
      <c r="AK877" s="61"/>
    </row>
    <row r="878" ht="15.75" customHeight="1">
      <c r="A878" s="26"/>
      <c r="B878" s="26"/>
      <c r="AK878" s="61"/>
    </row>
    <row r="879" ht="15.75" customHeight="1">
      <c r="A879" s="26"/>
      <c r="B879" s="26"/>
      <c r="AK879" s="61"/>
    </row>
    <row r="880" ht="15.75" customHeight="1">
      <c r="A880" s="26"/>
      <c r="B880" s="26"/>
      <c r="AK880" s="61"/>
    </row>
    <row r="881" ht="15.75" customHeight="1">
      <c r="A881" s="26"/>
      <c r="B881" s="26"/>
      <c r="AK881" s="61"/>
    </row>
    <row r="882" ht="15.75" customHeight="1">
      <c r="A882" s="26"/>
      <c r="B882" s="26"/>
      <c r="AK882" s="61"/>
    </row>
    <row r="883" ht="15.75" customHeight="1">
      <c r="A883" s="26"/>
      <c r="B883" s="26"/>
      <c r="AK883" s="61"/>
    </row>
    <row r="884" ht="15.75" customHeight="1">
      <c r="A884" s="26"/>
      <c r="B884" s="26"/>
      <c r="AK884" s="61"/>
    </row>
    <row r="885" ht="15.75" customHeight="1">
      <c r="A885" s="26"/>
      <c r="B885" s="26"/>
      <c r="AK885" s="61"/>
    </row>
    <row r="886" ht="15.75" customHeight="1">
      <c r="A886" s="26"/>
      <c r="B886" s="26"/>
      <c r="AK886" s="61"/>
    </row>
    <row r="887" ht="15.75" customHeight="1">
      <c r="A887" s="26"/>
      <c r="B887" s="26"/>
      <c r="AK887" s="61"/>
    </row>
    <row r="888" ht="15.75" customHeight="1">
      <c r="A888" s="26"/>
      <c r="B888" s="26"/>
      <c r="AK888" s="61"/>
    </row>
    <row r="889" ht="15.75" customHeight="1">
      <c r="A889" s="26"/>
      <c r="B889" s="26"/>
      <c r="AK889" s="61"/>
    </row>
    <row r="890" ht="15.75" customHeight="1">
      <c r="A890" s="26"/>
      <c r="B890" s="26"/>
      <c r="AK890" s="61"/>
    </row>
    <row r="891" ht="15.75" customHeight="1">
      <c r="A891" s="26"/>
      <c r="B891" s="26"/>
      <c r="AK891" s="61"/>
    </row>
    <row r="892" ht="15.75" customHeight="1">
      <c r="A892" s="26"/>
      <c r="B892" s="26"/>
      <c r="AK892" s="61"/>
    </row>
    <row r="893" ht="15.75" customHeight="1">
      <c r="A893" s="26"/>
      <c r="B893" s="26"/>
      <c r="AK893" s="61"/>
    </row>
    <row r="894" ht="15.75" customHeight="1">
      <c r="A894" s="26"/>
      <c r="B894" s="26"/>
      <c r="AK894" s="61"/>
    </row>
    <row r="895" ht="15.75" customHeight="1">
      <c r="A895" s="26"/>
      <c r="B895" s="26"/>
      <c r="AK895" s="61"/>
    </row>
    <row r="896" ht="15.75" customHeight="1">
      <c r="A896" s="26"/>
      <c r="B896" s="26"/>
      <c r="AK896" s="61"/>
    </row>
    <row r="897" ht="15.75" customHeight="1">
      <c r="A897" s="26"/>
      <c r="B897" s="26"/>
      <c r="AK897" s="61"/>
    </row>
    <row r="898" ht="15.75" customHeight="1">
      <c r="A898" s="26"/>
      <c r="B898" s="26"/>
      <c r="AK898" s="61"/>
    </row>
    <row r="899" ht="15.75" customHeight="1">
      <c r="A899" s="26"/>
      <c r="B899" s="26"/>
      <c r="AK899" s="61"/>
    </row>
    <row r="900" ht="15.75" customHeight="1">
      <c r="A900" s="26"/>
      <c r="B900" s="26"/>
      <c r="AK900" s="61"/>
    </row>
    <row r="901" ht="15.75" customHeight="1">
      <c r="A901" s="26"/>
      <c r="B901" s="26"/>
      <c r="AK901" s="61"/>
    </row>
    <row r="902" ht="15.75" customHeight="1">
      <c r="A902" s="26"/>
      <c r="B902" s="26"/>
      <c r="AK902" s="61"/>
    </row>
    <row r="903" ht="15.75" customHeight="1">
      <c r="A903" s="26"/>
      <c r="B903" s="26"/>
      <c r="AK903" s="61"/>
    </row>
    <row r="904" ht="15.75" customHeight="1">
      <c r="A904" s="26"/>
      <c r="B904" s="26"/>
      <c r="AK904" s="61"/>
    </row>
    <row r="905" ht="15.75" customHeight="1">
      <c r="A905" s="26"/>
      <c r="B905" s="26"/>
      <c r="AK905" s="61"/>
    </row>
    <row r="906" ht="15.75" customHeight="1">
      <c r="A906" s="26"/>
      <c r="B906" s="26"/>
      <c r="AK906" s="61"/>
    </row>
    <row r="907" ht="15.75" customHeight="1">
      <c r="A907" s="26"/>
      <c r="B907" s="26"/>
      <c r="AK907" s="61"/>
    </row>
    <row r="908" ht="15.75" customHeight="1">
      <c r="A908" s="26"/>
      <c r="B908" s="26"/>
      <c r="AK908" s="61"/>
    </row>
    <row r="909" ht="15.75" customHeight="1">
      <c r="A909" s="26"/>
      <c r="B909" s="26"/>
      <c r="AK909" s="61"/>
    </row>
    <row r="910" ht="15.75" customHeight="1">
      <c r="A910" s="26"/>
      <c r="B910" s="26"/>
      <c r="AK910" s="61"/>
    </row>
    <row r="911" ht="15.75" customHeight="1">
      <c r="A911" s="26"/>
      <c r="B911" s="26"/>
      <c r="AK911" s="61"/>
    </row>
    <row r="912" ht="15.75" customHeight="1">
      <c r="A912" s="26"/>
      <c r="B912" s="26"/>
      <c r="AK912" s="61"/>
    </row>
    <row r="913" ht="15.75" customHeight="1">
      <c r="A913" s="26"/>
      <c r="B913" s="26"/>
      <c r="AK913" s="61"/>
    </row>
    <row r="914" ht="15.75" customHeight="1">
      <c r="A914" s="26"/>
      <c r="B914" s="26"/>
      <c r="AK914" s="61"/>
    </row>
    <row r="915" ht="15.75" customHeight="1">
      <c r="A915" s="26"/>
      <c r="B915" s="26"/>
      <c r="AK915" s="61"/>
    </row>
    <row r="916" ht="15.75" customHeight="1">
      <c r="A916" s="26"/>
      <c r="B916" s="26"/>
      <c r="AK916" s="61"/>
    </row>
    <row r="917" ht="15.75" customHeight="1">
      <c r="A917" s="26"/>
      <c r="B917" s="26"/>
      <c r="AK917" s="61"/>
    </row>
    <row r="918" ht="15.75" customHeight="1">
      <c r="A918" s="26"/>
      <c r="B918" s="26"/>
      <c r="AK918" s="61"/>
    </row>
    <row r="919" ht="15.75" customHeight="1">
      <c r="A919" s="26"/>
      <c r="B919" s="26"/>
      <c r="AK919" s="61"/>
    </row>
    <row r="920" ht="15.75" customHeight="1">
      <c r="A920" s="26"/>
      <c r="B920" s="26"/>
      <c r="AK920" s="61"/>
    </row>
    <row r="921" ht="15.75" customHeight="1">
      <c r="A921" s="26"/>
      <c r="B921" s="26"/>
      <c r="AK921" s="61"/>
    </row>
    <row r="922" ht="15.75" customHeight="1">
      <c r="A922" s="26"/>
      <c r="B922" s="26"/>
      <c r="AK922" s="61"/>
    </row>
    <row r="923" ht="15.75" customHeight="1">
      <c r="A923" s="26"/>
      <c r="B923" s="26"/>
      <c r="AK923" s="61"/>
    </row>
    <row r="924" ht="15.75" customHeight="1">
      <c r="A924" s="26"/>
      <c r="B924" s="26"/>
      <c r="AK924" s="61"/>
    </row>
    <row r="925" ht="15.75" customHeight="1">
      <c r="A925" s="26"/>
      <c r="B925" s="26"/>
      <c r="AK925" s="61"/>
    </row>
    <row r="926" ht="15.75" customHeight="1">
      <c r="A926" s="26"/>
      <c r="B926" s="26"/>
      <c r="AK926" s="61"/>
    </row>
    <row r="927" ht="15.75" customHeight="1">
      <c r="A927" s="26"/>
      <c r="B927" s="26"/>
      <c r="AK927" s="61"/>
    </row>
    <row r="928" ht="15.75" customHeight="1">
      <c r="A928" s="26"/>
      <c r="B928" s="26"/>
      <c r="AK928" s="61"/>
    </row>
    <row r="929" ht="15.75" customHeight="1">
      <c r="A929" s="26"/>
      <c r="B929" s="26"/>
      <c r="AK929" s="61"/>
    </row>
    <row r="930" ht="15.75" customHeight="1">
      <c r="A930" s="26"/>
      <c r="B930" s="26"/>
      <c r="AK930" s="61"/>
    </row>
    <row r="931" ht="15.75" customHeight="1">
      <c r="A931" s="26"/>
      <c r="B931" s="26"/>
      <c r="AK931" s="61"/>
    </row>
    <row r="932" ht="15.75" customHeight="1">
      <c r="A932" s="26"/>
      <c r="B932" s="26"/>
      <c r="AK932" s="61"/>
    </row>
    <row r="933" ht="15.75" customHeight="1">
      <c r="A933" s="26"/>
      <c r="B933" s="26"/>
      <c r="AK933" s="61"/>
    </row>
    <row r="934" ht="15.75" customHeight="1">
      <c r="A934" s="26"/>
      <c r="B934" s="26"/>
      <c r="AK934" s="61"/>
    </row>
    <row r="935" ht="15.75" customHeight="1">
      <c r="A935" s="26"/>
      <c r="B935" s="26"/>
      <c r="AK935" s="61"/>
    </row>
    <row r="936" ht="15.75" customHeight="1">
      <c r="A936" s="26"/>
      <c r="B936" s="26"/>
      <c r="AK936" s="61"/>
    </row>
    <row r="937" ht="15.75" customHeight="1">
      <c r="A937" s="26"/>
      <c r="B937" s="26"/>
      <c r="AK937" s="61"/>
    </row>
    <row r="938" ht="15.75" customHeight="1">
      <c r="A938" s="26"/>
      <c r="B938" s="26"/>
      <c r="AK938" s="61"/>
    </row>
    <row r="939" ht="15.75" customHeight="1">
      <c r="A939" s="26"/>
      <c r="B939" s="26"/>
      <c r="AK939" s="61"/>
    </row>
    <row r="940" ht="15.75" customHeight="1">
      <c r="A940" s="26"/>
      <c r="B940" s="26"/>
      <c r="AK940" s="61"/>
    </row>
    <row r="941" ht="15.75" customHeight="1">
      <c r="A941" s="26"/>
      <c r="B941" s="26"/>
      <c r="AK941" s="61"/>
    </row>
    <row r="942" ht="15.75" customHeight="1">
      <c r="A942" s="26"/>
      <c r="B942" s="26"/>
      <c r="AK942" s="61"/>
    </row>
    <row r="943" ht="15.75" customHeight="1">
      <c r="A943" s="26"/>
      <c r="B943" s="26"/>
      <c r="AK943" s="61"/>
    </row>
    <row r="944" ht="15.75" customHeight="1">
      <c r="A944" s="26"/>
      <c r="B944" s="26"/>
      <c r="AK944" s="61"/>
    </row>
    <row r="945" ht="15.75" customHeight="1">
      <c r="A945" s="26"/>
      <c r="B945" s="26"/>
      <c r="AK945" s="61"/>
    </row>
    <row r="946" ht="15.75" customHeight="1">
      <c r="A946" s="26"/>
      <c r="B946" s="26"/>
      <c r="AK946" s="61"/>
    </row>
    <row r="947" ht="15.75" customHeight="1">
      <c r="A947" s="26"/>
      <c r="B947" s="26"/>
      <c r="AK947" s="61"/>
    </row>
    <row r="948" ht="15.75" customHeight="1">
      <c r="A948" s="26"/>
      <c r="B948" s="26"/>
      <c r="AK948" s="61"/>
    </row>
    <row r="949" ht="15.75" customHeight="1">
      <c r="A949" s="26"/>
      <c r="B949" s="26"/>
      <c r="AK949" s="61"/>
    </row>
    <row r="950" ht="15.75" customHeight="1">
      <c r="A950" s="26"/>
      <c r="B950" s="26"/>
      <c r="AK950" s="61"/>
    </row>
    <row r="951" ht="15.75" customHeight="1">
      <c r="A951" s="26"/>
      <c r="B951" s="26"/>
      <c r="AK951" s="61"/>
    </row>
    <row r="952" ht="15.75" customHeight="1">
      <c r="A952" s="26"/>
      <c r="B952" s="26"/>
      <c r="AK952" s="61"/>
    </row>
    <row r="953" ht="15.75" customHeight="1">
      <c r="A953" s="26"/>
      <c r="B953" s="26"/>
      <c r="AK953" s="61"/>
    </row>
    <row r="954" ht="15.75" customHeight="1">
      <c r="A954" s="26"/>
      <c r="B954" s="26"/>
      <c r="AK954" s="61"/>
    </row>
    <row r="955" ht="15.75" customHeight="1">
      <c r="A955" s="26"/>
      <c r="B955" s="26"/>
      <c r="AK955" s="61"/>
    </row>
    <row r="956" ht="15.75" customHeight="1">
      <c r="A956" s="26"/>
      <c r="B956" s="26"/>
      <c r="AK956" s="61"/>
    </row>
    <row r="957" ht="15.75" customHeight="1">
      <c r="A957" s="26"/>
      <c r="B957" s="26"/>
      <c r="AK957" s="61"/>
    </row>
    <row r="958" ht="15.75" customHeight="1">
      <c r="A958" s="26"/>
      <c r="B958" s="26"/>
      <c r="AK958" s="61"/>
    </row>
    <row r="959" ht="15.75" customHeight="1">
      <c r="A959" s="26"/>
      <c r="B959" s="26"/>
      <c r="AK959" s="61"/>
    </row>
    <row r="960" ht="15.75" customHeight="1">
      <c r="A960" s="26"/>
      <c r="B960" s="26"/>
      <c r="AK960" s="61"/>
    </row>
    <row r="961" ht="15.75" customHeight="1">
      <c r="A961" s="26"/>
      <c r="B961" s="26"/>
      <c r="AK961" s="61"/>
    </row>
    <row r="962" ht="15.75" customHeight="1">
      <c r="A962" s="26"/>
      <c r="B962" s="26"/>
      <c r="AK962" s="61"/>
    </row>
    <row r="963" ht="15.75" customHeight="1">
      <c r="A963" s="26"/>
      <c r="B963" s="26"/>
      <c r="AK963" s="61"/>
    </row>
    <row r="964" ht="15.75" customHeight="1">
      <c r="A964" s="26"/>
      <c r="B964" s="26"/>
      <c r="AK964" s="61"/>
    </row>
    <row r="965" ht="15.75" customHeight="1">
      <c r="A965" s="26"/>
      <c r="B965" s="26"/>
      <c r="AK965" s="61"/>
    </row>
    <row r="966" ht="15.75" customHeight="1">
      <c r="A966" s="26"/>
      <c r="B966" s="26"/>
      <c r="AK966" s="61"/>
    </row>
    <row r="967" ht="15.75" customHeight="1">
      <c r="A967" s="26"/>
      <c r="B967" s="26"/>
      <c r="AK967" s="61"/>
    </row>
    <row r="968" ht="15.75" customHeight="1">
      <c r="A968" s="26"/>
      <c r="B968" s="26"/>
      <c r="AK968" s="61"/>
    </row>
    <row r="969" ht="15.75" customHeight="1">
      <c r="A969" s="26"/>
      <c r="B969" s="26"/>
      <c r="AK969" s="61"/>
    </row>
    <row r="970" ht="15.75" customHeight="1">
      <c r="A970" s="26"/>
      <c r="B970" s="26"/>
      <c r="AK970" s="61"/>
    </row>
    <row r="971" ht="15.75" customHeight="1">
      <c r="A971" s="26"/>
      <c r="B971" s="26"/>
      <c r="AK971" s="61"/>
    </row>
    <row r="972" ht="15.75" customHeight="1">
      <c r="A972" s="26"/>
      <c r="B972" s="26"/>
      <c r="AK972" s="61"/>
    </row>
    <row r="973" ht="15.75" customHeight="1">
      <c r="A973" s="26"/>
      <c r="B973" s="26"/>
      <c r="AK973" s="61"/>
    </row>
    <row r="974" ht="15.75" customHeight="1">
      <c r="A974" s="26"/>
      <c r="B974" s="26"/>
      <c r="AK974" s="61"/>
    </row>
    <row r="975" ht="15.75" customHeight="1">
      <c r="A975" s="26"/>
      <c r="B975" s="26"/>
      <c r="AK975" s="61"/>
    </row>
    <row r="976" ht="15.75" customHeight="1">
      <c r="A976" s="26"/>
      <c r="B976" s="26"/>
      <c r="AK976" s="61"/>
    </row>
    <row r="977" ht="15.75" customHeight="1">
      <c r="A977" s="26"/>
      <c r="B977" s="26"/>
      <c r="AK977" s="61"/>
    </row>
    <row r="978" ht="15.75" customHeight="1">
      <c r="A978" s="26"/>
      <c r="B978" s="26"/>
      <c r="AK978" s="61"/>
    </row>
    <row r="979" ht="15.75" customHeight="1">
      <c r="A979" s="26"/>
      <c r="B979" s="26"/>
      <c r="AK979" s="61"/>
    </row>
    <row r="980" ht="15.75" customHeight="1">
      <c r="A980" s="26"/>
      <c r="B980" s="26"/>
      <c r="AK980" s="61"/>
    </row>
    <row r="981" ht="15.75" customHeight="1">
      <c r="A981" s="26"/>
      <c r="B981" s="26"/>
      <c r="AK981" s="61"/>
    </row>
    <row r="982" ht="15.75" customHeight="1">
      <c r="A982" s="26"/>
      <c r="B982" s="26"/>
      <c r="AK982" s="61"/>
    </row>
    <row r="983" ht="15.75" customHeight="1">
      <c r="A983" s="26"/>
      <c r="B983" s="26"/>
      <c r="AK983" s="61"/>
    </row>
    <row r="984" ht="15.75" customHeight="1">
      <c r="A984" s="26"/>
      <c r="B984" s="26"/>
      <c r="AK984" s="61"/>
    </row>
    <row r="985" ht="15.75" customHeight="1">
      <c r="A985" s="26"/>
      <c r="B985" s="26"/>
      <c r="AK985" s="61"/>
    </row>
    <row r="986" ht="15.75" customHeight="1">
      <c r="A986" s="26"/>
      <c r="B986" s="26"/>
      <c r="AK986" s="61"/>
    </row>
    <row r="987" ht="15.75" customHeight="1">
      <c r="A987" s="26"/>
      <c r="B987" s="26"/>
      <c r="AK987" s="61"/>
    </row>
    <row r="988" ht="15.75" customHeight="1">
      <c r="A988" s="26"/>
      <c r="B988" s="26"/>
      <c r="AK988" s="61"/>
    </row>
    <row r="989" ht="15.75" customHeight="1">
      <c r="A989" s="26"/>
      <c r="B989" s="26"/>
      <c r="AK989" s="61"/>
    </row>
    <row r="990" ht="15.75" customHeight="1">
      <c r="A990" s="26"/>
      <c r="B990" s="26"/>
      <c r="AK990" s="61"/>
    </row>
    <row r="991" ht="15.75" customHeight="1">
      <c r="A991" s="26"/>
      <c r="B991" s="26"/>
      <c r="AK991" s="61"/>
    </row>
    <row r="992" ht="15.75" customHeight="1">
      <c r="A992" s="26"/>
      <c r="B992" s="26"/>
      <c r="AK992" s="61"/>
    </row>
    <row r="993" ht="15.75" customHeight="1">
      <c r="A993" s="26"/>
      <c r="B993" s="26"/>
      <c r="AK993" s="61"/>
    </row>
    <row r="994" ht="15.75" customHeight="1">
      <c r="A994" s="26"/>
      <c r="B994" s="26"/>
      <c r="AK994" s="61"/>
    </row>
    <row r="995" ht="15.75" customHeight="1">
      <c r="A995" s="26"/>
      <c r="B995" s="26"/>
      <c r="AK995" s="61"/>
    </row>
    <row r="996" ht="15.75" customHeight="1">
      <c r="A996" s="26"/>
      <c r="B996" s="26"/>
      <c r="AK996" s="61"/>
    </row>
    <row r="997" ht="15.75" customHeight="1">
      <c r="A997" s="26"/>
      <c r="B997" s="26"/>
      <c r="AK997" s="61"/>
    </row>
    <row r="998" ht="15.75" customHeight="1">
      <c r="A998" s="26"/>
      <c r="B998" s="26"/>
      <c r="AK998" s="61"/>
    </row>
    <row r="999" ht="15.75" customHeight="1">
      <c r="A999" s="26"/>
      <c r="B999" s="26"/>
      <c r="AK999" s="61"/>
    </row>
    <row r="1000" ht="15.75" customHeight="1">
      <c r="A1000" s="26"/>
      <c r="B1000" s="26"/>
      <c r="AK1000" s="61"/>
    </row>
    <row r="1001" ht="15.75" customHeight="1">
      <c r="A1001" s="26"/>
      <c r="B1001" s="26"/>
      <c r="AK1001" s="61"/>
    </row>
    <row r="1002" ht="15.75" customHeight="1">
      <c r="A1002" s="26"/>
      <c r="B1002" s="26"/>
      <c r="AK1002" s="61"/>
    </row>
    <row r="1003" ht="15.75" customHeight="1">
      <c r="A1003" s="26"/>
      <c r="B1003" s="26"/>
      <c r="AK1003" s="61"/>
    </row>
    <row r="1004" ht="15.75" customHeight="1">
      <c r="A1004" s="26"/>
      <c r="B1004" s="26"/>
      <c r="AK1004" s="61"/>
    </row>
    <row r="1005" ht="15.75" customHeight="1">
      <c r="A1005" s="26"/>
      <c r="B1005" s="26"/>
      <c r="AK1005" s="61"/>
    </row>
    <row r="1006" ht="15.75" customHeight="1">
      <c r="A1006" s="26"/>
      <c r="B1006" s="26"/>
      <c r="AK1006" s="61"/>
    </row>
  </sheetData>
  <autoFilter ref="$A$3:$W$210">
    <filterColumn colId="1">
      <filters>
        <filter val="AS LEVEL"/>
        <filter val="IGCSE 2"/>
      </filters>
    </filterColumn>
  </autoFilter>
  <mergeCells count="13">
    <mergeCell ref="Y2:AA2"/>
    <mergeCell ref="AB2:AD2"/>
    <mergeCell ref="AE2:AG2"/>
    <mergeCell ref="AH2:AJ2"/>
    <mergeCell ref="AK2:AM2"/>
    <mergeCell ref="AN2:AP2"/>
    <mergeCell ref="D2:F2"/>
    <mergeCell ref="G2:I2"/>
    <mergeCell ref="J2:L2"/>
    <mergeCell ref="M2:O2"/>
    <mergeCell ref="P2:R2"/>
    <mergeCell ref="S2:U2"/>
    <mergeCell ref="V2:X2"/>
  </mergeCells>
  <printOptions gridLines="1" horizontalCentered="1"/>
  <pageMargins bottom="0.75" footer="0.0" header="0.0" left="0.7" right="0.7" top="0.75"/>
  <pageSetup fitToHeight="0" cellComments="atEnd" orientation="landscape" pageOrder="overThenDown"/>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63"/>
    <col customWidth="1" min="2" max="2" width="22.38"/>
    <col customWidth="1" min="3" max="3" width="17.13"/>
    <col customWidth="1" min="4" max="4" width="16.75"/>
    <col customWidth="1" min="5" max="5" width="16.63"/>
    <col customWidth="1" min="6" max="6" width="16.88"/>
    <col customWidth="1" min="7" max="7" width="15.0"/>
    <col customWidth="1" min="8" max="8" width="18.0"/>
    <col customWidth="1" min="9" max="9" width="16.88"/>
    <col customWidth="1" min="10" max="10" width="13.5"/>
    <col customWidth="1" min="11" max="11" width="16.5"/>
    <col customWidth="1" min="12" max="26" width="8.63"/>
  </cols>
  <sheetData>
    <row r="1" ht="93.0" customHeight="1">
      <c r="A1" s="113" t="s">
        <v>859</v>
      </c>
      <c r="B1" s="456" t="s">
        <v>0</v>
      </c>
    </row>
    <row r="2" ht="33.0" customHeight="1">
      <c r="B2" s="457" t="s">
        <v>860</v>
      </c>
    </row>
    <row r="3" ht="22.5" customHeight="1">
      <c r="B3" s="458" t="s">
        <v>861</v>
      </c>
      <c r="C3" s="459">
        <v>1.0</v>
      </c>
      <c r="D3" s="457"/>
      <c r="E3" s="457"/>
      <c r="F3" s="457"/>
      <c r="G3" s="457"/>
      <c r="H3" s="457"/>
      <c r="I3" s="457"/>
      <c r="J3" s="457"/>
    </row>
    <row r="4" ht="25.5" customHeight="1">
      <c r="B4" s="460" t="s">
        <v>862</v>
      </c>
      <c r="C4" s="461" t="str">
        <f>VLOOKUP($C$3,'YEARLY DATABASE'!$A$4:$AJ$210,3,0)</f>
        <v>Haardik Haardy Choubey</v>
      </c>
      <c r="D4" s="365"/>
      <c r="E4" s="460" t="s">
        <v>863</v>
      </c>
      <c r="F4" s="461" t="str">
        <f>VLOOKUP($C$3,'YEARLY DATABASE'!$A$4:$AJ$210,2,0)</f>
        <v>AS LEVEL</v>
      </c>
      <c r="G4" s="462" t="s">
        <v>864</v>
      </c>
      <c r="H4" s="463">
        <v>2024.0</v>
      </c>
      <c r="I4" s="460" t="s">
        <v>865</v>
      </c>
      <c r="J4" s="463"/>
      <c r="K4" s="463"/>
    </row>
    <row r="5" ht="41.25" customHeight="1">
      <c r="B5" s="464"/>
      <c r="C5" s="465" t="s">
        <v>866</v>
      </c>
      <c r="D5" s="45"/>
      <c r="E5" s="46"/>
      <c r="F5" s="465" t="s">
        <v>867</v>
      </c>
      <c r="G5" s="45"/>
      <c r="H5" s="46"/>
      <c r="I5" s="465" t="s">
        <v>868</v>
      </c>
      <c r="J5" s="45"/>
      <c r="K5" s="46"/>
    </row>
    <row r="6" ht="12.0" customHeight="1">
      <c r="B6" s="464" t="s">
        <v>869</v>
      </c>
      <c r="C6" s="465"/>
      <c r="D6" s="45"/>
      <c r="E6" s="46"/>
      <c r="F6" s="465"/>
      <c r="G6" s="45"/>
      <c r="H6" s="46"/>
      <c r="I6" s="465"/>
      <c r="J6" s="45"/>
      <c r="K6" s="46"/>
    </row>
    <row r="7" ht="21.0" customHeight="1">
      <c r="B7" s="466" t="s">
        <v>870</v>
      </c>
      <c r="C7" s="466" t="s">
        <v>871</v>
      </c>
      <c r="D7" s="466" t="s">
        <v>872</v>
      </c>
      <c r="E7" s="466" t="s">
        <v>873</v>
      </c>
      <c r="F7" s="466" t="s">
        <v>871</v>
      </c>
      <c r="G7" s="466" t="s">
        <v>872</v>
      </c>
      <c r="H7" s="466" t="s">
        <v>873</v>
      </c>
      <c r="I7" s="466" t="s">
        <v>871</v>
      </c>
      <c r="J7" s="466" t="s">
        <v>872</v>
      </c>
      <c r="K7" s="466" t="s">
        <v>873</v>
      </c>
      <c r="Q7" s="26" t="s">
        <v>139</v>
      </c>
      <c r="R7" s="26">
        <v>0.0</v>
      </c>
      <c r="S7" s="113" t="s">
        <v>140</v>
      </c>
    </row>
    <row r="8" ht="24.0" customHeight="1">
      <c r="B8" s="467" t="s">
        <v>23</v>
      </c>
      <c r="C8" s="468">
        <f>VLOOKUP($C$3,'YEARLY DATABASE'!$A$4:$AJ$210,4,0)</f>
        <v>70</v>
      </c>
      <c r="D8" s="56" t="str">
        <f t="shared" ref="D8:D17" si="1">VLOOKUP(C8,$R$6:$S$15,2)</f>
        <v>B</v>
      </c>
      <c r="E8" s="469" t="str">
        <f t="shared" ref="E8:E17" si="2">IF(C8&gt;49,"Pass","Fail")</f>
        <v>Pass</v>
      </c>
      <c r="F8" s="468">
        <f>VLOOKUP($C$3,'YEARLY DATABASE'!$A$4:$AJ$210,5,0)</f>
        <v>60</v>
      </c>
      <c r="G8" s="56" t="str">
        <f t="shared" ref="G8:G17" si="3">VLOOKUP(F8,$R$6:$S$15,2)</f>
        <v>C</v>
      </c>
      <c r="H8" s="469" t="str">
        <f t="shared" ref="H8:H17" si="4">IF(F8&gt;49,"Pass","Fail")</f>
        <v>Pass</v>
      </c>
      <c r="I8" s="468">
        <f>VLOOKUP($C$3,'YEARLY DATABASE'!$A$4:$AJ$210,6,0)</f>
        <v>80</v>
      </c>
      <c r="J8" s="56" t="str">
        <f t="shared" ref="J8:J17" si="5">VLOOKUP(I8,$R$6:$S$15,2)</f>
        <v>A</v>
      </c>
      <c r="K8" s="469" t="str">
        <f t="shared" ref="K8:K17" si="6">IF(I8&gt;49,"Pass","Fail")</f>
        <v>Pass</v>
      </c>
      <c r="Q8" s="26" t="s">
        <v>141</v>
      </c>
      <c r="R8" s="26">
        <v>20.0</v>
      </c>
      <c r="S8" s="113" t="s">
        <v>142</v>
      </c>
    </row>
    <row r="9" ht="27.0" customHeight="1">
      <c r="B9" s="467" t="s">
        <v>24</v>
      </c>
      <c r="C9" s="468" t="str">
        <f>VLOOKUP($C$3,'YEARLY DATABASE'!$A$4:$AJ$210,7,0)</f>
        <v/>
      </c>
      <c r="D9" s="56" t="str">
        <f t="shared" si="1"/>
        <v>U</v>
      </c>
      <c r="E9" s="469" t="str">
        <f t="shared" si="2"/>
        <v>Fail</v>
      </c>
      <c r="F9" s="468" t="str">
        <f>VLOOKUP($C$3,'YEARLY DATABASE'!$A$4:$AJ$210,8,0)</f>
        <v/>
      </c>
      <c r="G9" s="56" t="str">
        <f t="shared" si="3"/>
        <v>U</v>
      </c>
      <c r="H9" s="469" t="str">
        <f t="shared" si="4"/>
        <v>Fail</v>
      </c>
      <c r="I9" s="468" t="str">
        <f>VLOOKUP($C$3,'YEARLY DATABASE'!$A$4:$AJ$210,9,0)</f>
        <v/>
      </c>
      <c r="J9" s="56" t="str">
        <f t="shared" si="5"/>
        <v>U</v>
      </c>
      <c r="K9" s="469" t="str">
        <f t="shared" si="6"/>
        <v>Fail</v>
      </c>
      <c r="Q9" s="114" t="s">
        <v>143</v>
      </c>
      <c r="R9" s="115">
        <v>30.0</v>
      </c>
      <c r="S9" s="114" t="s">
        <v>144</v>
      </c>
    </row>
    <row r="10" ht="25.5" customHeight="1">
      <c r="B10" s="467" t="s">
        <v>45</v>
      </c>
      <c r="C10" s="468" t="str">
        <f>VLOOKUP($C$3,'YEARLY DATABASE'!$A$4:$AJ$210,10,0)</f>
        <v/>
      </c>
      <c r="D10" s="56" t="str">
        <f t="shared" si="1"/>
        <v>U</v>
      </c>
      <c r="E10" s="469" t="str">
        <f t="shared" si="2"/>
        <v>Fail</v>
      </c>
      <c r="F10" s="468" t="str">
        <f>VLOOKUP($C$3,'YEARLY DATABASE'!$A$4:$AJ$210,11,0)</f>
        <v/>
      </c>
      <c r="G10" s="56" t="str">
        <f t="shared" si="3"/>
        <v>U</v>
      </c>
      <c r="H10" s="469" t="str">
        <f t="shared" si="4"/>
        <v>Fail</v>
      </c>
      <c r="I10" s="468" t="str">
        <f>VLOOKUP($C$3,'YEARLY DATABASE'!$A$4:$AJ$210,12,0)</f>
        <v/>
      </c>
      <c r="J10" s="56" t="str">
        <f t="shared" si="5"/>
        <v>U</v>
      </c>
      <c r="K10" s="469" t="str">
        <f t="shared" si="6"/>
        <v>Fail</v>
      </c>
      <c r="Q10" s="114" t="s">
        <v>145</v>
      </c>
      <c r="R10" s="115">
        <v>40.0</v>
      </c>
      <c r="S10" s="114" t="s">
        <v>146</v>
      </c>
    </row>
    <row r="11" ht="22.5" customHeight="1">
      <c r="B11" s="467" t="s">
        <v>49</v>
      </c>
      <c r="C11" s="468" t="str">
        <f>VLOOKUP($C$3,'YEARLY DATABASE'!$A$4:$AJ$210,13,0)</f>
        <v/>
      </c>
      <c r="D11" s="56" t="str">
        <f t="shared" si="1"/>
        <v>U</v>
      </c>
      <c r="E11" s="469" t="str">
        <f t="shared" si="2"/>
        <v>Fail</v>
      </c>
      <c r="F11" s="468" t="str">
        <f>VLOOKUP($C$3,'YEARLY DATABASE'!$A$4:$AJ$210,14,0)</f>
        <v/>
      </c>
      <c r="G11" s="56" t="str">
        <f t="shared" si="3"/>
        <v>U</v>
      </c>
      <c r="H11" s="469" t="str">
        <f t="shared" si="4"/>
        <v>Fail</v>
      </c>
      <c r="I11" s="468" t="str">
        <f>VLOOKUP($C$3,'YEARLY DATABASE'!$A$4:$AJ$210,15,0)</f>
        <v/>
      </c>
      <c r="J11" s="56" t="str">
        <f t="shared" si="5"/>
        <v>U</v>
      </c>
      <c r="K11" s="469" t="str">
        <f t="shared" si="6"/>
        <v>Fail</v>
      </c>
      <c r="Q11" s="114" t="s">
        <v>147</v>
      </c>
      <c r="R11" s="115">
        <v>50.0</v>
      </c>
      <c r="S11" s="114" t="s">
        <v>93</v>
      </c>
    </row>
    <row r="12" ht="23.25" customHeight="1">
      <c r="B12" s="467" t="s">
        <v>44</v>
      </c>
      <c r="C12" s="468" t="str">
        <f>VLOOKUP($C$3,'YEARLY DATABASE'!$A$4:$AJ$210,16,0)</f>
        <v/>
      </c>
      <c r="D12" s="56" t="str">
        <f t="shared" si="1"/>
        <v>U</v>
      </c>
      <c r="E12" s="469" t="str">
        <f t="shared" si="2"/>
        <v>Fail</v>
      </c>
      <c r="F12" s="468" t="str">
        <f>VLOOKUP($C$3,'YEARLY DATABASE'!$A$4:$AJ$210,17,0)</f>
        <v/>
      </c>
      <c r="G12" s="56" t="str">
        <f t="shared" si="3"/>
        <v>U</v>
      </c>
      <c r="H12" s="469" t="str">
        <f t="shared" si="4"/>
        <v>Fail</v>
      </c>
      <c r="I12" s="468" t="str">
        <f>VLOOKUP($C$3,'YEARLY DATABASE'!$A$4:$AJ$210,18,0)</f>
        <v/>
      </c>
      <c r="J12" s="56" t="str">
        <f t="shared" si="5"/>
        <v>U</v>
      </c>
      <c r="K12" s="469" t="str">
        <f t="shared" si="6"/>
        <v>Fail</v>
      </c>
      <c r="Q12" s="114" t="s">
        <v>148</v>
      </c>
      <c r="R12" s="115">
        <v>60.0</v>
      </c>
      <c r="S12" s="114" t="s">
        <v>90</v>
      </c>
    </row>
    <row r="13" ht="27.0" customHeight="1">
      <c r="B13" s="467" t="s">
        <v>58</v>
      </c>
      <c r="C13" s="468" t="str">
        <f>VLOOKUP($C$3,'YEARLY DATABASE'!$A$4:$AJ$210,28,0)</f>
        <v/>
      </c>
      <c r="D13" s="56" t="str">
        <f t="shared" si="1"/>
        <v>U</v>
      </c>
      <c r="E13" s="469" t="str">
        <f t="shared" si="2"/>
        <v>Fail</v>
      </c>
      <c r="F13" s="468" t="str">
        <f>VLOOKUP($C$3,'YEARLY DATABASE'!$A$4:$AJ$210,29,0)</f>
        <v/>
      </c>
      <c r="G13" s="56" t="str">
        <f t="shared" si="3"/>
        <v>U</v>
      </c>
      <c r="H13" s="469" t="str">
        <f t="shared" si="4"/>
        <v>Fail</v>
      </c>
      <c r="I13" s="468" t="str">
        <f>VLOOKUP($C$3,'YEARLY DATABASE'!$A$4:$AJ$210,30,0)</f>
        <v/>
      </c>
      <c r="J13" s="56" t="str">
        <f t="shared" si="5"/>
        <v>U</v>
      </c>
      <c r="K13" s="469" t="str">
        <f t="shared" si="6"/>
        <v>Fail</v>
      </c>
      <c r="Q13" s="114" t="s">
        <v>149</v>
      </c>
      <c r="R13" s="115">
        <v>70.0</v>
      </c>
      <c r="S13" s="114" t="s">
        <v>87</v>
      </c>
    </row>
    <row r="14" ht="26.25" customHeight="1">
      <c r="B14" s="467" t="s">
        <v>47</v>
      </c>
      <c r="C14" s="468" t="str">
        <f>VLOOKUP($C$3,'YEARLY DATABASE'!$A$4:$AJ$210,31,0)</f>
        <v/>
      </c>
      <c r="D14" s="56" t="str">
        <f t="shared" si="1"/>
        <v>U</v>
      </c>
      <c r="E14" s="469" t="str">
        <f t="shared" si="2"/>
        <v>Fail</v>
      </c>
      <c r="F14" s="468" t="str">
        <f>VLOOKUP($C$3,'YEARLY DATABASE'!$A$4:$AJ$210,32,0)</f>
        <v/>
      </c>
      <c r="G14" s="56" t="str">
        <f t="shared" si="3"/>
        <v>U</v>
      </c>
      <c r="H14" s="469" t="str">
        <f t="shared" si="4"/>
        <v>Fail</v>
      </c>
      <c r="I14" s="468" t="str">
        <f>VLOOKUP($C$3,'YEARLY DATABASE'!$A$4:$AJ$210,33,0)</f>
        <v/>
      </c>
      <c r="J14" s="56" t="str">
        <f t="shared" si="5"/>
        <v>U</v>
      </c>
      <c r="K14" s="469" t="str">
        <f t="shared" si="6"/>
        <v>Fail</v>
      </c>
      <c r="Q14" s="116" t="s">
        <v>150</v>
      </c>
      <c r="R14" s="117">
        <v>80.0</v>
      </c>
      <c r="S14" s="116" t="s">
        <v>85</v>
      </c>
    </row>
    <row r="15" ht="22.5" customHeight="1">
      <c r="B15" s="467" t="s">
        <v>57</v>
      </c>
      <c r="C15" s="468"/>
      <c r="D15" s="56" t="str">
        <f t="shared" si="1"/>
        <v>U</v>
      </c>
      <c r="E15" s="469" t="str">
        <f t="shared" si="2"/>
        <v>Fail</v>
      </c>
      <c r="F15" s="468">
        <f>VLOOKUP($C$3,'YEARLY DATABASE'!$A$4:$AJ$210,35,0)</f>
        <v>8</v>
      </c>
      <c r="G15" s="56" t="str">
        <f t="shared" si="3"/>
        <v>U</v>
      </c>
      <c r="H15" s="469" t="str">
        <f t="shared" si="4"/>
        <v>Fail</v>
      </c>
      <c r="I15" s="468">
        <f>VLOOKUP($C$3,'YEARLY DATABASE'!$A$4:$AJ$210,36,0)</f>
        <v>36</v>
      </c>
      <c r="J15" s="56" t="str">
        <f t="shared" si="5"/>
        <v>F</v>
      </c>
      <c r="K15" s="469" t="str">
        <f t="shared" si="6"/>
        <v>Fail</v>
      </c>
      <c r="Q15" s="116" t="s">
        <v>151</v>
      </c>
      <c r="R15" s="117">
        <v>90.0</v>
      </c>
      <c r="S15" s="116" t="s">
        <v>152</v>
      </c>
    </row>
    <row r="16" ht="24.0" customHeight="1">
      <c r="B16" s="467" t="s">
        <v>28</v>
      </c>
      <c r="C16" s="468" t="str">
        <f>VLOOKUP($C$3,'YEARLY DATABASE'!$A$4:$AJ$210,22,0)</f>
        <v/>
      </c>
      <c r="D16" s="56" t="str">
        <f t="shared" si="1"/>
        <v>U</v>
      </c>
      <c r="E16" s="469" t="str">
        <f t="shared" si="2"/>
        <v>Fail</v>
      </c>
      <c r="F16" s="468" t="str">
        <f>VLOOKUP($C$3,'YEARLY DATABASE'!$A$4:$AJ$210,23,0)</f>
        <v/>
      </c>
      <c r="G16" s="56" t="str">
        <f t="shared" si="3"/>
        <v>U</v>
      </c>
      <c r="H16" s="469" t="str">
        <f t="shared" si="4"/>
        <v>Fail</v>
      </c>
      <c r="I16" s="468" t="str">
        <f>VLOOKUP($C$3,'YEARLY DATABASE'!$A$4:$AJ$210,24,0)</f>
        <v/>
      </c>
      <c r="J16" s="56" t="str">
        <f t="shared" si="5"/>
        <v>U</v>
      </c>
      <c r="K16" s="469" t="str">
        <f t="shared" si="6"/>
        <v>Fail</v>
      </c>
    </row>
    <row r="17" ht="28.5" customHeight="1">
      <c r="B17" s="467" t="s">
        <v>874</v>
      </c>
      <c r="C17" s="468" t="str">
        <f>VLOOKUP($C$3,'YEARLY DATABASE'!$A$4:$AJ$210,25,0)</f>
        <v/>
      </c>
      <c r="D17" s="56" t="str">
        <f t="shared" si="1"/>
        <v>U</v>
      </c>
      <c r="E17" s="469" t="str">
        <f t="shared" si="2"/>
        <v>Fail</v>
      </c>
      <c r="F17" s="468" t="str">
        <f>VLOOKUP($C$3,'YEARLY DATABASE'!$A$4:$AJ$210,26,0)</f>
        <v/>
      </c>
      <c r="G17" s="56" t="str">
        <f t="shared" si="3"/>
        <v>U</v>
      </c>
      <c r="H17" s="469" t="str">
        <f t="shared" si="4"/>
        <v>Fail</v>
      </c>
      <c r="I17" s="468" t="str">
        <f>VLOOKUP($C$3,'YEARLY DATABASE'!$A$4:$AJ$210,27,0)</f>
        <v/>
      </c>
      <c r="J17" s="56" t="str">
        <f t="shared" si="5"/>
        <v>U</v>
      </c>
      <c r="K17" s="469" t="str">
        <f t="shared" si="6"/>
        <v>Fail</v>
      </c>
    </row>
    <row r="18" ht="12.0" customHeight="1">
      <c r="B18" s="470"/>
      <c r="C18" s="470"/>
      <c r="D18" s="470"/>
      <c r="E18" s="470"/>
      <c r="F18" s="470"/>
      <c r="G18" s="470"/>
      <c r="H18" s="470"/>
      <c r="I18" s="470"/>
      <c r="J18" s="470"/>
      <c r="K18" s="470"/>
    </row>
    <row r="19" ht="12.0" customHeight="1">
      <c r="B19" s="470"/>
      <c r="C19" s="470"/>
      <c r="D19" s="470"/>
      <c r="E19" s="470"/>
      <c r="F19" s="470"/>
      <c r="G19" s="470"/>
      <c r="H19" s="470"/>
      <c r="I19" s="470"/>
      <c r="J19" s="470"/>
      <c r="K19" s="470"/>
    </row>
    <row r="20" ht="33.0" customHeight="1">
      <c r="B20" s="471"/>
      <c r="C20" s="472"/>
      <c r="D20" s="472"/>
      <c r="E20" s="472"/>
      <c r="F20" s="472"/>
      <c r="G20" s="472"/>
      <c r="H20" s="472"/>
      <c r="I20" s="472"/>
      <c r="J20" s="473"/>
      <c r="K20" s="470"/>
    </row>
    <row r="21" ht="12.0" customHeight="1">
      <c r="B21" s="470"/>
      <c r="C21" s="470"/>
      <c r="D21" s="470"/>
      <c r="E21" s="470"/>
      <c r="F21" s="470"/>
      <c r="G21" s="470"/>
      <c r="H21" s="470"/>
      <c r="I21" s="470"/>
      <c r="J21" s="470"/>
      <c r="K21" s="470"/>
    </row>
    <row r="22" ht="12.0" customHeight="1">
      <c r="B22" s="470"/>
      <c r="C22" s="470"/>
      <c r="D22" s="470"/>
      <c r="E22" s="470"/>
      <c r="F22" s="470"/>
      <c r="G22" s="470"/>
      <c r="H22" s="470"/>
      <c r="I22" s="470"/>
      <c r="J22" s="470"/>
      <c r="K22" s="470"/>
    </row>
    <row r="23" ht="12.0" customHeight="1">
      <c r="A23" s="470"/>
      <c r="B23" s="474" t="s">
        <v>875</v>
      </c>
      <c r="C23" s="474"/>
      <c r="D23" s="474"/>
      <c r="E23" s="474" t="s">
        <v>876</v>
      </c>
      <c r="F23" s="474"/>
      <c r="G23" s="474"/>
      <c r="H23" s="474" t="s">
        <v>877</v>
      </c>
      <c r="I23" s="474"/>
      <c r="J23" s="474"/>
      <c r="K23" s="470"/>
    </row>
    <row r="24" ht="12.0" customHeight="1">
      <c r="A24" s="470"/>
      <c r="B24" s="470"/>
      <c r="C24" s="470"/>
      <c r="D24" s="470"/>
      <c r="E24" s="470"/>
      <c r="F24" s="470"/>
      <c r="G24" s="470"/>
      <c r="H24" s="470"/>
      <c r="I24" s="470"/>
      <c r="J24" s="470"/>
    </row>
    <row r="25" ht="12.0" customHeight="1">
      <c r="A25" s="470"/>
      <c r="C25" s="474"/>
      <c r="D25" s="474"/>
      <c r="E25" s="474"/>
      <c r="F25" s="474"/>
      <c r="G25" s="474"/>
      <c r="H25" s="474"/>
      <c r="I25" s="474"/>
      <c r="J25" s="474"/>
    </row>
    <row r="26" ht="12.0" customHeight="1">
      <c r="A26" s="470"/>
      <c r="B26" s="470"/>
      <c r="C26" s="470"/>
      <c r="D26" s="470"/>
      <c r="E26" s="470"/>
      <c r="F26" s="470"/>
      <c r="G26" s="470"/>
      <c r="H26" s="470"/>
      <c r="I26" s="470"/>
      <c r="J26" s="470"/>
    </row>
    <row r="27" ht="12.0" customHeight="1">
      <c r="A27" s="470"/>
      <c r="C27" s="474"/>
      <c r="D27" s="474"/>
      <c r="E27" s="474"/>
      <c r="F27" s="474"/>
      <c r="G27" s="474"/>
      <c r="H27" s="474"/>
      <c r="I27" s="474"/>
      <c r="J27" s="474"/>
    </row>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sheetData>
  <mergeCells count="10">
    <mergeCell ref="F6:H6"/>
    <mergeCell ref="I6:K6"/>
    <mergeCell ref="B1:K1"/>
    <mergeCell ref="B2:J2"/>
    <mergeCell ref="C4:D4"/>
    <mergeCell ref="C5:E5"/>
    <mergeCell ref="F5:H5"/>
    <mergeCell ref="I5:K5"/>
    <mergeCell ref="C6:E6"/>
    <mergeCell ref="B20:J20"/>
  </mergeCells>
  <dataValidations>
    <dataValidation type="list" allowBlank="1" showErrorMessage="1" sqref="C3">
      <formula1>'YEARLY DATABASE'!$A$4:$A$18</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