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Python\Sales_dashboard\Bomba Profitability\"/>
    </mc:Choice>
  </mc:AlternateContent>
  <bookViews>
    <workbookView xWindow="-120" yWindow="-120" windowWidth="20730" windowHeight="11760"/>
  </bookViews>
  <sheets>
    <sheet name="P&amp;L (Niko)" sheetId="3" r:id="rId1"/>
    <sheet name="P&amp;L (GK)" sheetId="1" r:id="rId2"/>
    <sheet name="P&amp;L (MG)" sheetId="2" r:id="rId3"/>
  </sheets>
  <definedNames>
    <definedName name="_xlnm.Print_Area" localSheetId="1">'P&amp;L (GK)'!$A$1:$J$73</definedName>
    <definedName name="_xlnm.Print_Area" localSheetId="2">'P&amp;L (MG)'!$A$1:$G$77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69" i="3" l="1"/>
  <c r="Z69" i="3"/>
  <c r="X69" i="3"/>
  <c r="AA65" i="3" l="1"/>
  <c r="AA63" i="3"/>
  <c r="AA66" i="3"/>
  <c r="W64" i="3"/>
  <c r="X58" i="3"/>
  <c r="N58" i="3"/>
  <c r="L58" i="3"/>
  <c r="J58" i="3"/>
  <c r="Z57" i="3"/>
  <c r="H57" i="3"/>
  <c r="I57" i="3" s="1"/>
  <c r="G57" i="3"/>
  <c r="I56" i="3"/>
  <c r="G56" i="3"/>
  <c r="I55" i="3"/>
  <c r="G55" i="3"/>
  <c r="R54" i="3"/>
  <c r="H54" i="3"/>
  <c r="I54" i="3" s="1"/>
  <c r="F54" i="3"/>
  <c r="G54" i="3" s="1"/>
  <c r="D54" i="3"/>
  <c r="B54" i="3"/>
  <c r="V53" i="3"/>
  <c r="I53" i="3"/>
  <c r="G53" i="3"/>
  <c r="I52" i="3"/>
  <c r="G52" i="3"/>
  <c r="D52" i="3"/>
  <c r="H51" i="3"/>
  <c r="I51" i="3" s="1"/>
  <c r="G51" i="3"/>
  <c r="F51" i="3"/>
  <c r="B51" i="3"/>
  <c r="K50" i="3"/>
  <c r="I50" i="3"/>
  <c r="G50" i="3"/>
  <c r="I49" i="3"/>
  <c r="G49" i="3"/>
  <c r="I48" i="3"/>
  <c r="G48" i="3"/>
  <c r="I47" i="3"/>
  <c r="G47" i="3"/>
  <c r="I46" i="3"/>
  <c r="G46" i="3"/>
  <c r="Z45" i="3"/>
  <c r="Z58" i="3" s="1"/>
  <c r="V45" i="3"/>
  <c r="T45" i="3"/>
  <c r="R45" i="3"/>
  <c r="P45" i="3"/>
  <c r="I45" i="3"/>
  <c r="G45" i="3"/>
  <c r="I43" i="3"/>
  <c r="H43" i="3"/>
  <c r="F43" i="3"/>
  <c r="G43" i="3" s="1"/>
  <c r="T42" i="3"/>
  <c r="T41" i="3"/>
  <c r="P41" i="3"/>
  <c r="H41" i="3"/>
  <c r="I41" i="3" s="1"/>
  <c r="F41" i="3"/>
  <c r="G41" i="3" s="1"/>
  <c r="D41" i="3"/>
  <c r="B41" i="3"/>
  <c r="I40" i="3"/>
  <c r="G40" i="3"/>
  <c r="D40" i="3"/>
  <c r="R39" i="3"/>
  <c r="H39" i="3"/>
  <c r="H58" i="3" s="1"/>
  <c r="G39" i="3"/>
  <c r="F39" i="3"/>
  <c r="D39" i="3"/>
  <c r="B39" i="3"/>
  <c r="B58" i="3" s="1"/>
  <c r="R34" i="3"/>
  <c r="S34" i="3" s="1"/>
  <c r="P34" i="3"/>
  <c r="Q34" i="3" s="1"/>
  <c r="N34" i="3"/>
  <c r="O34" i="3" s="1"/>
  <c r="L34" i="3"/>
  <c r="M34" i="3" s="1"/>
  <c r="K34" i="3"/>
  <c r="I34" i="3"/>
  <c r="K33" i="3"/>
  <c r="I33" i="3"/>
  <c r="T32" i="3"/>
  <c r="T34" i="3" s="1"/>
  <c r="U34" i="3" s="1"/>
  <c r="Z31" i="3"/>
  <c r="X31" i="3"/>
  <c r="Z30" i="3"/>
  <c r="X30" i="3"/>
  <c r="V30" i="3"/>
  <c r="V34" i="3" s="1"/>
  <c r="W34" i="3" s="1"/>
  <c r="K30" i="3"/>
  <c r="I30" i="3"/>
  <c r="Z29" i="3"/>
  <c r="AA29" i="3" s="1"/>
  <c r="Y29" i="3"/>
  <c r="X29" i="3"/>
  <c r="V29" i="3"/>
  <c r="W29" i="3" s="1"/>
  <c r="U29" i="3"/>
  <c r="T29" i="3"/>
  <c r="R29" i="3"/>
  <c r="S29" i="3" s="1"/>
  <c r="M29" i="3"/>
  <c r="AA28" i="3"/>
  <c r="Y28" i="3"/>
  <c r="W28" i="3"/>
  <c r="U28" i="3"/>
  <c r="AA26" i="3"/>
  <c r="Y26" i="3"/>
  <c r="W26" i="3"/>
  <c r="U26" i="3"/>
  <c r="S26" i="3"/>
  <c r="K26" i="3"/>
  <c r="I26" i="3"/>
  <c r="Z21" i="3"/>
  <c r="X21" i="3"/>
  <c r="T21" i="3"/>
  <c r="Z20" i="3"/>
  <c r="AA20" i="3" s="1"/>
  <c r="X20" i="3"/>
  <c r="Y20" i="3" s="1"/>
  <c r="V20" i="3"/>
  <c r="W20" i="3" s="1"/>
  <c r="T20" i="3"/>
  <c r="M20" i="3"/>
  <c r="D20" i="3"/>
  <c r="D23" i="3" s="1"/>
  <c r="AA19" i="3"/>
  <c r="Y19" i="3"/>
  <c r="W19" i="3"/>
  <c r="U19" i="3"/>
  <c r="S19" i="3"/>
  <c r="I19" i="3"/>
  <c r="F19" i="3"/>
  <c r="G19" i="3" s="1"/>
  <c r="AA18" i="3"/>
  <c r="Y18" i="3"/>
  <c r="W18" i="3"/>
  <c r="U18" i="3"/>
  <c r="R18" i="3"/>
  <c r="S18" i="3" s="1"/>
  <c r="P18" i="3"/>
  <c r="N18" i="3"/>
  <c r="M18" i="3"/>
  <c r="L18" i="3"/>
  <c r="J18" i="3"/>
  <c r="H18" i="3"/>
  <c r="I18" i="3" s="1"/>
  <c r="F18" i="3"/>
  <c r="G18" i="3" s="1"/>
  <c r="AA17" i="3"/>
  <c r="Y17" i="3"/>
  <c r="W17" i="3"/>
  <c r="U17" i="3"/>
  <c r="R17" i="3"/>
  <c r="S17" i="3" s="1"/>
  <c r="P17" i="3"/>
  <c r="N17" i="3"/>
  <c r="M17" i="3"/>
  <c r="L17" i="3"/>
  <c r="J17" i="3"/>
  <c r="H17" i="3"/>
  <c r="I17" i="3" s="1"/>
  <c r="F17" i="3"/>
  <c r="AA16" i="3"/>
  <c r="Y16" i="3"/>
  <c r="W16" i="3"/>
  <c r="U16" i="3"/>
  <c r="R16" i="3"/>
  <c r="S16" i="3" s="1"/>
  <c r="P16" i="3"/>
  <c r="Q16" i="3" s="1"/>
  <c r="N16" i="3"/>
  <c r="L16" i="3"/>
  <c r="M16" i="3" s="1"/>
  <c r="J16" i="3"/>
  <c r="H16" i="3"/>
  <c r="I16" i="3" s="1"/>
  <c r="F16" i="3"/>
  <c r="AA15" i="3"/>
  <c r="Y15" i="3"/>
  <c r="W15" i="3"/>
  <c r="U15" i="3"/>
  <c r="R15" i="3"/>
  <c r="N15" i="3"/>
  <c r="L15" i="3"/>
  <c r="J15" i="3"/>
  <c r="H15" i="3"/>
  <c r="F15" i="3"/>
  <c r="F20" i="3" s="1"/>
  <c r="B15" i="3"/>
  <c r="AA14" i="3"/>
  <c r="Y14" i="3"/>
  <c r="W14" i="3"/>
  <c r="U14" i="3"/>
  <c r="S14" i="3"/>
  <c r="P14" i="3"/>
  <c r="P23" i="3" s="1"/>
  <c r="Q23" i="3" s="1"/>
  <c r="M14" i="3"/>
  <c r="I14" i="3"/>
  <c r="B14" i="3"/>
  <c r="B20" i="3" s="1"/>
  <c r="B23" i="3" s="1"/>
  <c r="R9" i="3"/>
  <c r="S9" i="3" s="1"/>
  <c r="P9" i="3"/>
  <c r="N9" i="3"/>
  <c r="L9" i="3"/>
  <c r="J9" i="3"/>
  <c r="H9" i="3"/>
  <c r="F9" i="3"/>
  <c r="D9" i="3"/>
  <c r="T8" i="3"/>
  <c r="T9" i="3" s="1"/>
  <c r="U9" i="3" s="1"/>
  <c r="D8" i="3"/>
  <c r="B8" i="3"/>
  <c r="B9" i="3" s="1"/>
  <c r="AA7" i="3"/>
  <c r="Y7" i="3"/>
  <c r="W7" i="3"/>
  <c r="U7" i="3"/>
  <c r="S7" i="3"/>
  <c r="Z5" i="3"/>
  <c r="X5" i="3"/>
  <c r="V5" i="3"/>
  <c r="T5" i="3"/>
  <c r="R5" i="3"/>
  <c r="J5" i="3"/>
  <c r="H5" i="3"/>
  <c r="H11" i="3" s="1"/>
  <c r="D5" i="3"/>
  <c r="AA4" i="3"/>
  <c r="Y4" i="3"/>
  <c r="W4" i="3"/>
  <c r="U4" i="3"/>
  <c r="S4" i="3"/>
  <c r="F4" i="3"/>
  <c r="N3" i="3"/>
  <c r="L3" i="3"/>
  <c r="L5" i="3" s="1"/>
  <c r="P2" i="3"/>
  <c r="Q20" i="3" s="1"/>
  <c r="N2" i="3"/>
  <c r="O14" i="3" s="1"/>
  <c r="F2" i="3"/>
  <c r="G30" i="3" s="1"/>
  <c r="B2" i="3"/>
  <c r="B5" i="3" s="1"/>
  <c r="F46" i="2"/>
  <c r="F45" i="2"/>
  <c r="K43" i="2"/>
  <c r="I43" i="2"/>
  <c r="F41" i="2"/>
  <c r="F40" i="2"/>
  <c r="F37" i="2"/>
  <c r="N37" i="2" s="1"/>
  <c r="F34" i="2"/>
  <c r="F33" i="2"/>
  <c r="N33" i="2" s="1"/>
  <c r="F30" i="2"/>
  <c r="N30" i="2" s="1"/>
  <c r="H47" i="2"/>
  <c r="F29" i="2"/>
  <c r="N29" i="2" s="1"/>
  <c r="D47" i="2"/>
  <c r="N23" i="2"/>
  <c r="F23" i="2"/>
  <c r="H22" i="2" s="1"/>
  <c r="L22" i="2"/>
  <c r="J22" i="2"/>
  <c r="F22" i="2"/>
  <c r="N22" i="2" s="1"/>
  <c r="D22" i="2"/>
  <c r="H21" i="2"/>
  <c r="K20" i="2"/>
  <c r="F20" i="2"/>
  <c r="N20" i="2" s="1"/>
  <c r="C20" i="2"/>
  <c r="M19" i="2"/>
  <c r="I19" i="2"/>
  <c r="E19" i="2"/>
  <c r="F19" i="2"/>
  <c r="K18" i="2"/>
  <c r="E18" i="2"/>
  <c r="F18" i="2"/>
  <c r="N18" i="2" s="1"/>
  <c r="K17" i="2"/>
  <c r="I17" i="2"/>
  <c r="E17" i="2"/>
  <c r="F17" i="2"/>
  <c r="K16" i="2"/>
  <c r="F16" i="2"/>
  <c r="E16" i="2"/>
  <c r="C16" i="2"/>
  <c r="F15" i="2"/>
  <c r="D21" i="2"/>
  <c r="D24" i="2" s="1"/>
  <c r="E24" i="2" s="1"/>
  <c r="J10" i="2"/>
  <c r="K10" i="2" s="1"/>
  <c r="B10" i="2"/>
  <c r="C10" i="2" s="1"/>
  <c r="I8" i="2"/>
  <c r="H10" i="2"/>
  <c r="I10" i="2" s="1"/>
  <c r="L6" i="2"/>
  <c r="J6" i="2"/>
  <c r="M5" i="2"/>
  <c r="E5" i="2"/>
  <c r="F5" i="2"/>
  <c r="M17" i="2"/>
  <c r="D6" i="2"/>
  <c r="H6" i="2"/>
  <c r="H12" i="2" s="1"/>
  <c r="M15" i="2"/>
  <c r="K19" i="2"/>
  <c r="F2" i="2"/>
  <c r="N2" i="2" s="1"/>
  <c r="E20" i="2"/>
  <c r="J64" i="1"/>
  <c r="P57" i="1"/>
  <c r="N57" i="1"/>
  <c r="M68" i="1" s="1"/>
  <c r="J57" i="1"/>
  <c r="Q56" i="1"/>
  <c r="J51" i="1"/>
  <c r="J50" i="1"/>
  <c r="J48" i="1"/>
  <c r="J47" i="1"/>
  <c r="J46" i="1"/>
  <c r="J45" i="1"/>
  <c r="J44" i="1"/>
  <c r="P58" i="1"/>
  <c r="P32" i="1"/>
  <c r="P31" i="1"/>
  <c r="L30" i="1"/>
  <c r="L35" i="1" s="1"/>
  <c r="H30" i="1"/>
  <c r="H35" i="1" s="1"/>
  <c r="Q29" i="1"/>
  <c r="P30" i="1"/>
  <c r="J24" i="1"/>
  <c r="L23" i="1" s="1"/>
  <c r="P23" i="1"/>
  <c r="N23" i="1"/>
  <c r="J23" i="1"/>
  <c r="H23" i="1"/>
  <c r="F23" i="1"/>
  <c r="D23" i="1"/>
  <c r="Q21" i="1"/>
  <c r="O21" i="1"/>
  <c r="H22" i="1"/>
  <c r="C21" i="1"/>
  <c r="Q20" i="1"/>
  <c r="O20" i="1"/>
  <c r="G20" i="1"/>
  <c r="C20" i="1"/>
  <c r="Q19" i="1"/>
  <c r="O19" i="1"/>
  <c r="J19" i="1"/>
  <c r="I19" i="1"/>
  <c r="G19" i="1"/>
  <c r="Q18" i="1"/>
  <c r="O18" i="1"/>
  <c r="J18" i="1"/>
  <c r="I18" i="1"/>
  <c r="G18" i="1"/>
  <c r="Q17" i="1"/>
  <c r="O17" i="1"/>
  <c r="I17" i="1"/>
  <c r="G17" i="1"/>
  <c r="E17" i="1"/>
  <c r="O16" i="1"/>
  <c r="N22" i="1"/>
  <c r="L22" i="1"/>
  <c r="F22" i="1"/>
  <c r="E16" i="1"/>
  <c r="P11" i="1"/>
  <c r="Q11" i="1" s="1"/>
  <c r="N11" i="1"/>
  <c r="H11" i="1"/>
  <c r="F11" i="1"/>
  <c r="G11" i="1" s="1"/>
  <c r="B11" i="1"/>
  <c r="J10" i="1"/>
  <c r="Q9" i="1"/>
  <c r="L11" i="1"/>
  <c r="M11" i="1" s="1"/>
  <c r="I9" i="1"/>
  <c r="D11" i="1"/>
  <c r="E11" i="1" s="1"/>
  <c r="C9" i="1"/>
  <c r="Q6" i="1"/>
  <c r="I6" i="1"/>
  <c r="E6" i="1"/>
  <c r="N7" i="1"/>
  <c r="J4" i="1"/>
  <c r="J3" i="1"/>
  <c r="E21" i="1"/>
  <c r="M17" i="1"/>
  <c r="H7" i="1"/>
  <c r="G6" i="1"/>
  <c r="J2" i="1"/>
  <c r="Z23" i="3" l="1"/>
  <c r="AA23" i="3" s="1"/>
  <c r="H13" i="1"/>
  <c r="I41" i="1" s="1"/>
  <c r="N13" i="1"/>
  <c r="O54" i="1" s="1"/>
  <c r="B11" i="3"/>
  <c r="B36" i="3" s="1"/>
  <c r="H20" i="3"/>
  <c r="H23" i="3" s="1"/>
  <c r="Q29" i="3"/>
  <c r="L11" i="3"/>
  <c r="J20" i="3"/>
  <c r="J23" i="3" s="1"/>
  <c r="J29" i="3" s="1"/>
  <c r="Q14" i="3"/>
  <c r="O18" i="3"/>
  <c r="D11" i="3"/>
  <c r="E46" i="3" s="1"/>
  <c r="L23" i="3"/>
  <c r="M23" i="3" s="1"/>
  <c r="G16" i="3"/>
  <c r="Q18" i="3"/>
  <c r="T22" i="3"/>
  <c r="V21" i="3" s="1"/>
  <c r="V23" i="3" s="1"/>
  <c r="W23" i="3" s="1"/>
  <c r="T58" i="3"/>
  <c r="G14" i="3"/>
  <c r="Q15" i="3"/>
  <c r="O17" i="3"/>
  <c r="Z34" i="3"/>
  <c r="AA34" i="3" s="1"/>
  <c r="J11" i="3"/>
  <c r="R11" i="3"/>
  <c r="S54" i="3" s="1"/>
  <c r="R20" i="3"/>
  <c r="R23" i="3" s="1"/>
  <c r="S23" i="3" s="1"/>
  <c r="Q17" i="3"/>
  <c r="X34" i="3"/>
  <c r="Y34" i="3" s="1"/>
  <c r="F58" i="3"/>
  <c r="G17" i="3"/>
  <c r="C54" i="3"/>
  <c r="C48" i="3"/>
  <c r="C45" i="3"/>
  <c r="C46" i="3"/>
  <c r="C40" i="3"/>
  <c r="C47" i="3"/>
  <c r="G20" i="3"/>
  <c r="F23" i="3"/>
  <c r="I20" i="3"/>
  <c r="D29" i="3"/>
  <c r="E23" i="3"/>
  <c r="S39" i="3"/>
  <c r="E51" i="3"/>
  <c r="E47" i="3"/>
  <c r="E45" i="3"/>
  <c r="E53" i="3"/>
  <c r="E41" i="3"/>
  <c r="D36" i="3"/>
  <c r="U58" i="3"/>
  <c r="S45" i="3"/>
  <c r="C23" i="3"/>
  <c r="B29" i="3"/>
  <c r="C41" i="3"/>
  <c r="S46" i="3"/>
  <c r="S41" i="3"/>
  <c r="S52" i="3"/>
  <c r="S50" i="3"/>
  <c r="S44" i="3"/>
  <c r="S42" i="3"/>
  <c r="S49" i="3"/>
  <c r="S57" i="3"/>
  <c r="S51" i="3"/>
  <c r="S48" i="3"/>
  <c r="S47" i="3"/>
  <c r="S43" i="3"/>
  <c r="S56" i="3"/>
  <c r="S55" i="3"/>
  <c r="S53" i="3"/>
  <c r="S40" i="3"/>
  <c r="S20" i="3"/>
  <c r="T11" i="3"/>
  <c r="O15" i="3"/>
  <c r="O16" i="3"/>
  <c r="N23" i="3"/>
  <c r="G33" i="3"/>
  <c r="V58" i="3"/>
  <c r="V8" i="3"/>
  <c r="V9" i="3" s="1"/>
  <c r="G15" i="3"/>
  <c r="U20" i="3"/>
  <c r="N5" i="3"/>
  <c r="N11" i="3" s="1"/>
  <c r="X23" i="3"/>
  <c r="Y23" i="3" s="1"/>
  <c r="I39" i="3"/>
  <c r="P58" i="3"/>
  <c r="P5" i="3"/>
  <c r="P11" i="3" s="1"/>
  <c r="I15" i="3"/>
  <c r="S15" i="3"/>
  <c r="G34" i="3"/>
  <c r="D58" i="3"/>
  <c r="R58" i="3"/>
  <c r="S58" i="3" s="1"/>
  <c r="F5" i="3"/>
  <c r="F11" i="3" s="1"/>
  <c r="M15" i="3"/>
  <c r="G26" i="3"/>
  <c r="P35" i="1"/>
  <c r="Q35" i="1" s="1"/>
  <c r="Q30" i="1"/>
  <c r="G22" i="1"/>
  <c r="F25" i="1"/>
  <c r="G25" i="1" s="1"/>
  <c r="M22" i="1"/>
  <c r="L25" i="1"/>
  <c r="M25" i="1" s="1"/>
  <c r="K18" i="1"/>
  <c r="O22" i="1"/>
  <c r="N25" i="1"/>
  <c r="O25" i="1" s="1"/>
  <c r="H25" i="1"/>
  <c r="I25" i="1" s="1"/>
  <c r="I22" i="1"/>
  <c r="O42" i="1"/>
  <c r="I57" i="1"/>
  <c r="I51" i="1"/>
  <c r="I45" i="1"/>
  <c r="I55" i="1"/>
  <c r="I42" i="1"/>
  <c r="I50" i="1"/>
  <c r="I46" i="1"/>
  <c r="I48" i="1"/>
  <c r="I40" i="1"/>
  <c r="I52" i="1"/>
  <c r="I44" i="1"/>
  <c r="I49" i="1"/>
  <c r="O29" i="1"/>
  <c r="I56" i="1"/>
  <c r="N5" i="2"/>
  <c r="J6" i="1"/>
  <c r="K6" i="1" s="1"/>
  <c r="B7" i="1"/>
  <c r="B13" i="1" s="1"/>
  <c r="C55" i="1" s="1"/>
  <c r="J9" i="1"/>
  <c r="G16" i="1"/>
  <c r="I20" i="1"/>
  <c r="I21" i="1"/>
  <c r="F58" i="1"/>
  <c r="J42" i="1"/>
  <c r="L58" i="1"/>
  <c r="D58" i="1"/>
  <c r="Q16" i="1"/>
  <c r="P7" i="1"/>
  <c r="P13" i="1" s="1"/>
  <c r="Q42" i="1" s="1"/>
  <c r="C6" i="1"/>
  <c r="D7" i="1"/>
  <c r="D13" i="1" s="1"/>
  <c r="E43" i="1" s="1"/>
  <c r="I16" i="1"/>
  <c r="J20" i="1"/>
  <c r="K20" i="1" s="1"/>
  <c r="J21" i="1"/>
  <c r="K21" i="1" s="1"/>
  <c r="H58" i="1"/>
  <c r="I58" i="1" s="1"/>
  <c r="J55" i="1"/>
  <c r="O56" i="1"/>
  <c r="F21" i="2"/>
  <c r="N15" i="2"/>
  <c r="H24" i="2"/>
  <c r="I24" i="2" s="1"/>
  <c r="I21" i="2"/>
  <c r="F7" i="1"/>
  <c r="F13" i="1" s="1"/>
  <c r="G41" i="1" s="1"/>
  <c r="I11" i="1"/>
  <c r="J17" i="1"/>
  <c r="K17" i="1" s="1"/>
  <c r="B22" i="1"/>
  <c r="I43" i="1"/>
  <c r="D12" i="2"/>
  <c r="E45" i="2" s="1"/>
  <c r="M6" i="1"/>
  <c r="J16" i="1"/>
  <c r="K19" i="1"/>
  <c r="J41" i="1"/>
  <c r="E9" i="1"/>
  <c r="M9" i="1"/>
  <c r="C19" i="1"/>
  <c r="C41" i="1"/>
  <c r="J43" i="1"/>
  <c r="I54" i="1"/>
  <c r="M8" i="2"/>
  <c r="L10" i="2"/>
  <c r="M10" i="2" s="1"/>
  <c r="O11" i="1"/>
  <c r="O6" i="1"/>
  <c r="C16" i="1"/>
  <c r="C17" i="1"/>
  <c r="C18" i="1"/>
  <c r="M18" i="1"/>
  <c r="M19" i="1"/>
  <c r="M20" i="1"/>
  <c r="M21" i="1"/>
  <c r="D22" i="1"/>
  <c r="O28" i="1"/>
  <c r="N30" i="1"/>
  <c r="B58" i="1"/>
  <c r="J40" i="1"/>
  <c r="J54" i="1"/>
  <c r="L7" i="1"/>
  <c r="L13" i="1" s="1"/>
  <c r="M51" i="1" s="1"/>
  <c r="G9" i="1"/>
  <c r="O9" i="1"/>
  <c r="C11" i="1"/>
  <c r="M16" i="1"/>
  <c r="E18" i="1"/>
  <c r="E19" i="1"/>
  <c r="E20" i="1"/>
  <c r="J52" i="1"/>
  <c r="C53" i="1"/>
  <c r="J53" i="1"/>
  <c r="L12" i="2"/>
  <c r="M32" i="2" s="1"/>
  <c r="G21" i="1"/>
  <c r="P22" i="1"/>
  <c r="Q28" i="1"/>
  <c r="O40" i="1"/>
  <c r="N58" i="1"/>
  <c r="I37" i="2"/>
  <c r="I33" i="2"/>
  <c r="I29" i="2"/>
  <c r="I35" i="2"/>
  <c r="I31" i="2"/>
  <c r="I46" i="2"/>
  <c r="J56" i="1"/>
  <c r="C19" i="2"/>
  <c r="C15" i="2"/>
  <c r="C5" i="2"/>
  <c r="C8" i="2"/>
  <c r="B6" i="2"/>
  <c r="B12" i="2" s="1"/>
  <c r="C39" i="2" s="1"/>
  <c r="F3" i="2"/>
  <c r="G15" i="2" s="1"/>
  <c r="I5" i="2"/>
  <c r="N16" i="2"/>
  <c r="I20" i="2"/>
  <c r="F36" i="2"/>
  <c r="I15" i="2"/>
  <c r="M18" i="2"/>
  <c r="I47" i="2"/>
  <c r="I30" i="2"/>
  <c r="I40" i="2"/>
  <c r="M43" i="2"/>
  <c r="F8" i="2"/>
  <c r="E8" i="2"/>
  <c r="D10" i="2"/>
  <c r="E10" i="2" s="1"/>
  <c r="G17" i="2"/>
  <c r="N17" i="2"/>
  <c r="J47" i="2"/>
  <c r="F35" i="2"/>
  <c r="M37" i="2"/>
  <c r="C44" i="2"/>
  <c r="I45" i="2"/>
  <c r="J49" i="1"/>
  <c r="O55" i="1"/>
  <c r="L21" i="2"/>
  <c r="C18" i="2"/>
  <c r="L47" i="2"/>
  <c r="M30" i="2"/>
  <c r="F32" i="2"/>
  <c r="I36" i="2"/>
  <c r="I39" i="2"/>
  <c r="M40" i="2"/>
  <c r="I42" i="2"/>
  <c r="I53" i="1"/>
  <c r="I18" i="2"/>
  <c r="I16" i="2"/>
  <c r="N19" i="2"/>
  <c r="N34" i="2"/>
  <c r="C38" i="2"/>
  <c r="F38" i="2"/>
  <c r="N41" i="2"/>
  <c r="I44" i="2"/>
  <c r="I47" i="1"/>
  <c r="O51" i="1"/>
  <c r="O57" i="1"/>
  <c r="B47" i="2"/>
  <c r="C47" i="2" s="1"/>
  <c r="F31" i="2"/>
  <c r="C31" i="2"/>
  <c r="M42" i="2"/>
  <c r="N46" i="2"/>
  <c r="E51" i="1"/>
  <c r="M56" i="1"/>
  <c r="M20" i="2"/>
  <c r="M16" i="2"/>
  <c r="J12" i="2"/>
  <c r="K37" i="2" s="1"/>
  <c r="E15" i="2"/>
  <c r="E21" i="2"/>
  <c r="I32" i="2"/>
  <c r="I34" i="2"/>
  <c r="M36" i="2"/>
  <c r="I38" i="2"/>
  <c r="C40" i="2"/>
  <c r="I41" i="2"/>
  <c r="E43" i="2"/>
  <c r="M44" i="2"/>
  <c r="B21" i="2"/>
  <c r="J21" i="2"/>
  <c r="F39" i="2"/>
  <c r="F44" i="2"/>
  <c r="C17" i="2"/>
  <c r="C41" i="2"/>
  <c r="C46" i="2"/>
  <c r="K8" i="2"/>
  <c r="F42" i="2"/>
  <c r="K5" i="2"/>
  <c r="K15" i="2"/>
  <c r="N40" i="2"/>
  <c r="N45" i="2"/>
  <c r="J36" i="3" l="1"/>
  <c r="J60" i="3" s="1"/>
  <c r="E56" i="1"/>
  <c r="E45" i="1"/>
  <c r="O43" i="1"/>
  <c r="E44" i="1"/>
  <c r="O45" i="1"/>
  <c r="E52" i="1"/>
  <c r="E57" i="1"/>
  <c r="O46" i="1"/>
  <c r="E39" i="2"/>
  <c r="G18" i="2"/>
  <c r="F6" i="2"/>
  <c r="C35" i="2"/>
  <c r="G16" i="2"/>
  <c r="C45" i="2"/>
  <c r="K29" i="2"/>
  <c r="C29" i="2"/>
  <c r="M38" i="2"/>
  <c r="G19" i="2"/>
  <c r="C33" i="2"/>
  <c r="Q52" i="1"/>
  <c r="M57" i="1"/>
  <c r="M41" i="1"/>
  <c r="M52" i="1"/>
  <c r="G54" i="1"/>
  <c r="G51" i="1"/>
  <c r="C42" i="1"/>
  <c r="Q58" i="1"/>
  <c r="O49" i="1"/>
  <c r="Q41" i="1"/>
  <c r="G55" i="1"/>
  <c r="C57" i="1"/>
  <c r="C46" i="1"/>
  <c r="G56" i="1"/>
  <c r="C52" i="1"/>
  <c r="O47" i="1"/>
  <c r="Q40" i="1"/>
  <c r="O41" i="1"/>
  <c r="Q47" i="1"/>
  <c r="G43" i="1"/>
  <c r="Q53" i="1"/>
  <c r="O53" i="1"/>
  <c r="G42" i="1"/>
  <c r="G49" i="1"/>
  <c r="Q44" i="1"/>
  <c r="C58" i="1"/>
  <c r="O52" i="1"/>
  <c r="C47" i="1"/>
  <c r="Q55" i="1"/>
  <c r="C54" i="1"/>
  <c r="G53" i="1"/>
  <c r="Q54" i="1"/>
  <c r="O48" i="1"/>
  <c r="G44" i="1"/>
  <c r="M44" i="1"/>
  <c r="Q45" i="1"/>
  <c r="G52" i="1"/>
  <c r="O50" i="1"/>
  <c r="O44" i="1"/>
  <c r="O58" i="1"/>
  <c r="M54" i="1"/>
  <c r="Q48" i="1"/>
  <c r="M45" i="1"/>
  <c r="Q43" i="1"/>
  <c r="H37" i="1"/>
  <c r="H60" i="1" s="1"/>
  <c r="I60" i="1" s="1"/>
  <c r="E58" i="3"/>
  <c r="E49" i="3"/>
  <c r="E57" i="3"/>
  <c r="C53" i="3"/>
  <c r="C58" i="3"/>
  <c r="E54" i="3"/>
  <c r="E48" i="3"/>
  <c r="C39" i="3"/>
  <c r="C51" i="3"/>
  <c r="X8" i="3"/>
  <c r="X9" i="3" s="1"/>
  <c r="Y9" i="3" s="1"/>
  <c r="E39" i="3"/>
  <c r="E52" i="3"/>
  <c r="E40" i="3"/>
  <c r="C49" i="3"/>
  <c r="C57" i="3"/>
  <c r="C52" i="3"/>
  <c r="T23" i="3"/>
  <c r="U23" i="3" s="1"/>
  <c r="L36" i="3"/>
  <c r="L60" i="3" s="1"/>
  <c r="L61" i="3" s="1"/>
  <c r="E36" i="3"/>
  <c r="D60" i="3"/>
  <c r="E60" i="3" s="1"/>
  <c r="I23" i="3"/>
  <c r="H29" i="3"/>
  <c r="I29" i="3" s="1"/>
  <c r="N36" i="3"/>
  <c r="N60" i="3" s="1"/>
  <c r="N61" i="3" s="1"/>
  <c r="X11" i="3"/>
  <c r="O23" i="3"/>
  <c r="G23" i="3"/>
  <c r="F29" i="3"/>
  <c r="G29" i="3" s="1"/>
  <c r="Z8" i="3"/>
  <c r="Z9" i="3" s="1"/>
  <c r="U52" i="3"/>
  <c r="U50" i="3"/>
  <c r="U44" i="3"/>
  <c r="U49" i="3"/>
  <c r="U39" i="3"/>
  <c r="U51" i="3"/>
  <c r="U45" i="3"/>
  <c r="U57" i="3"/>
  <c r="U47" i="3"/>
  <c r="U43" i="3"/>
  <c r="U48" i="3"/>
  <c r="U56" i="3"/>
  <c r="U55" i="3"/>
  <c r="U54" i="3"/>
  <c r="U53" i="3"/>
  <c r="U41" i="3"/>
  <c r="U40" i="3"/>
  <c r="U46" i="3"/>
  <c r="U42" i="3"/>
  <c r="Q56" i="3"/>
  <c r="Q55" i="3"/>
  <c r="Q53" i="3"/>
  <c r="Q40" i="3"/>
  <c r="P36" i="3"/>
  <c r="Q54" i="3"/>
  <c r="Q46" i="3"/>
  <c r="Q52" i="3"/>
  <c r="Q50" i="3"/>
  <c r="Q42" i="3"/>
  <c r="Q39" i="3"/>
  <c r="Q49" i="3"/>
  <c r="Q57" i="3"/>
  <c r="Q51" i="3"/>
  <c r="Q48" i="3"/>
  <c r="Q47" i="3"/>
  <c r="Q45" i="3"/>
  <c r="Q43" i="3"/>
  <c r="W9" i="3"/>
  <c r="V11" i="3"/>
  <c r="H36" i="3"/>
  <c r="H60" i="3" s="1"/>
  <c r="F36" i="3"/>
  <c r="F60" i="3" s="1"/>
  <c r="Q58" i="3"/>
  <c r="W58" i="3"/>
  <c r="Q41" i="3"/>
  <c r="R36" i="3"/>
  <c r="C36" i="3"/>
  <c r="B60" i="3"/>
  <c r="C60" i="3" s="1"/>
  <c r="J58" i="1"/>
  <c r="K41" i="2"/>
  <c r="E37" i="2"/>
  <c r="E35" i="2"/>
  <c r="E31" i="2"/>
  <c r="E33" i="2"/>
  <c r="D26" i="2"/>
  <c r="E29" i="2"/>
  <c r="N42" i="2"/>
  <c r="C21" i="2"/>
  <c r="B24" i="2"/>
  <c r="C24" i="2" s="1"/>
  <c r="K35" i="2"/>
  <c r="E41" i="2"/>
  <c r="M45" i="2"/>
  <c r="E44" i="2"/>
  <c r="M47" i="2"/>
  <c r="E36" i="2"/>
  <c r="M41" i="2"/>
  <c r="E40" i="2"/>
  <c r="P25" i="1"/>
  <c r="Q25" i="1" s="1"/>
  <c r="Q22" i="1"/>
  <c r="O30" i="1"/>
  <c r="N35" i="1"/>
  <c r="B25" i="1"/>
  <c r="C25" i="1" s="1"/>
  <c r="C22" i="1"/>
  <c r="N21" i="2"/>
  <c r="E58" i="1"/>
  <c r="J11" i="1"/>
  <c r="K11" i="1" s="1"/>
  <c r="K9" i="1"/>
  <c r="K34" i="2"/>
  <c r="K30" i="2"/>
  <c r="K46" i="2"/>
  <c r="K36" i="2"/>
  <c r="K32" i="2"/>
  <c r="N31" i="2"/>
  <c r="F47" i="2"/>
  <c r="E46" i="2"/>
  <c r="M39" i="2"/>
  <c r="K38" i="2"/>
  <c r="M49" i="1"/>
  <c r="M58" i="1"/>
  <c r="C56" i="1"/>
  <c r="C51" i="1"/>
  <c r="C43" i="1"/>
  <c r="C40" i="1"/>
  <c r="C44" i="1"/>
  <c r="C49" i="1"/>
  <c r="C45" i="1"/>
  <c r="C50" i="1"/>
  <c r="C48" i="1"/>
  <c r="K21" i="2"/>
  <c r="J24" i="2"/>
  <c r="K24" i="2" s="1"/>
  <c r="K45" i="2"/>
  <c r="E38" i="2"/>
  <c r="K42" i="2"/>
  <c r="N35" i="2"/>
  <c r="M35" i="2"/>
  <c r="M31" i="2"/>
  <c r="M46" i="2"/>
  <c r="M29" i="2"/>
  <c r="M33" i="2"/>
  <c r="E22" i="1"/>
  <c r="D25" i="1"/>
  <c r="E25" i="1" s="1"/>
  <c r="E47" i="2"/>
  <c r="N36" i="2"/>
  <c r="N3" i="2"/>
  <c r="O19" i="2" s="1"/>
  <c r="G20" i="2"/>
  <c r="K16" i="1"/>
  <c r="J22" i="1"/>
  <c r="G50" i="1"/>
  <c r="G47" i="1"/>
  <c r="G45" i="1"/>
  <c r="F37" i="1"/>
  <c r="G48" i="1"/>
  <c r="G46" i="1"/>
  <c r="G57" i="1"/>
  <c r="E55" i="1"/>
  <c r="E50" i="1"/>
  <c r="E48" i="1"/>
  <c r="E49" i="1"/>
  <c r="E40" i="1"/>
  <c r="E46" i="1"/>
  <c r="E54" i="1"/>
  <c r="E53" i="1"/>
  <c r="G58" i="1"/>
  <c r="N39" i="2"/>
  <c r="N32" i="2"/>
  <c r="K31" i="2"/>
  <c r="G21" i="2"/>
  <c r="F24" i="2"/>
  <c r="G24" i="2" s="1"/>
  <c r="E42" i="2"/>
  <c r="M34" i="2"/>
  <c r="C37" i="2"/>
  <c r="C34" i="2"/>
  <c r="C30" i="2"/>
  <c r="C32" i="2"/>
  <c r="C36" i="2"/>
  <c r="H26" i="2"/>
  <c r="G40" i="1"/>
  <c r="G5" i="2"/>
  <c r="K44" i="2"/>
  <c r="N38" i="2"/>
  <c r="I37" i="1"/>
  <c r="L24" i="2"/>
  <c r="M24" i="2" s="1"/>
  <c r="M21" i="2"/>
  <c r="N8" i="2"/>
  <c r="F10" i="2"/>
  <c r="G10" i="2" s="1"/>
  <c r="G8" i="2"/>
  <c r="K33" i="2"/>
  <c r="E34" i="2"/>
  <c r="E30" i="2"/>
  <c r="N44" i="2"/>
  <c r="E32" i="2"/>
  <c r="K39" i="2"/>
  <c r="K40" i="2"/>
  <c r="K47" i="2"/>
  <c r="C42" i="2"/>
  <c r="M55" i="1"/>
  <c r="M50" i="1"/>
  <c r="M46" i="1"/>
  <c r="L37" i="1"/>
  <c r="M43" i="1"/>
  <c r="M40" i="1"/>
  <c r="M48" i="1"/>
  <c r="M53" i="1"/>
  <c r="M47" i="1"/>
  <c r="M42" i="1"/>
  <c r="E41" i="1"/>
  <c r="E42" i="1"/>
  <c r="Q57" i="1"/>
  <c r="Q49" i="1"/>
  <c r="Q51" i="1"/>
  <c r="Q50" i="1"/>
  <c r="Q46" i="1"/>
  <c r="J7" i="1"/>
  <c r="E47" i="1"/>
  <c r="J13" i="1" l="1"/>
  <c r="K42" i="1" s="1"/>
  <c r="D37" i="1"/>
  <c r="B37" i="1"/>
  <c r="T36" i="3"/>
  <c r="T60" i="3" s="1"/>
  <c r="U60" i="3" s="1"/>
  <c r="Y45" i="3"/>
  <c r="X36" i="3"/>
  <c r="Y43" i="3"/>
  <c r="Y57" i="3"/>
  <c r="Y51" i="3"/>
  <c r="Y48" i="3"/>
  <c r="Y53" i="3"/>
  <c r="Y56" i="3"/>
  <c r="Y55" i="3"/>
  <c r="Y54" i="3"/>
  <c r="Y41" i="3"/>
  <c r="Y40" i="3"/>
  <c r="Y46" i="3"/>
  <c r="Y42" i="3"/>
  <c r="Y52" i="3"/>
  <c r="Y50" i="3"/>
  <c r="Y44" i="3"/>
  <c r="Y49" i="3"/>
  <c r="Y39" i="3"/>
  <c r="Y47" i="3"/>
  <c r="Y58" i="3"/>
  <c r="P60" i="3"/>
  <c r="Q36" i="3"/>
  <c r="U36" i="3"/>
  <c r="W49" i="3"/>
  <c r="W39" i="3"/>
  <c r="W57" i="3"/>
  <c r="W51" i="3"/>
  <c r="W48" i="3"/>
  <c r="V36" i="3"/>
  <c r="W47" i="3"/>
  <c r="W43" i="3"/>
  <c r="W56" i="3"/>
  <c r="W55" i="3"/>
  <c r="W54" i="3"/>
  <c r="W41" i="3"/>
  <c r="W40" i="3"/>
  <c r="W46" i="3"/>
  <c r="W42" i="3"/>
  <c r="W52" i="3"/>
  <c r="W50" i="3"/>
  <c r="W44" i="3"/>
  <c r="W45" i="3"/>
  <c r="W53" i="3"/>
  <c r="AA9" i="3"/>
  <c r="Z11" i="3"/>
  <c r="S36" i="3"/>
  <c r="R60" i="3"/>
  <c r="S60" i="3" s="1"/>
  <c r="O8" i="2"/>
  <c r="N10" i="2"/>
  <c r="O10" i="2" s="1"/>
  <c r="D60" i="1"/>
  <c r="E60" i="1" s="1"/>
  <c r="E37" i="1"/>
  <c r="J25" i="1"/>
  <c r="K25" i="1" s="1"/>
  <c r="K22" i="1"/>
  <c r="B60" i="1"/>
  <c r="C60" i="1" s="1"/>
  <c r="C37" i="1"/>
  <c r="O16" i="2"/>
  <c r="P37" i="1"/>
  <c r="N47" i="2"/>
  <c r="O35" i="1"/>
  <c r="N37" i="1"/>
  <c r="J26" i="2"/>
  <c r="B26" i="2"/>
  <c r="D49" i="2"/>
  <c r="E49" i="2" s="1"/>
  <c r="E26" i="2"/>
  <c r="I26" i="2"/>
  <c r="H49" i="2"/>
  <c r="I49" i="2" s="1"/>
  <c r="O20" i="2"/>
  <c r="O18" i="2"/>
  <c r="N6" i="2"/>
  <c r="N12" i="2" s="1"/>
  <c r="O31" i="2" s="1"/>
  <c r="K48" i="1"/>
  <c r="F60" i="1"/>
  <c r="G60" i="1" s="1"/>
  <c r="G37" i="1"/>
  <c r="L60" i="1"/>
  <c r="M60" i="1" s="1"/>
  <c r="M37" i="1"/>
  <c r="O17" i="2"/>
  <c r="O5" i="2"/>
  <c r="L26" i="2"/>
  <c r="O15" i="2"/>
  <c r="O21" i="2"/>
  <c r="N24" i="2"/>
  <c r="O24" i="2" s="1"/>
  <c r="K55" i="1"/>
  <c r="F12" i="2"/>
  <c r="G47" i="2" s="1"/>
  <c r="K40" i="1" l="1"/>
  <c r="K49" i="1"/>
  <c r="K57" i="1"/>
  <c r="K43" i="1"/>
  <c r="K54" i="1"/>
  <c r="K41" i="1"/>
  <c r="K46" i="1"/>
  <c r="K53" i="1"/>
  <c r="K47" i="1"/>
  <c r="K44" i="1"/>
  <c r="K51" i="1"/>
  <c r="K58" i="1"/>
  <c r="K52" i="1"/>
  <c r="K45" i="1"/>
  <c r="K56" i="1"/>
  <c r="K50" i="1"/>
  <c r="J37" i="1"/>
  <c r="W36" i="3"/>
  <c r="V60" i="3"/>
  <c r="W60" i="3" s="1"/>
  <c r="P61" i="3"/>
  <c r="Q60" i="3"/>
  <c r="AA51" i="3"/>
  <c r="AA48" i="3"/>
  <c r="AA53" i="3"/>
  <c r="AA47" i="3"/>
  <c r="AA43" i="3"/>
  <c r="AA56" i="3"/>
  <c r="AA55" i="3"/>
  <c r="AA54" i="3"/>
  <c r="AA46" i="3"/>
  <c r="AA42" i="3"/>
  <c r="AA41" i="3"/>
  <c r="AA52" i="3"/>
  <c r="AA50" i="3"/>
  <c r="AA44" i="3"/>
  <c r="AA40" i="3"/>
  <c r="AA49" i="3"/>
  <c r="AA45" i="3"/>
  <c r="AA39" i="3"/>
  <c r="Z36" i="3"/>
  <c r="AA57" i="3"/>
  <c r="AA58" i="3"/>
  <c r="X60" i="3"/>
  <c r="Y60" i="3" s="1"/>
  <c r="Y36" i="3"/>
  <c r="L49" i="2"/>
  <c r="M49" i="2" s="1"/>
  <c r="M26" i="2"/>
  <c r="B49" i="2"/>
  <c r="C49" i="2" s="1"/>
  <c r="C26" i="2"/>
  <c r="O32" i="2"/>
  <c r="N60" i="1"/>
  <c r="O60" i="1" s="1"/>
  <c r="O37" i="1"/>
  <c r="O39" i="2"/>
  <c r="O42" i="2"/>
  <c r="O47" i="2"/>
  <c r="F26" i="2"/>
  <c r="G37" i="2"/>
  <c r="G30" i="2"/>
  <c r="G46" i="2"/>
  <c r="G33" i="2"/>
  <c r="G41" i="2"/>
  <c r="G45" i="2"/>
  <c r="G34" i="2"/>
  <c r="G40" i="2"/>
  <c r="G29" i="2"/>
  <c r="G38" i="2"/>
  <c r="G44" i="2"/>
  <c r="G36" i="2"/>
  <c r="G39" i="2"/>
  <c r="G35" i="2"/>
  <c r="G31" i="2"/>
  <c r="G32" i="2"/>
  <c r="G42" i="2"/>
  <c r="O36" i="2"/>
  <c r="K37" i="1"/>
  <c r="J60" i="1"/>
  <c r="K60" i="1" s="1"/>
  <c r="J49" i="2"/>
  <c r="K49" i="2" s="1"/>
  <c r="K26" i="2"/>
  <c r="Q37" i="1"/>
  <c r="P60" i="1"/>
  <c r="Q60" i="1" s="1"/>
  <c r="N26" i="2"/>
  <c r="O30" i="2"/>
  <c r="O37" i="2"/>
  <c r="O33" i="2"/>
  <c r="O29" i="2"/>
  <c r="O40" i="2"/>
  <c r="O45" i="2"/>
  <c r="O34" i="2"/>
  <c r="O41" i="2"/>
  <c r="O46" i="2"/>
  <c r="O38" i="2"/>
  <c r="O35" i="2"/>
  <c r="O44" i="2"/>
  <c r="AA36" i="3" l="1"/>
  <c r="Z60" i="3"/>
  <c r="AA60" i="3" s="1"/>
  <c r="N49" i="2"/>
  <c r="O49" i="2" s="1"/>
  <c r="O26" i="2"/>
  <c r="F49" i="2"/>
  <c r="G49" i="2" s="1"/>
  <c r="G26" i="2"/>
  <c r="O20" i="3"/>
  <c r="N20" i="3"/>
  <c r="O29" i="3"/>
  <c r="N29" i="3"/>
</calcChain>
</file>

<file path=xl/comments1.xml><?xml version="1.0" encoding="utf-8"?>
<comments xmlns="http://schemas.openxmlformats.org/spreadsheetml/2006/main">
  <authors>
    <author>tc={93ACD75A-DC3A-4AA1-9C0D-BF0C57CDA2CF}</author>
    <author>tc={011F8DCD-BB78-477B-9E9F-FB7B42B64FD6}</author>
    <author>tc={2E75EAE6-DEB5-42A5-A1D6-3A6710F447DA}</author>
    <author>tc={E5554395-16B2-4D95-9F81-2E0F9F1F99F3}</author>
    <author>tc={007F4825-AA8D-42D3-89B8-CBE9D603F01B}</author>
    <author>tc={33BD69AC-E69C-4FD8-8CD4-5CEDDB7A01CE}</author>
    <author>tc={7CAC205E-671A-4695-B970-D315CC52FDE7}</author>
    <author>tc={6257B058-E536-46DF-80B2-690484B65FAE}</author>
    <author>tc={FCBC6C31-6C34-41ED-8880-F6EF9D730879}</author>
    <author>tc={B3117C82-8C7D-4C0F-89C6-1031BCBFCDE2}</author>
    <author>tc={2B3D3334-F9CC-49A9-B555-BC85CBBF6103}</author>
    <author>tc={FFE38714-1CE5-4966-A8D9-070F01ACEEC0}</author>
    <author>tc={3AE1334C-B4C5-4F74-A342-0EEC002FF09C}</author>
    <author>tc={C5D98820-102A-4E29-9827-429A9F2DB20E}</author>
    <author>tc={CE4CFC60-95CD-4F75-A616-0C3AD57A6AAE}</author>
    <author>tc={615DF7DB-39FD-4848-844F-CD45A94BE19A}</author>
    <author>tc={1374CDAE-34B0-49CB-82F7-DFFED19088B9}</author>
    <author>tc={9132A1A1-DDCE-4501-97BA-60F9668EEB5A}</author>
    <author>tc={20863B43-4F47-429B-B991-B5238E4A8A5B}</author>
    <author>tc={DBEE8FC5-0A4E-4403-B6F4-BBBB04D1A99A}</author>
    <author>tc={DECCF58D-949E-4E45-8FE8-25255355924F}</author>
    <author>tc={4329D478-16E4-490B-BE86-FEABB78E490A}</author>
    <author>tc={3BB8F080-B148-41CF-BC59-2E9077A3BBD1}</author>
    <author>tc={20CA5BF5-28DE-406E-8907-69A67667B5E1}</author>
    <author>tc={F62A6C87-78AD-47FE-A34B-C8CA168FFEC3}</author>
    <author>tc={30DF3C13-52A3-43DE-B0F2-46C9B3BBDE7C}</author>
    <author>tc={9B61D221-3F28-4CFB-AD06-1E9512C00FD8}</author>
    <author>a</author>
    <author>tc={537DB3E5-2FA8-4B32-B6CD-888CD75367E0}</author>
    <author>tc={4426EE9F-BCF3-4909-A482-725018182F97}</author>
  </authors>
  <commentLis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J14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N14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R14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F15" authorId="4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Earlier was 650729, diff. 17311 </t>
        </r>
      </text>
    </comment>
    <comment ref="J15" authorId="5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Earlier was 650729, diff. 17311 </t>
        </r>
      </text>
    </comment>
    <comment ref="N15" authorId="6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Earlier was 650729, diff. 17311 </t>
        </r>
      </text>
    </comment>
    <comment ref="R15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F17" authorId="7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J17" authorId="8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N17" authorId="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R17" authorId="10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F18" authorId="1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J18" authorId="1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N18" authorId="1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R18" authorId="1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F19" authorId="15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J19" authorId="16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N26" authorId="17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R26" authorId="18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T42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V42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X42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Z42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AB42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F45" authorId="2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H45" authorId="21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519746 original, </t>
        </r>
      </text>
    </comment>
    <comment ref="P45" authorId="2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R45" authorId="2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T45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V45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X45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Z45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AB45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F48" authorId="2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Amount paid as per the Bank statement but it look like as CAM Charges</t>
        </r>
      </text>
    </comment>
    <comment ref="R48" authorId="2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Amount paid as per the Bank statement but it look like as CAM Charges</t>
        </r>
      </text>
    </comment>
    <comment ref="X51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Z51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AB51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F52" authorId="2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77274+ 63720 of Nestin</t>
        </r>
      </text>
    </comment>
    <comment ref="R52" authorId="29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77274+ 63720 of Nestin</t>
        </r>
      </text>
    </comment>
    <comment ref="X53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CA Fees = 20000+GST
ESI/PF = 6000</t>
        </r>
      </text>
    </comment>
    <comment ref="Z53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CA Fees = 20000+GST
ESI/PF = 6000
Liaseco Fees = 10000+GST</t>
        </r>
      </text>
    </comment>
    <comment ref="AB53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CA Fees = 20000+GST
ESI/PF = 6000
Liaseco Fees = 10000+GST</t>
        </r>
      </text>
    </comment>
    <comment ref="AA66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May + June Fees
</t>
        </r>
      </text>
    </comment>
    <comment ref="AC66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May + June Fees
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J38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Restaurant &amp; Nightlife award of Rs. 38,233
MG = 38232/2 =19151
New Marketing from Wishbox of Rs. 88,500
MG= 44250
Engati Accelerator</t>
        </r>
      </text>
    </comment>
    <comment ref="L38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Restaurant &amp; Nightlife award of Rs. 38,233
MG = 38232/2 =19151
New Marketing from Wishbox of Rs. 88,500
MG= 44250
Engati Accelerator</t>
        </r>
      </text>
    </comment>
    <comment ref="P38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Restaurant &amp; Nightlife award of Rs. 38,233
MG = 38232/2 =19151
New Marketing from Wishbox of Rs. 88,500
MG= 44250
Engati Accelerator</t>
        </r>
      </text>
    </comment>
  </commentList>
</comments>
</file>

<file path=xl/sharedStrings.xml><?xml version="1.0" encoding="utf-8"?>
<sst xmlns="http://schemas.openxmlformats.org/spreadsheetml/2006/main" count="287" uniqueCount="122">
  <si>
    <t>PARTICULARS</t>
  </si>
  <si>
    <t>DEC -24
(9.12.24 TO 31.12.24)</t>
  </si>
  <si>
    <t>%</t>
  </si>
  <si>
    <t>JAN-25
(01.01.25 TO 31.01.25)</t>
  </si>
  <si>
    <t>FEB-25
(01.02.25 TO 28.02.25)</t>
  </si>
  <si>
    <t>MAR-25
(01.03.25 TO 31.03.25)</t>
  </si>
  <si>
    <t>TOTAL</t>
  </si>
  <si>
    <t>SALES</t>
  </si>
  <si>
    <t>SALES CATERING</t>
  </si>
  <si>
    <t>SALES - DELIVERY</t>
  </si>
  <si>
    <t>DRINKS SALES</t>
  </si>
  <si>
    <t>SERVICE CHARGES</t>
  </si>
  <si>
    <t>TOTAL SALES AND SERVICE CHARGES</t>
  </si>
  <si>
    <t/>
  </si>
  <si>
    <t>LESS: DISCOUNT</t>
  </si>
  <si>
    <t>LESS: ADJUSTED ( NET OF GST)</t>
  </si>
  <si>
    <t>NET DISCOUNT</t>
  </si>
  <si>
    <t>NET SALE</t>
  </si>
  <si>
    <t>GROCERY [FCL]</t>
  </si>
  <si>
    <t>GROCERY IMPORTED [FCI]</t>
  </si>
  <si>
    <t>DAIRY [FCA]</t>
  </si>
  <si>
    <t>MEAT &amp; SEAFOOD [FCM]</t>
  </si>
  <si>
    <t>VEGETABLES [FCV]</t>
  </si>
  <si>
    <t>DRINKS [FCD]</t>
  </si>
  <si>
    <t>TOTAL FOOD COST</t>
  </si>
  <si>
    <t>ADD: OPENING INVENTORY</t>
  </si>
  <si>
    <t>LESS: CLOSING INVENTORY</t>
  </si>
  <si>
    <t>NET FOOD COST</t>
  </si>
  <si>
    <t>COST OF DRINKS SOLD</t>
  </si>
  <si>
    <t>DRINKS [FCD] - ALCO</t>
  </si>
  <si>
    <t>DRINKS [FCD]- NON ALCO</t>
  </si>
  <si>
    <t>TOTAL DRINKS COST</t>
  </si>
  <si>
    <t>ADD: OPENING INVENTORY (ALCO)</t>
  </si>
  <si>
    <t>ADD: OPENING INVENTORY (NON-ALCO)</t>
  </si>
  <si>
    <t>ADD: CLOSING INVENTORY (ALCO)</t>
  </si>
  <si>
    <t>ADD: CLOSING INVENTORY (NON-ALCO)</t>
  </si>
  <si>
    <t>NET DRINK COST</t>
  </si>
  <si>
    <t>GROSS PROFIT</t>
  </si>
  <si>
    <t xml:space="preserve">EXPENSES </t>
  </si>
  <si>
    <t>BANK CHARGES/CREDIT CARD CHARGES</t>
  </si>
  <si>
    <t>CONVEYANCE/TRASNPORT [T]</t>
  </si>
  <si>
    <t>STAFF SALARIES (HR COST) [SS]</t>
  </si>
  <si>
    <t>ESIC &amp; EPF - EMPLOYER</t>
  </si>
  <si>
    <t>STAFF WELFARE</t>
  </si>
  <si>
    <t>SERVICE CHARGE [SC]</t>
  </si>
  <si>
    <t>RENT</t>
  </si>
  <si>
    <t>RENT- OTHER/CAM CHARGES</t>
  </si>
  <si>
    <t>ELECTRICITY</t>
  </si>
  <si>
    <t>MARKETING [MK]</t>
  </si>
  <si>
    <t>PACKAGING[P]</t>
  </si>
  <si>
    <t>ACCOUNTANT/CA/ESI CONS</t>
  </si>
  <si>
    <t>MAINTAINENCE [M]</t>
  </si>
  <si>
    <t>GAS</t>
  </si>
  <si>
    <t>PHONE/Wi-FI/KNOWLARITY</t>
  </si>
  <si>
    <t>CATERING EXPENSES [C]</t>
  </si>
  <si>
    <t>ONLINE DELIVERY PARTNER [ODP]</t>
  </si>
  <si>
    <t>LICENSE FEES</t>
  </si>
  <si>
    <t>TOTAL NON OPERATING COST</t>
  </si>
  <si>
    <t>NET PROFIT</t>
  </si>
  <si>
    <t>Bar Equipment (Pre Opr.)</t>
  </si>
  <si>
    <t>Uniform (Pre-Opr.)</t>
  </si>
  <si>
    <t>Bar Trial (Pre Opr.)</t>
  </si>
  <si>
    <t>Kitchnen Equipments</t>
  </si>
  <si>
    <t>Uniform</t>
  </si>
  <si>
    <t>CCG (Pre-Opr.)</t>
  </si>
  <si>
    <t>Bar Equipment  (Pre-Opr.)</t>
  </si>
  <si>
    <t>DVAT Amendment</t>
  </si>
  <si>
    <t>Electrical (Pre Opr.)</t>
  </si>
  <si>
    <t>Furniture (Pre-Opr.)</t>
  </si>
  <si>
    <t>Painting (Pre Opr.)</t>
  </si>
  <si>
    <t>R.O (Pre-Opr.)</t>
  </si>
  <si>
    <t>Kitchen Equipments</t>
  </si>
  <si>
    <t>Kitchen Equipment</t>
  </si>
  <si>
    <t>FSSAI License</t>
  </si>
  <si>
    <t>PPL License</t>
  </si>
  <si>
    <t>License Fees (Pre-Operating)</t>
  </si>
  <si>
    <t>POS</t>
  </si>
  <si>
    <t>Excise Licenses</t>
  </si>
  <si>
    <t>Electrical (Pre-Opr.)</t>
  </si>
  <si>
    <t>Furniture</t>
  </si>
  <si>
    <t>Signage</t>
  </si>
  <si>
    <t>Laptop</t>
  </si>
  <si>
    <t>Mar-25
(01.03.25 TO 31.03.25)</t>
  </si>
  <si>
    <t>Renovations -B</t>
  </si>
  <si>
    <t>ESI/EPF Reg. Fees</t>
  </si>
  <si>
    <t>CCG</t>
  </si>
  <si>
    <t>Shop Act License</t>
  </si>
  <si>
    <t>Licenses</t>
  </si>
  <si>
    <t>Furniture - B</t>
  </si>
  <si>
    <t xml:space="preserve">Stamp Duty </t>
  </si>
  <si>
    <t xml:space="preserve">Vehicle </t>
  </si>
  <si>
    <t>PPl</t>
  </si>
  <si>
    <t xml:space="preserve">Prof fees </t>
  </si>
  <si>
    <t>Mukun</t>
  </si>
  <si>
    <t xml:space="preserve">Fire </t>
  </si>
  <si>
    <t>Bar Trial</t>
  </si>
  <si>
    <t>Till Feb-23</t>
  </si>
  <si>
    <t xml:space="preserve">SERVICE CHARGE </t>
  </si>
  <si>
    <t>COST OF FOOD SOLD</t>
  </si>
  <si>
    <t>DRINKS [FCD] - ALCO (Vendor Credits)</t>
  </si>
  <si>
    <t>DRINKS [FCD] - NON ALCO</t>
  </si>
  <si>
    <t>TRASNPORT [T]</t>
  </si>
  <si>
    <t>STAFF SALARIES [SS]</t>
  </si>
  <si>
    <t>EMPLOYER'S CONTRIBUTION - ESI + PF</t>
  </si>
  <si>
    <t>DIWALI BONUS</t>
  </si>
  <si>
    <t>CAM CHARGES</t>
  </si>
  <si>
    <t>CATERING EXPENSES</t>
  </si>
  <si>
    <t>MARKETING [MKT]</t>
  </si>
  <si>
    <t>PROFESSIONAL CHARGES (CA/CS/ETC.)</t>
  </si>
  <si>
    <t>WIFI/PHONE  EXPENSES</t>
  </si>
  <si>
    <t>FUEL[F]</t>
  </si>
  <si>
    <t>Refund</t>
  </si>
  <si>
    <t>FSSAI</t>
  </si>
  <si>
    <t>Tiles</t>
  </si>
  <si>
    <t>Electrical Fittings</t>
  </si>
  <si>
    <t>KITCHEN EQUIPMENT</t>
  </si>
  <si>
    <t>BAR EQUIPMENT</t>
  </si>
  <si>
    <t>Permit Fee</t>
  </si>
  <si>
    <t>Excise Fees</t>
  </si>
  <si>
    <t>Maintenance - B</t>
  </si>
  <si>
    <t>LIQUOR PERMIT FEE</t>
  </si>
  <si>
    <t>DISBURSEMENT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</si>
</sst>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 * #,##0_ ;_ * \-#,##0_ ;_ * &quot;-&quot;??_ ;_ @_ "/>
    <numFmt numFmtId="165" formatCode="#,##0;\(#,##0\)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2">
    <xf numFmtId="0" fontId="0" fillId="0" borderId="0" xfId="0"/>
    <xf numFmtId="10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17" fontId="3" fillId="3" borderId="1" xfId="0" applyNumberFormat="1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0" fillId="0" borderId="2" xfId="0" applyBorder="1"/>
    <xf numFmtId="164" fontId="0" fillId="0" borderId="2" xfId="1" applyNumberFormat="1" applyFont="1" applyBorder="1"/>
    <xf numFmtId="10" fontId="0" fillId="4" borderId="2" xfId="1" applyNumberFormat="1" applyFont="1" applyFill="1" applyBorder="1"/>
    <xf numFmtId="10" fontId="0" fillId="4" borderId="2" xfId="2" applyNumberFormat="1" applyFont="1" applyFill="1" applyBorder="1"/>
    <xf numFmtId="0" fontId="3" fillId="2" borderId="1" xfId="0" applyFont="1" applyFill="1" applyBorder="1"/>
    <xf numFmtId="164" fontId="3" fillId="3" borderId="1" xfId="1" applyNumberFormat="1" applyFont="1" applyFill="1" applyBorder="1"/>
    <xf numFmtId="10" fontId="3" fillId="3" borderId="1" xfId="1" applyNumberFormat="1" applyFont="1" applyFill="1" applyBorder="1"/>
    <xf numFmtId="164" fontId="0" fillId="0" borderId="2" xfId="1" applyNumberFormat="1" applyFont="1" applyFill="1" applyBorder="1"/>
    <xf numFmtId="164" fontId="0" fillId="0" borderId="3" xfId="1" applyNumberFormat="1" applyFont="1" applyBorder="1"/>
    <xf numFmtId="43" fontId="0" fillId="0" borderId="2" xfId="1" applyFont="1" applyBorder="1"/>
    <xf numFmtId="43" fontId="0" fillId="0" borderId="2" xfId="0" applyNumberFormat="1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5" borderId="2" xfId="0" applyFont="1" applyFill="1" applyBorder="1"/>
    <xf numFmtId="164" fontId="3" fillId="5" borderId="2" xfId="1" applyNumberFormat="1" applyFont="1" applyFill="1" applyBorder="1"/>
    <xf numFmtId="10" fontId="3" fillId="5" borderId="2" xfId="2" applyNumberFormat="1" applyFont="1" applyFill="1" applyBorder="1"/>
    <xf numFmtId="164" fontId="3" fillId="0" borderId="2" xfId="1" applyNumberFormat="1" applyFont="1" applyFill="1" applyBorder="1"/>
    <xf numFmtId="0" fontId="4" fillId="0" borderId="2" xfId="0" applyFont="1" applyBorder="1"/>
    <xf numFmtId="0" fontId="5" fillId="0" borderId="0" xfId="0" applyFont="1"/>
    <xf numFmtId="10" fontId="3" fillId="3" borderId="1" xfId="2" applyNumberFormat="1" applyFont="1" applyFill="1" applyBorder="1"/>
    <xf numFmtId="164" fontId="0" fillId="6" borderId="2" xfId="1" applyNumberFormat="1" applyFont="1" applyFill="1" applyBorder="1"/>
    <xf numFmtId="164" fontId="3" fillId="5" borderId="2" xfId="2" applyNumberFormat="1" applyFont="1" applyFill="1" applyBorder="1"/>
    <xf numFmtId="10" fontId="3" fillId="0" borderId="2" xfId="1" applyNumberFormat="1" applyFont="1" applyFill="1" applyBorder="1"/>
    <xf numFmtId="165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0" fontId="0" fillId="0" borderId="0" xfId="0" applyAlignment="1">
      <alignment horizontal="center" wrapText="1"/>
    </xf>
    <xf numFmtId="165" fontId="0" fillId="0" borderId="0" xfId="0" applyNumberFormat="1" applyAlignment="1">
      <alignment wrapText="1"/>
    </xf>
    <xf numFmtId="164" fontId="0" fillId="0" borderId="0" xfId="0" applyNumberFormat="1"/>
    <xf numFmtId="0" fontId="3" fillId="2" borderId="1" xfId="0" applyFont="1" applyFill="1" applyBorder="1" applyAlignment="1">
      <alignment horizontal="center"/>
    </xf>
    <xf numFmtId="17" fontId="3" fillId="3" borderId="1" xfId="0" applyNumberFormat="1" applyFont="1" applyFill="1" applyBorder="1" applyAlignment="1">
      <alignment horizontal="center"/>
    </xf>
    <xf numFmtId="10" fontId="3" fillId="3" borderId="1" xfId="0" applyNumberFormat="1" applyFont="1" applyFill="1" applyBorder="1" applyAlignment="1">
      <alignment horizontal="center"/>
    </xf>
    <xf numFmtId="10" fontId="0" fillId="0" borderId="2" xfId="2" applyNumberFormat="1" applyFont="1" applyBorder="1"/>
    <xf numFmtId="0" fontId="3" fillId="2" borderId="1" xfId="0" applyFont="1" applyFill="1" applyBorder="1" applyAlignment="1" applyProtection="1">
      <alignment horizontal="center" vertical="center"/>
      <protection locked="0"/>
    </xf>
    <xf numFmtId="17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2" fillId="0" borderId="0" xfId="0" applyFont="1"/>
    <xf numFmtId="10" fontId="3" fillId="4" borderId="2" xfId="2" applyNumberFormat="1" applyFont="1" applyFill="1" applyBorder="1"/>
    <xf numFmtId="164" fontId="3" fillId="0" borderId="2" xfId="1" applyNumberFormat="1" applyFont="1" applyBorder="1"/>
    <xf numFmtId="10" fontId="4" fillId="4" borderId="2" xfId="2" applyNumberFormat="1" applyFont="1" applyFill="1" applyBorder="1"/>
    <xf numFmtId="10" fontId="0" fillId="4" borderId="2" xfId="1" quotePrefix="1" applyNumberFormat="1" applyFont="1" applyFill="1" applyBorder="1"/>
    <xf numFmtId="10" fontId="3" fillId="4" borderId="2" xfId="1" applyNumberFormat="1" applyFont="1" applyFill="1" applyBorder="1"/>
    <xf numFmtId="10" fontId="0" fillId="0" borderId="0" xfId="0" applyNumberFormat="1" applyAlignment="1">
      <alignment horizontal="center" vertical="center"/>
    </xf>
    <xf numFmtId="164" fontId="0" fillId="0" borderId="0" xfId="1" applyNumberFormat="1" applyFont="1"/>
    <xf numFmtId="164" fontId="0" fillId="0" borderId="0" xfId="1" applyNumberFormat="1" applyFont="1" applyFill="1" applyBorder="1" applyAlignment="1">
      <alignment horizontal="right" vertical="center"/>
    </xf>
    <xf numFmtId="10" fontId="0" fillId="0" borderId="2" xfId="1" applyNumberFormat="1" applyFont="1" applyBorder="1"/>
    <xf numFmtId="10" fontId="0" fillId="0" borderId="2" xfId="1" applyNumberFormat="1" applyFont="1" applyFill="1" applyBorder="1"/>
    <xf numFmtId="164" fontId="2" fillId="0" borderId="3" xfId="1" applyNumberFormat="1" applyFont="1" applyBorder="1"/>
    <xf numFmtId="10" fontId="3" fillId="0" borderId="1" xfId="1" applyNumberFormat="1" applyFont="1" applyFill="1" applyBorder="1"/>
    <xf numFmtId="164" fontId="1" fillId="0" borderId="2" xfId="1" applyNumberFormat="1" applyFont="1" applyBorder="1"/>
    <xf numFmtId="0" fontId="3" fillId="7" borderId="2" xfId="0" applyFont="1" applyFill="1" applyBorder="1"/>
    <xf numFmtId="164" fontId="3" fillId="7" borderId="2" xfId="1" applyNumberFormat="1" applyFont="1" applyFill="1" applyBorder="1"/>
    <xf numFmtId="10" fontId="3" fillId="7" borderId="2" xfId="2" applyNumberFormat="1" applyFont="1" applyFill="1" applyBorder="1"/>
    <xf numFmtId="164" fontId="1" fillId="7" borderId="2" xfId="1" applyNumberFormat="1" applyFont="1" applyFill="1" applyBorder="1"/>
    <xf numFmtId="10" fontId="0" fillId="7" borderId="2" xfId="2" applyNumberFormat="1" applyFont="1" applyFill="1" applyBorder="1"/>
    <xf numFmtId="10" fontId="3" fillId="0" borderId="2" xfId="2" applyNumberFormat="1" applyFont="1" applyFill="1" applyBorder="1"/>
    <xf numFmtId="10" fontId="0" fillId="0" borderId="2" xfId="2" applyNumberFormat="1" applyFont="1" applyFill="1" applyBorder="1"/>
    <xf numFmtId="164" fontId="4" fillId="0" borderId="2" xfId="1" applyNumberFormat="1" applyFont="1" applyFill="1" applyBorder="1"/>
    <xf numFmtId="10" fontId="4" fillId="0" borderId="2" xfId="2" applyNumberFormat="1" applyFont="1" applyFill="1" applyBorder="1"/>
    <xf numFmtId="164" fontId="1" fillId="0" borderId="2" xfId="1" applyNumberFormat="1" applyFont="1" applyFill="1" applyBorder="1"/>
    <xf numFmtId="1" fontId="3" fillId="0" borderId="2" xfId="2" applyNumberFormat="1" applyFont="1" applyFill="1" applyBorder="1"/>
    <xf numFmtId="164" fontId="5" fillId="0" borderId="2" xfId="1" applyNumberFormat="1" applyFont="1" applyFill="1" applyBorder="1"/>
    <xf numFmtId="10" fontId="3" fillId="7" borderId="2" xfId="1" applyNumberFormat="1" applyFont="1" applyFill="1" applyBorder="1"/>
    <xf numFmtId="1" fontId="3" fillId="7" borderId="2" xfId="1" applyNumberFormat="1" applyFont="1" applyFill="1" applyBorder="1"/>
    <xf numFmtId="10" fontId="3" fillId="7" borderId="2" xfId="1" quotePrefix="1" applyNumberFormat="1" applyFont="1" applyFill="1" applyBorder="1"/>
    <xf numFmtId="1" fontId="0" fillId="0" borderId="2" xfId="1" applyNumberFormat="1" applyFont="1" applyFill="1" applyBorder="1"/>
    <xf numFmtId="10" fontId="0" fillId="0" borderId="2" xfId="1" quotePrefix="1" applyNumberFormat="1" applyFont="1" applyFill="1" applyBorder="1"/>
    <xf numFmtId="43" fontId="0" fillId="0" borderId="2" xfId="1" applyFont="1" applyFill="1" applyBorder="1"/>
    <xf numFmtId="1" fontId="0" fillId="0" borderId="2" xfId="2" applyNumberFormat="1" applyFont="1" applyBorder="1"/>
    <xf numFmtId="164" fontId="2" fillId="0" borderId="2" xfId="1" applyNumberFormat="1" applyFont="1" applyFill="1" applyBorder="1"/>
    <xf numFmtId="164" fontId="4" fillId="0" borderId="2" xfId="1" applyNumberFormat="1" applyFont="1" applyBorder="1"/>
    <xf numFmtId="164" fontId="5" fillId="0" borderId="2" xfId="1" applyNumberFormat="1" applyFont="1" applyBorder="1"/>
    <xf numFmtId="164" fontId="3" fillId="7" borderId="2" xfId="2" applyNumberFormat="1" applyFont="1" applyFill="1" applyBorder="1"/>
    <xf numFmtId="1" fontId="0" fillId="0" borderId="0" xfId="0" applyNumberFormat="1"/>
    <xf numFmtId="164" fontId="0" fillId="0" borderId="0" xfId="1" applyNumberFormat="1" applyFont="1" applyFill="1" applyBorder="1" applyAlignment="1">
      <alignment horizontal="center" vertical="center"/>
    </xf>
    <xf numFmtId="10" fontId="0" fillId="0" borderId="0" xfId="2" applyNumberFormat="1" applyFont="1" applyFill="1" applyBorder="1"/>
    <xf numFmtId="164" fontId="0" fillId="0" borderId="0" xfId="1" applyNumberFormat="1" applyFont="1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 wrapText="1"/>
    </xf>
    <xf numFmtId="164" fontId="1" fillId="6" borderId="2" xfId="1" applyNumberFormat="1" applyFont="1" applyFill="1" applyBorder="1"/>
    <xf numFmtId="0" fontId="0" fillId="0" borderId="0" xfId="0" applyAlignment="1">
      <alignment horizontal="center" vertical="center"/>
    </xf>
    <xf numFmtId="0" fontId="3" fillId="3" borderId="0" xfId="0" applyFont="1" applyFill="1"/>
    <xf numFmtId="164" fontId="3" fillId="3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9"/>
  <sheetViews>
    <sheetView tabSelected="1" zoomScale="110" zoomScaleNormal="110" workbookViewId="0">
      <pane xSplit="17" ySplit="5" topLeftCell="X7" activePane="bottomRight" state="frozen"/>
      <selection activeCell="A4" sqref="A4"/>
      <selection pane="topRight" activeCell="A4" sqref="A4"/>
      <selection pane="bottomLeft" activeCell="A4" sqref="A4"/>
      <selection pane="bottomRight" activeCell="Y1" sqref="Y1"/>
    </sheetView>
  </sheetViews>
  <sheetFormatPr defaultRowHeight="15" x14ac:dyDescent="0.25"/>
  <cols>
    <col min="1" max="1" width="39.5703125" bestFit="1" customWidth="1"/>
    <col min="2" max="2" width="10.42578125" hidden="1" customWidth="1"/>
    <col min="3" max="3" width="7.85546875" hidden="1" customWidth="1"/>
    <col min="4" max="4" width="10.42578125" hidden="1" customWidth="1"/>
    <col min="5" max="5" width="7.28515625" hidden="1" customWidth="1"/>
    <col min="6" max="6" width="10.42578125" hidden="1" customWidth="1"/>
    <col min="7" max="7" width="7.7109375" hidden="1" customWidth="1"/>
    <col min="8" max="8" width="10.42578125" hidden="1" customWidth="1"/>
    <col min="9" max="9" width="7.7109375" hidden="1" customWidth="1"/>
    <col min="10" max="10" width="10.42578125" hidden="1" customWidth="1"/>
    <col min="11" max="11" width="7.7109375" hidden="1" customWidth="1"/>
    <col min="12" max="12" width="12" hidden="1" customWidth="1"/>
    <col min="13" max="13" width="7.7109375" hidden="1" customWidth="1"/>
    <col min="14" max="14" width="12" hidden="1" customWidth="1"/>
    <col min="15" max="15" width="7.28515625" hidden="1" customWidth="1"/>
    <col min="16" max="16" width="12" hidden="1" customWidth="1"/>
    <col min="17" max="17" width="7.28515625" hidden="1" customWidth="1"/>
    <col min="18" max="18" width="11.85546875" hidden="1" customWidth="1"/>
    <col min="19" max="19" width="7.140625" hidden="1" customWidth="1"/>
    <col min="20" max="20" width="14.5703125" hidden="1" customWidth="1"/>
    <col min="21" max="21" width="9.5703125" hidden="1" customWidth="1"/>
    <col min="22" max="22" width="13.7109375" hidden="1" customWidth="1"/>
    <col min="23" max="23" width="9.5703125" hidden="1" customWidth="1"/>
    <col min="24" max="24" width="12.85546875" bestFit="1" customWidth="1"/>
    <col min="25" max="25" width="10.28515625" bestFit="1" customWidth="1"/>
    <col min="26" max="26" width="12.42578125" bestFit="1" customWidth="1"/>
    <col min="27" max="27" width="12.28515625" bestFit="1" customWidth="1"/>
    <col min="28" max="28" width="12.42578125" bestFit="1" customWidth="1"/>
    <col min="29" max="29" width="12.28515625" bestFit="1" customWidth="1"/>
  </cols>
  <sheetData>
    <row r="1" spans="1:29" ht="15.75" thickBot="1" x14ac:dyDescent="0.3">
      <c r="A1" s="39" t="s">
        <v>0</v>
      </c>
      <c r="B1" s="40" t="s">
        <v>96</v>
      </c>
      <c r="C1" s="41" t="s">
        <v>2</v>
      </c>
      <c r="D1" s="40">
        <v>44986</v>
      </c>
      <c r="E1" s="41" t="s">
        <v>2</v>
      </c>
      <c r="F1" s="40">
        <v>45505</v>
      </c>
      <c r="G1" s="41" t="s">
        <v>2</v>
      </c>
      <c r="H1" s="40">
        <v>45536</v>
      </c>
      <c r="I1" s="41" t="s">
        <v>2</v>
      </c>
      <c r="J1" s="40">
        <v>45566</v>
      </c>
      <c r="K1" s="41"/>
      <c r="L1" s="40">
        <v>45597</v>
      </c>
      <c r="M1" s="41" t="s">
        <v>2</v>
      </c>
      <c r="N1" s="40">
        <v>45627</v>
      </c>
      <c r="O1" s="41" t="s">
        <v>2</v>
      </c>
      <c r="P1" s="40">
        <v>45658</v>
      </c>
      <c r="Q1" s="41" t="s">
        <v>2</v>
      </c>
      <c r="R1" s="40">
        <v>45689</v>
      </c>
      <c r="S1" s="41" t="s">
        <v>2</v>
      </c>
      <c r="T1" s="40">
        <v>45717</v>
      </c>
      <c r="U1" s="41" t="s">
        <v>2</v>
      </c>
      <c r="V1" s="40">
        <v>45748</v>
      </c>
      <c r="W1" s="41" t="s">
        <v>2</v>
      </c>
      <c r="X1" s="40">
        <v>45778</v>
      </c>
      <c r="Y1" s="41" t="s">
        <v>2</v>
      </c>
      <c r="Z1" s="40">
        <v>45809</v>
      </c>
      <c r="AA1" s="41" t="s">
        <v>2</v>
      </c>
      <c r="AB1" s="40">
        <v>45839</v>
      </c>
      <c r="AC1" s="41" t="s">
        <v>2</v>
      </c>
    </row>
    <row r="2" spans="1:29" x14ac:dyDescent="0.25">
      <c r="A2" s="8" t="s">
        <v>7</v>
      </c>
      <c r="B2" s="9">
        <f>1645684+625</f>
        <v>1646309</v>
      </c>
      <c r="C2" s="55"/>
      <c r="D2" s="9">
        <v>2880360</v>
      </c>
      <c r="E2" s="55"/>
      <c r="F2" s="9">
        <f>4422950+593720</f>
        <v>5016670</v>
      </c>
      <c r="G2" s="55"/>
      <c r="H2" s="9">
        <v>5531456</v>
      </c>
      <c r="I2" s="55"/>
      <c r="J2" s="9">
        <v>6052000</v>
      </c>
      <c r="K2" s="55"/>
      <c r="L2" s="9">
        <v>7164865</v>
      </c>
      <c r="M2" s="55"/>
      <c r="N2" s="9">
        <f>10115449.61-1325802.52+595607.5+97898.96</f>
        <v>9483153.5500000007</v>
      </c>
      <c r="O2" s="55"/>
      <c r="P2" s="9">
        <f>9933568.42-1218022.41+590116+39336.32</f>
        <v>9344998.3300000001</v>
      </c>
      <c r="Q2" s="55"/>
      <c r="R2" s="9">
        <v>7570256.8600000003</v>
      </c>
      <c r="S2" s="10"/>
      <c r="T2" s="9">
        <v>7593360</v>
      </c>
      <c r="U2" s="10"/>
      <c r="V2" s="9">
        <v>7195835</v>
      </c>
      <c r="W2" s="10"/>
      <c r="X2" s="9">
        <v>7916164.2000000002</v>
      </c>
      <c r="Y2" s="10"/>
      <c r="Z2" s="9">
        <v>8255576.2999999998</v>
      </c>
      <c r="AA2" s="10"/>
      <c r="AB2" s="9">
        <v>8457741</v>
      </c>
      <c r="AC2" s="10"/>
    </row>
    <row r="3" spans="1:29" x14ac:dyDescent="0.25">
      <c r="A3" s="8" t="s">
        <v>10</v>
      </c>
      <c r="B3" s="15"/>
      <c r="C3" s="56"/>
      <c r="D3" s="15"/>
      <c r="E3" s="56"/>
      <c r="F3" s="15"/>
      <c r="G3" s="56"/>
      <c r="H3" s="15"/>
      <c r="I3" s="56"/>
      <c r="J3" s="15"/>
      <c r="K3" s="56"/>
      <c r="L3" s="15">
        <f>4233736+523133</f>
        <v>4756869</v>
      </c>
      <c r="M3" s="56"/>
      <c r="N3" s="15">
        <f>4632552.45</f>
        <v>4632552.45</v>
      </c>
      <c r="O3" s="56"/>
      <c r="P3" s="15">
        <v>4167526.67</v>
      </c>
      <c r="Q3" s="56"/>
      <c r="R3" s="15">
        <v>3281338</v>
      </c>
      <c r="S3" s="10"/>
      <c r="T3" s="15">
        <v>4970115</v>
      </c>
      <c r="U3" s="10"/>
      <c r="V3" s="15">
        <v>4535100</v>
      </c>
      <c r="W3" s="10"/>
      <c r="X3" s="15">
        <v>5090524.3</v>
      </c>
      <c r="Y3" s="10"/>
      <c r="Z3" s="15">
        <v>4866787.5999999996</v>
      </c>
      <c r="AA3" s="10"/>
      <c r="AB3" s="15">
        <v>5181477</v>
      </c>
      <c r="AC3" s="10"/>
    </row>
    <row r="4" spans="1:29" ht="15.75" thickBot="1" x14ac:dyDescent="0.3">
      <c r="A4" s="8" t="s">
        <v>97</v>
      </c>
      <c r="B4" s="9">
        <v>137192.56</v>
      </c>
      <c r="C4" s="55"/>
      <c r="D4" s="9">
        <v>213835.85</v>
      </c>
      <c r="E4" s="55"/>
      <c r="F4" s="9">
        <f>378924+6062</f>
        <v>384986</v>
      </c>
      <c r="G4" s="55"/>
      <c r="H4" s="9">
        <v>519746.33</v>
      </c>
      <c r="I4" s="55"/>
      <c r="J4" s="9">
        <v>576890.64</v>
      </c>
      <c r="K4" s="55"/>
      <c r="L4" s="9">
        <v>1164403</v>
      </c>
      <c r="M4" s="55"/>
      <c r="N4" s="9">
        <v>1325802.52</v>
      </c>
      <c r="O4" s="55"/>
      <c r="P4" s="9">
        <v>1218022.4099999997</v>
      </c>
      <c r="Q4" s="55"/>
      <c r="R4" s="9">
        <v>1010677</v>
      </c>
      <c r="S4" s="11">
        <f>R4/(R$3+R$2)</f>
        <v>9.313626365885172E-2</v>
      </c>
      <c r="T4" s="9">
        <v>1173454.2599999998</v>
      </c>
      <c r="U4" s="11">
        <f>T4/(T$3+T$2)</f>
        <v>9.340204521440125E-2</v>
      </c>
      <c r="V4" s="9">
        <v>1085893.03</v>
      </c>
      <c r="W4" s="11">
        <f>V4/(V$3+V$2)</f>
        <v>9.2566622353631667E-2</v>
      </c>
      <c r="X4" s="9">
        <v>1169938.21</v>
      </c>
      <c r="Y4" s="11">
        <f>X4/(X$3+X$2)</f>
        <v>8.9948968178948846E-2</v>
      </c>
      <c r="Z4" s="9">
        <v>1157406.3600000001</v>
      </c>
      <c r="AA4" s="11">
        <f>Z4/(Z$3+Z$2)</f>
        <v>8.8201056518482937E-2</v>
      </c>
      <c r="AB4" s="9">
        <v>1256015.8100000003</v>
      </c>
      <c r="AC4" s="11">
        <v>9.2088550091361562E-2</v>
      </c>
    </row>
    <row r="5" spans="1:29" ht="15.75" thickBot="1" x14ac:dyDescent="0.3">
      <c r="A5" s="12" t="s">
        <v>12</v>
      </c>
      <c r="B5" s="13">
        <f>SUM(B2:B4)</f>
        <v>1783501.56</v>
      </c>
      <c r="C5" s="14"/>
      <c r="D5" s="13">
        <f>SUM(D2:D4)</f>
        <v>3094195.85</v>
      </c>
      <c r="E5" s="14"/>
      <c r="F5" s="13">
        <f>SUM(F2:F4)</f>
        <v>5401656</v>
      </c>
      <c r="G5" s="14"/>
      <c r="H5" s="13">
        <f>SUM(H2:H4)</f>
        <v>6051202.3300000001</v>
      </c>
      <c r="I5" s="14"/>
      <c r="J5" s="13">
        <f>SUM(J2:J4)</f>
        <v>6628890.6399999997</v>
      </c>
      <c r="K5" s="14"/>
      <c r="L5" s="13">
        <f>SUM(L2:L4)</f>
        <v>13086137</v>
      </c>
      <c r="M5" s="14"/>
      <c r="N5" s="13">
        <f>SUM(N2:N4)</f>
        <v>15441508.52</v>
      </c>
      <c r="O5" s="14"/>
      <c r="P5" s="13">
        <f>SUM(P2:P4)</f>
        <v>14730547.41</v>
      </c>
      <c r="Q5" s="14"/>
      <c r="R5" s="13">
        <f>SUM(R2:R4)</f>
        <v>11862271.859999999</v>
      </c>
      <c r="S5" s="14"/>
      <c r="T5" s="13">
        <f>SUM(T2:T4)</f>
        <v>13736929.26</v>
      </c>
      <c r="U5" s="14"/>
      <c r="V5" s="13">
        <f>SUM(V2:V4)</f>
        <v>12816828.029999999</v>
      </c>
      <c r="W5" s="14"/>
      <c r="X5" s="13">
        <f>SUM(X2:X4)</f>
        <v>14176626.710000001</v>
      </c>
      <c r="Y5" s="14"/>
      <c r="Z5" s="13">
        <f>SUM(Z2:Z4)</f>
        <v>14279770.259999998</v>
      </c>
      <c r="AA5" s="14"/>
      <c r="AB5" s="13">
        <v>14895233.810000001</v>
      </c>
      <c r="AC5" s="14"/>
    </row>
    <row r="6" spans="1:29" x14ac:dyDescent="0.25">
      <c r="A6" s="8" t="s">
        <v>13</v>
      </c>
      <c r="B6" s="9"/>
      <c r="C6" s="55"/>
      <c r="D6" s="9"/>
      <c r="E6" s="55"/>
      <c r="F6" s="9"/>
      <c r="G6" s="55"/>
      <c r="H6" s="9"/>
      <c r="I6" s="55"/>
      <c r="J6" s="9"/>
      <c r="K6" s="55"/>
      <c r="L6" s="9"/>
      <c r="M6" s="55"/>
      <c r="N6" s="9"/>
      <c r="O6" s="55"/>
      <c r="P6" s="9"/>
      <c r="Q6" s="55"/>
      <c r="R6" s="9"/>
      <c r="S6" s="10"/>
      <c r="T6" s="9"/>
      <c r="U6" s="10"/>
      <c r="V6" s="9"/>
      <c r="W6" s="10"/>
      <c r="X6" s="9"/>
      <c r="Y6" s="10"/>
      <c r="Z6" s="9"/>
      <c r="AA6" s="10"/>
      <c r="AB6" s="9"/>
      <c r="AC6" s="10"/>
    </row>
    <row r="7" spans="1:29" x14ac:dyDescent="0.25">
      <c r="A7" s="8" t="s">
        <v>14</v>
      </c>
      <c r="B7" s="9">
        <v>242093.5</v>
      </c>
      <c r="C7" s="55"/>
      <c r="D7" s="9">
        <v>563590.23</v>
      </c>
      <c r="E7" s="55"/>
      <c r="F7" s="9">
        <v>606831</v>
      </c>
      <c r="G7" s="55"/>
      <c r="H7" s="9">
        <v>280921.5</v>
      </c>
      <c r="I7" s="55"/>
      <c r="J7" s="9">
        <v>203770</v>
      </c>
      <c r="K7" s="55"/>
      <c r="L7" s="9">
        <v>533185</v>
      </c>
      <c r="M7" s="55"/>
      <c r="N7" s="9">
        <v>595607.5</v>
      </c>
      <c r="O7" s="55"/>
      <c r="P7" s="9">
        <v>590116</v>
      </c>
      <c r="Q7" s="55"/>
      <c r="R7" s="9">
        <v>479981.75</v>
      </c>
      <c r="S7" s="11">
        <f>R7/(R$3+R$2)</f>
        <v>4.4231447652847596E-2</v>
      </c>
      <c r="T7" s="9">
        <v>449860.75</v>
      </c>
      <c r="U7" s="11">
        <f>T7/(T$3+T$2)</f>
        <v>3.5807031892052157E-2</v>
      </c>
      <c r="V7" s="9">
        <v>322356.52</v>
      </c>
      <c r="W7" s="11">
        <f>V7/(V$3+V$2)</f>
        <v>2.7479183884319539E-2</v>
      </c>
      <c r="X7" s="9">
        <v>583011.57999999996</v>
      </c>
      <c r="Y7" s="11">
        <f>X7/(X$3+X$2)</f>
        <v>4.4823982676297655E-2</v>
      </c>
      <c r="Z7" s="9">
        <v>756429.33000000007</v>
      </c>
      <c r="AA7" s="11">
        <f>Z7/(Z$3+Z$2)</f>
        <v>5.76442884654342E-2</v>
      </c>
      <c r="AB7" s="9">
        <v>422244.25</v>
      </c>
      <c r="AC7" s="11">
        <v>3.0958098184221412E-2</v>
      </c>
    </row>
    <row r="8" spans="1:29" x14ac:dyDescent="0.25">
      <c r="A8" s="8" t="s">
        <v>15</v>
      </c>
      <c r="B8" s="16">
        <f>145500/1.05</f>
        <v>138571.42857142858</v>
      </c>
      <c r="C8" s="55"/>
      <c r="D8" s="57">
        <f>591871/1.05</f>
        <v>563686.66666666663</v>
      </c>
      <c r="E8" s="55"/>
      <c r="F8" s="16">
        <v>0</v>
      </c>
      <c r="G8" s="55"/>
      <c r="H8" s="16">
        <v>0</v>
      </c>
      <c r="I8" s="55"/>
      <c r="J8" s="16">
        <v>0</v>
      </c>
      <c r="K8" s="55"/>
      <c r="L8" s="16">
        <v>0</v>
      </c>
      <c r="M8" s="55"/>
      <c r="N8" s="16">
        <v>0</v>
      </c>
      <c r="O8" s="55"/>
      <c r="P8" s="16">
        <v>0</v>
      </c>
      <c r="Q8" s="55"/>
      <c r="R8" s="16">
        <v>0</v>
      </c>
      <c r="S8" s="11"/>
      <c r="T8" s="16">
        <f>F8+H8+J8+L8+N8+P8+R8</f>
        <v>0</v>
      </c>
      <c r="U8" s="11"/>
      <c r="V8" s="16">
        <f>H8+J8+L8+N8+P8+R8+T8</f>
        <v>0</v>
      </c>
      <c r="W8" s="11"/>
      <c r="X8" s="16">
        <f>J8+L8+N8+P8+R8+T8+V8</f>
        <v>0</v>
      </c>
      <c r="Y8" s="11"/>
      <c r="Z8" s="16">
        <f>L8+N8+P8+R8+T8+V8+X8</f>
        <v>0</v>
      </c>
      <c r="AA8" s="11"/>
      <c r="AB8" s="16">
        <v>0</v>
      </c>
      <c r="AC8" s="11"/>
    </row>
    <row r="9" spans="1:29" x14ac:dyDescent="0.25">
      <c r="A9" s="8" t="s">
        <v>16</v>
      </c>
      <c r="B9" s="9">
        <f>B7-B8</f>
        <v>103522.07142857142</v>
      </c>
      <c r="C9" s="55"/>
      <c r="D9" s="9">
        <f>D7-D8</f>
        <v>-96.436666666646488</v>
      </c>
      <c r="E9" s="55"/>
      <c r="F9" s="9">
        <f>F7-F8</f>
        <v>606831</v>
      </c>
      <c r="G9" s="55"/>
      <c r="H9" s="9">
        <f>H7-H8</f>
        <v>280921.5</v>
      </c>
      <c r="I9" s="55"/>
      <c r="J9" s="9">
        <f>J7-J8</f>
        <v>203770</v>
      </c>
      <c r="K9" s="55"/>
      <c r="L9" s="9">
        <f>L7-L8</f>
        <v>533185</v>
      </c>
      <c r="M9" s="55"/>
      <c r="N9" s="9">
        <f>N7-N8</f>
        <v>595607.5</v>
      </c>
      <c r="O9" s="55"/>
      <c r="P9" s="9">
        <f>P7-P8</f>
        <v>590116</v>
      </c>
      <c r="Q9" s="55"/>
      <c r="R9" s="9">
        <f>R7-R8</f>
        <v>479981.75</v>
      </c>
      <c r="S9" s="11">
        <f>R9/(R$3+R$2)</f>
        <v>4.4231447652847596E-2</v>
      </c>
      <c r="T9" s="9">
        <f>T7-T8</f>
        <v>449860.75</v>
      </c>
      <c r="U9" s="11">
        <f>T9/(T$3+T$2)</f>
        <v>3.5807031892052157E-2</v>
      </c>
      <c r="V9" s="9">
        <f>V7-V8</f>
        <v>322356.52</v>
      </c>
      <c r="W9" s="11">
        <f>V9/(V$3+V$2)</f>
        <v>2.7479183884319539E-2</v>
      </c>
      <c r="X9" s="9">
        <f>X7-X8</f>
        <v>583011.57999999996</v>
      </c>
      <c r="Y9" s="11">
        <f>X9/(X$3+X$2)</f>
        <v>4.4823982676297655E-2</v>
      </c>
      <c r="Z9" s="9">
        <f>Z7-Z8</f>
        <v>756429.33000000007</v>
      </c>
      <c r="AA9" s="11">
        <f>Z9/(Z$3+Z$2)</f>
        <v>5.76442884654342E-2</v>
      </c>
      <c r="AB9" s="9">
        <v>422244.25</v>
      </c>
      <c r="AC9" s="11">
        <v>3.0958098184221412E-2</v>
      </c>
    </row>
    <row r="10" spans="1:29" ht="15.75" thickBot="1" x14ac:dyDescent="0.3">
      <c r="A10" s="8" t="s">
        <v>13</v>
      </c>
      <c r="B10" s="9"/>
      <c r="C10" s="55"/>
      <c r="D10" s="9"/>
      <c r="E10" s="55"/>
      <c r="F10" s="9"/>
      <c r="G10" s="55"/>
      <c r="H10" s="9"/>
      <c r="I10" s="55"/>
      <c r="J10" s="9"/>
      <c r="K10" s="55"/>
      <c r="L10" s="9"/>
      <c r="M10" s="55"/>
      <c r="N10" s="9"/>
      <c r="O10" s="55"/>
      <c r="P10" s="9"/>
      <c r="Q10" s="55"/>
      <c r="R10" s="9"/>
      <c r="S10" s="11"/>
      <c r="T10" s="9"/>
      <c r="U10" s="11"/>
      <c r="V10" s="9"/>
      <c r="W10" s="11"/>
      <c r="X10" s="9"/>
      <c r="Y10" s="11"/>
      <c r="Z10" s="9"/>
      <c r="AA10" s="11"/>
      <c r="AB10" s="9"/>
      <c r="AC10" s="11"/>
    </row>
    <row r="11" spans="1:29" ht="15.75" thickBot="1" x14ac:dyDescent="0.3">
      <c r="A11" s="12" t="s">
        <v>17</v>
      </c>
      <c r="B11" s="13">
        <f>+B5-B9</f>
        <v>1679979.4885714287</v>
      </c>
      <c r="C11" s="14"/>
      <c r="D11" s="13">
        <f>+D5-D9</f>
        <v>3094292.2866666666</v>
      </c>
      <c r="E11" s="14"/>
      <c r="F11" s="13">
        <f>+F5-F9</f>
        <v>4794825</v>
      </c>
      <c r="G11" s="14"/>
      <c r="H11" s="13">
        <f>+H5-H9</f>
        <v>5770280.8300000001</v>
      </c>
      <c r="I11" s="14"/>
      <c r="J11" s="13">
        <f>+J5-J9</f>
        <v>6425120.6399999997</v>
      </c>
      <c r="K11" s="14"/>
      <c r="L11" s="13">
        <f>+L5-L9</f>
        <v>12552952</v>
      </c>
      <c r="M11" s="14"/>
      <c r="N11" s="13">
        <f>+N5-N9</f>
        <v>14845901.02</v>
      </c>
      <c r="O11" s="14"/>
      <c r="P11" s="13">
        <f>+P5-P9</f>
        <v>14140431.41</v>
      </c>
      <c r="Q11" s="14"/>
      <c r="R11" s="13">
        <f>+R5-R9</f>
        <v>11382290.109999999</v>
      </c>
      <c r="S11" s="14"/>
      <c r="T11" s="13">
        <f>+T5-T9</f>
        <v>13287068.51</v>
      </c>
      <c r="U11" s="14"/>
      <c r="V11" s="13">
        <f>+V5-V9</f>
        <v>12494471.51</v>
      </c>
      <c r="W11" s="14"/>
      <c r="X11" s="13">
        <f>+X5-X9</f>
        <v>13593615.130000001</v>
      </c>
      <c r="Y11" s="14"/>
      <c r="Z11" s="13">
        <f>+Z5-Z9</f>
        <v>13523340.929999998</v>
      </c>
      <c r="AA11" s="14"/>
      <c r="AB11" s="13">
        <v>14472989.560000001</v>
      </c>
      <c r="AC11" s="14"/>
    </row>
    <row r="12" spans="1:29" ht="15.75" thickBot="1" x14ac:dyDescent="0.3">
      <c r="A12" t="s">
        <v>13</v>
      </c>
      <c r="B12" s="17"/>
      <c r="C12" s="55"/>
      <c r="D12" s="17"/>
      <c r="E12" s="55"/>
      <c r="F12" s="58"/>
      <c r="G12" s="58"/>
      <c r="H12" s="58"/>
      <c r="I12" s="55"/>
      <c r="J12" s="58"/>
      <c r="K12" s="55"/>
      <c r="L12" s="17"/>
      <c r="M12" s="55"/>
      <c r="N12" s="17"/>
      <c r="O12" s="55"/>
      <c r="P12" s="17"/>
      <c r="Q12" s="55"/>
      <c r="R12" s="17"/>
      <c r="S12" s="11"/>
      <c r="T12" s="18"/>
      <c r="U12" s="11"/>
      <c r="V12" s="18"/>
      <c r="W12" s="11"/>
      <c r="X12" s="18"/>
      <c r="Y12" s="11"/>
      <c r="Z12" s="18"/>
      <c r="AA12" s="11"/>
      <c r="AB12" s="18"/>
      <c r="AC12" s="11"/>
    </row>
    <row r="13" spans="1:29" x14ac:dyDescent="0.25">
      <c r="A13" s="19" t="s">
        <v>98</v>
      </c>
      <c r="B13" s="17"/>
      <c r="C13" s="55"/>
      <c r="D13" s="17"/>
      <c r="E13" s="55"/>
      <c r="F13" s="55"/>
      <c r="G13" s="55"/>
      <c r="H13" s="55"/>
      <c r="I13" s="55"/>
      <c r="J13" s="55"/>
      <c r="K13" s="55"/>
      <c r="L13" s="17"/>
      <c r="M13" s="55"/>
      <c r="N13" s="17"/>
      <c r="O13" s="55"/>
      <c r="P13" s="17"/>
      <c r="Q13" s="55"/>
      <c r="R13" s="17"/>
      <c r="S13" s="11"/>
      <c r="T13" s="18"/>
      <c r="U13" s="11"/>
      <c r="V13" s="18"/>
      <c r="W13" s="11"/>
      <c r="X13" s="18"/>
      <c r="Y13" s="11"/>
      <c r="Z13" s="18"/>
      <c r="AA13" s="11"/>
      <c r="AB13" s="18"/>
      <c r="AC13" s="11"/>
    </row>
    <row r="14" spans="1:29" x14ac:dyDescent="0.25">
      <c r="A14" s="8" t="s">
        <v>18</v>
      </c>
      <c r="B14" s="9">
        <f>152566-870</f>
        <v>151696</v>
      </c>
      <c r="C14" s="42"/>
      <c r="D14" s="9">
        <v>351625</v>
      </c>
      <c r="E14" s="42"/>
      <c r="F14" s="48">
        <v>603801.14</v>
      </c>
      <c r="G14" s="42">
        <f t="shared" ref="G14:G20" si="0">+F14/(F$2)</f>
        <v>0.12035895125651079</v>
      </c>
      <c r="H14" s="9">
        <v>730954</v>
      </c>
      <c r="I14" s="42">
        <f t="shared" ref="I14:I20" si="1">+H14/(H$2)</f>
        <v>0.13214495423989633</v>
      </c>
      <c r="J14" s="59">
        <v>420953.7</v>
      </c>
      <c r="K14" s="42"/>
      <c r="L14" s="9">
        <v>0</v>
      </c>
      <c r="M14" s="42">
        <f>+L14/(L$2)</f>
        <v>0</v>
      </c>
      <c r="N14" s="59">
        <v>0</v>
      </c>
      <c r="O14" s="42">
        <f>+N14/(N$2)</f>
        <v>0</v>
      </c>
      <c r="P14" s="48">
        <f>1089542.65-40000</f>
        <v>1049542.6499999999</v>
      </c>
      <c r="Q14" s="42">
        <f>+P14/(P$2)</f>
        <v>0.11231063002233836</v>
      </c>
      <c r="R14" s="59">
        <v>0</v>
      </c>
      <c r="S14" s="11">
        <f>R14/R$2</f>
        <v>0</v>
      </c>
      <c r="T14" s="9">
        <v>154140.63800000001</v>
      </c>
      <c r="U14" s="11">
        <f t="shared" ref="U14:U19" si="2">T14/T$2</f>
        <v>2.0299398158391015E-2</v>
      </c>
      <c r="V14" s="15">
        <v>226790</v>
      </c>
      <c r="W14" s="11">
        <f>V14/V$2</f>
        <v>3.1516842729162081E-2</v>
      </c>
      <c r="X14" s="15">
        <v>156181.647</v>
      </c>
      <c r="Y14" s="11">
        <f>X14/X$2</f>
        <v>1.9729460260564075E-2</v>
      </c>
      <c r="Z14" s="15">
        <v>180886.45899999997</v>
      </c>
      <c r="AA14" s="11">
        <f>Z14/Z$2</f>
        <v>2.1910821537679929E-2</v>
      </c>
      <c r="AB14" s="15">
        <v>149840.83000000002</v>
      </c>
      <c r="AC14" s="11">
        <v>1.7716412692230704E-2</v>
      </c>
    </row>
    <row r="15" spans="1:29" x14ac:dyDescent="0.25">
      <c r="A15" s="8" t="s">
        <v>19</v>
      </c>
      <c r="B15" s="9">
        <f>122066-3893</f>
        <v>118173</v>
      </c>
      <c r="C15" s="42"/>
      <c r="D15" s="9">
        <v>136125</v>
      </c>
      <c r="E15" s="42"/>
      <c r="F15" s="48">
        <f>668040-40000</f>
        <v>628040</v>
      </c>
      <c r="G15" s="42">
        <f t="shared" si="0"/>
        <v>0.12519061449128605</v>
      </c>
      <c r="H15" s="9">
        <f>777429-40000</f>
        <v>737429</v>
      </c>
      <c r="I15" s="42">
        <f t="shared" si="1"/>
        <v>0.13331553211306391</v>
      </c>
      <c r="J15" s="59">
        <f>641517.7-40000</f>
        <v>601517.69999999995</v>
      </c>
      <c r="K15" s="42"/>
      <c r="L15" s="9">
        <f>1005027.92-40000</f>
        <v>965027.92</v>
      </c>
      <c r="M15" s="42">
        <f>+L15/(L$2)</f>
        <v>0.13468891877237046</v>
      </c>
      <c r="N15" s="59">
        <f>865210.46-40000</f>
        <v>825210.46</v>
      </c>
      <c r="O15" s="42">
        <f>+N15/(N$2)</f>
        <v>8.7018569893345221E-2</v>
      </c>
      <c r="P15" s="9">
        <v>0</v>
      </c>
      <c r="Q15" s="42">
        <f>+P15/(P$2)</f>
        <v>0</v>
      </c>
      <c r="R15" s="59">
        <f>921308.8-40000</f>
        <v>881308.8</v>
      </c>
      <c r="S15" s="11">
        <f t="shared" ref="S15:S19" si="3">R15/R$2</f>
        <v>0.11641729155277301</v>
      </c>
      <c r="T15" s="9">
        <v>529173.09600000002</v>
      </c>
      <c r="U15" s="11">
        <f t="shared" si="2"/>
        <v>6.9688925060842635E-2</v>
      </c>
      <c r="V15" s="15">
        <v>784977.07399999991</v>
      </c>
      <c r="W15" s="11">
        <f t="shared" ref="W15:W19" si="4">V15/V$2</f>
        <v>0.10908769781408272</v>
      </c>
      <c r="X15" s="15">
        <v>532627.04</v>
      </c>
      <c r="Y15" s="11">
        <f t="shared" ref="Y15:Y19" si="5">X15/X$2</f>
        <v>6.7283475499409176E-2</v>
      </c>
      <c r="Z15" s="15">
        <v>612318.76600000018</v>
      </c>
      <c r="AA15" s="11">
        <f t="shared" ref="AA15:AA19" si="6">Z15/Z$2</f>
        <v>7.4170323639307922E-2</v>
      </c>
      <c r="AB15" s="15">
        <v>814465.7620000001</v>
      </c>
      <c r="AC15" s="11">
        <v>9.629826238471953E-2</v>
      </c>
    </row>
    <row r="16" spans="1:29" x14ac:dyDescent="0.25">
      <c r="A16" s="8" t="s">
        <v>20</v>
      </c>
      <c r="B16" s="9">
        <v>126246</v>
      </c>
      <c r="C16" s="42"/>
      <c r="D16" s="9">
        <v>159036.26</v>
      </c>
      <c r="E16" s="42"/>
      <c r="F16" s="48">
        <f>73583-10000</f>
        <v>63583</v>
      </c>
      <c r="G16" s="42">
        <f t="shared" si="0"/>
        <v>1.2674343737977583E-2</v>
      </c>
      <c r="H16" s="9">
        <f>92199-10000</f>
        <v>82199</v>
      </c>
      <c r="I16" s="42">
        <f t="shared" si="1"/>
        <v>1.4860282717606359E-2</v>
      </c>
      <c r="J16" s="59">
        <f>87336.1-10000</f>
        <v>77336.100000000006</v>
      </c>
      <c r="K16" s="42"/>
      <c r="L16" s="9">
        <f>100212-10000</f>
        <v>90212</v>
      </c>
      <c r="M16" s="42">
        <f>+L16/(L$2)</f>
        <v>1.2590886220466122E-2</v>
      </c>
      <c r="N16" s="59">
        <f>106463-10000</f>
        <v>96463</v>
      </c>
      <c r="O16" s="42">
        <f>+N16/(N$2)</f>
        <v>1.0172038182382905E-2</v>
      </c>
      <c r="P16" s="48">
        <f>121358-10000</f>
        <v>111358</v>
      </c>
      <c r="Q16" s="42">
        <f>+P16/(P$2)</f>
        <v>1.1916321016613815E-2</v>
      </c>
      <c r="R16" s="59">
        <f>102450-10000</f>
        <v>92450</v>
      </c>
      <c r="S16" s="11">
        <f t="shared" si="3"/>
        <v>1.2212267259845658E-2</v>
      </c>
      <c r="T16" s="9">
        <v>127723.2</v>
      </c>
      <c r="U16" s="11">
        <f t="shared" si="2"/>
        <v>1.6820379910869498E-2</v>
      </c>
      <c r="V16" s="15">
        <v>122143.25</v>
      </c>
      <c r="W16" s="11">
        <f t="shared" si="4"/>
        <v>1.6974159357461643E-2</v>
      </c>
      <c r="X16" s="15">
        <v>123948.04999999999</v>
      </c>
      <c r="Y16" s="11">
        <f t="shared" si="5"/>
        <v>1.5657589568442754E-2</v>
      </c>
      <c r="Z16" s="15">
        <v>114668.65</v>
      </c>
      <c r="AA16" s="11">
        <f t="shared" si="6"/>
        <v>1.3889841948405224E-2</v>
      </c>
      <c r="AB16" s="15">
        <v>126327.85</v>
      </c>
      <c r="AC16" s="11">
        <v>1.4936358301820782E-2</v>
      </c>
    </row>
    <row r="17" spans="1:29" x14ac:dyDescent="0.25">
      <c r="A17" s="8" t="s">
        <v>21</v>
      </c>
      <c r="B17" s="9">
        <v>181742</v>
      </c>
      <c r="C17" s="42"/>
      <c r="D17" s="9">
        <v>156199</v>
      </c>
      <c r="E17" s="42"/>
      <c r="F17" s="48">
        <f>226227.5-10000</f>
        <v>216227.5</v>
      </c>
      <c r="G17" s="42">
        <f t="shared" si="0"/>
        <v>4.310179860345608E-2</v>
      </c>
      <c r="H17" s="9">
        <f>193280-10000</f>
        <v>183280</v>
      </c>
      <c r="I17" s="42">
        <f t="shared" si="1"/>
        <v>3.3134133219174119E-2</v>
      </c>
      <c r="J17" s="59">
        <f>441889-10000</f>
        <v>431889</v>
      </c>
      <c r="K17" s="42"/>
      <c r="L17" s="9">
        <f>1122454-10000</f>
        <v>1112454</v>
      </c>
      <c r="M17" s="42">
        <f>+L17/(L$2)</f>
        <v>0.15526517247708085</v>
      </c>
      <c r="N17" s="59">
        <f>1077449-10000</f>
        <v>1067449</v>
      </c>
      <c r="O17" s="42">
        <f>+N17/(N$2)</f>
        <v>0.1125626611835258</v>
      </c>
      <c r="P17" s="48">
        <f>1176427-10000</f>
        <v>1166427</v>
      </c>
      <c r="Q17" s="42">
        <f>+P17/(P$2)</f>
        <v>0.12481832086105894</v>
      </c>
      <c r="R17" s="59">
        <f>1047577-10000</f>
        <v>1037577</v>
      </c>
      <c r="S17" s="11">
        <f t="shared" si="3"/>
        <v>0.13705968227873314</v>
      </c>
      <c r="T17" s="9">
        <v>1234038.5079999997</v>
      </c>
      <c r="U17" s="11">
        <f t="shared" si="2"/>
        <v>0.16251547509929723</v>
      </c>
      <c r="V17" s="15">
        <v>1220279.3000000003</v>
      </c>
      <c r="W17" s="11">
        <f t="shared" si="4"/>
        <v>0.16958133420235461</v>
      </c>
      <c r="X17" s="15">
        <v>1200467.834</v>
      </c>
      <c r="Y17" s="11">
        <f t="shared" si="5"/>
        <v>0.15164766718709549</v>
      </c>
      <c r="Z17" s="15">
        <v>960067.12399999984</v>
      </c>
      <c r="AA17" s="11">
        <f t="shared" si="6"/>
        <v>0.1162931682915946</v>
      </c>
      <c r="AB17" s="15">
        <v>950765.99400000018</v>
      </c>
      <c r="AC17" s="11">
        <v>0.11241370408481416</v>
      </c>
    </row>
    <row r="18" spans="1:29" x14ac:dyDescent="0.25">
      <c r="A18" s="8" t="s">
        <v>22</v>
      </c>
      <c r="B18" s="9">
        <v>92095</v>
      </c>
      <c r="C18" s="42"/>
      <c r="D18" s="9">
        <v>113023</v>
      </c>
      <c r="E18" s="42"/>
      <c r="F18" s="48">
        <f>245236.5-40000</f>
        <v>205236.5</v>
      </c>
      <c r="G18" s="42">
        <f t="shared" si="0"/>
        <v>4.0910903049233852E-2</v>
      </c>
      <c r="H18" s="9">
        <f>299891-40000</f>
        <v>259891</v>
      </c>
      <c r="I18" s="42">
        <f t="shared" si="1"/>
        <v>4.69841936734198E-2</v>
      </c>
      <c r="J18" s="59">
        <f>351820-40000</f>
        <v>311820</v>
      </c>
      <c r="K18" s="42"/>
      <c r="L18" s="9">
        <f>474088-40000</f>
        <v>434088</v>
      </c>
      <c r="M18" s="42">
        <f>+L18/(L$2)</f>
        <v>6.0585649555155607E-2</v>
      </c>
      <c r="N18" s="59">
        <f>552645-40000</f>
        <v>512645</v>
      </c>
      <c r="O18" s="42">
        <f>+N18/(N$2)</f>
        <v>5.4058494075528277E-2</v>
      </c>
      <c r="P18" s="48">
        <f>495523-40000</f>
        <v>455523</v>
      </c>
      <c r="Q18" s="42">
        <f>+P18/(P$2)</f>
        <v>4.8745113044873063E-2</v>
      </c>
      <c r="R18" s="59">
        <f>448430-40000</f>
        <v>408430</v>
      </c>
      <c r="S18" s="11">
        <f t="shared" si="3"/>
        <v>5.3951934201609111E-2</v>
      </c>
      <c r="T18" s="9">
        <v>532633.82000000007</v>
      </c>
      <c r="U18" s="11">
        <f t="shared" si="2"/>
        <v>7.014468166924788E-2</v>
      </c>
      <c r="V18" s="15">
        <v>505363.25</v>
      </c>
      <c r="W18" s="11">
        <f t="shared" si="4"/>
        <v>7.0229966362486074E-2</v>
      </c>
      <c r="X18" s="15">
        <v>518250.75</v>
      </c>
      <c r="Y18" s="11">
        <f t="shared" si="5"/>
        <v>6.5467407813496331E-2</v>
      </c>
      <c r="Z18" s="15">
        <v>472159.5</v>
      </c>
      <c r="AA18" s="11">
        <f t="shared" si="6"/>
        <v>5.7192797067359184E-2</v>
      </c>
      <c r="AB18" s="15">
        <v>482298.4</v>
      </c>
      <c r="AC18" s="11">
        <v>5.7024493892636349E-2</v>
      </c>
    </row>
    <row r="19" spans="1:29" x14ac:dyDescent="0.25">
      <c r="A19" s="20" t="s">
        <v>23</v>
      </c>
      <c r="B19" s="15">
        <v>35051</v>
      </c>
      <c r="C19" s="66"/>
      <c r="D19" s="15">
        <v>51919</v>
      </c>
      <c r="E19" s="66"/>
      <c r="F19" s="24">
        <f>155852-5450</f>
        <v>150402</v>
      </c>
      <c r="G19" s="66">
        <f t="shared" si="0"/>
        <v>2.9980445195717478E-2</v>
      </c>
      <c r="H19" s="15">
        <v>120429</v>
      </c>
      <c r="I19" s="66">
        <f t="shared" si="1"/>
        <v>2.1771663735551724E-2</v>
      </c>
      <c r="J19" s="69">
        <v>1064800</v>
      </c>
      <c r="K19" s="85"/>
      <c r="L19" s="1"/>
      <c r="M19" s="66"/>
      <c r="O19" s="66"/>
      <c r="P19" s="1"/>
      <c r="Q19" s="66"/>
      <c r="R19" s="69">
        <v>0</v>
      </c>
      <c r="S19" s="66">
        <f t="shared" si="3"/>
        <v>0</v>
      </c>
      <c r="T19" s="15">
        <v>0</v>
      </c>
      <c r="U19" s="66">
        <f t="shared" si="2"/>
        <v>0</v>
      </c>
      <c r="V19" s="15">
        <v>0</v>
      </c>
      <c r="W19" s="66">
        <f t="shared" si="4"/>
        <v>0</v>
      </c>
      <c r="X19" s="15">
        <v>0</v>
      </c>
      <c r="Y19" s="66">
        <f t="shared" si="5"/>
        <v>0</v>
      </c>
      <c r="Z19" s="15">
        <v>0</v>
      </c>
      <c r="AA19" s="66">
        <f t="shared" si="6"/>
        <v>0</v>
      </c>
      <c r="AB19" s="15">
        <v>0</v>
      </c>
      <c r="AC19" s="66">
        <v>0</v>
      </c>
    </row>
    <row r="20" spans="1:29" x14ac:dyDescent="0.25">
      <c r="A20" s="60" t="s">
        <v>24</v>
      </c>
      <c r="B20" s="61">
        <f>SUM(B14:B19)</f>
        <v>705003</v>
      </c>
      <c r="C20" s="62"/>
      <c r="D20" s="61">
        <f>SUM(D14:D19)</f>
        <v>967927.26</v>
      </c>
      <c r="E20" s="62"/>
      <c r="F20" s="63">
        <f>SUM(F14:F19)</f>
        <v>1867290.1400000001</v>
      </c>
      <c r="G20" s="64">
        <f t="shared" si="0"/>
        <v>0.37221705633418184</v>
      </c>
      <c r="H20" s="63">
        <f>SUM(H14:H19)</f>
        <v>2114182</v>
      </c>
      <c r="I20" s="64">
        <f t="shared" si="1"/>
        <v>0.38221075969871221</v>
      </c>
      <c r="J20" s="63">
        <f>SUM(J14:J19)</f>
        <v>2908316.5</v>
      </c>
      <c r="K20" s="62"/>
      <c r="L20" s="63"/>
      <c r="M20" s="64">
        <f>+L20/(L$2)</f>
        <v>0</v>
      </c>
      <c r="N20" s="63">
        <f ca="1">SUM(N14:N26)</f>
        <v>2908316.5</v>
      </c>
      <c r="O20" s="64">
        <f ca="1">+N20/(N$2)</f>
        <v>0.50389462263647511</v>
      </c>
      <c r="P20" s="63"/>
      <c r="Q20" s="64">
        <f>+P20/(P$2)</f>
        <v>0</v>
      </c>
      <c r="R20" s="61">
        <f>SUM(R14:R19)</f>
        <v>2419765.7999999998</v>
      </c>
      <c r="S20" s="62">
        <f t="shared" ref="S20" si="7">+R20/(R$2)</f>
        <v>0.31964117529296088</v>
      </c>
      <c r="T20" s="61">
        <f>SUM(T14:T19)</f>
        <v>2577709.2620000001</v>
      </c>
      <c r="U20" s="62">
        <f>+T20/(T$2)</f>
        <v>0.33946885989864833</v>
      </c>
      <c r="V20" s="61">
        <f>SUM(V14:V19)</f>
        <v>2859552.8740000003</v>
      </c>
      <c r="W20" s="62">
        <f>+V20/(V$2)</f>
        <v>0.39739000046554712</v>
      </c>
      <c r="X20" s="61">
        <f>SUM(X14:X19)</f>
        <v>2531475.321</v>
      </c>
      <c r="Y20" s="62">
        <f>+X20/(X$2)</f>
        <v>0.31978560032900782</v>
      </c>
      <c r="Z20" s="61">
        <f>SUM(Z14:Z19)</f>
        <v>2340100.4989999998</v>
      </c>
      <c r="AA20" s="62">
        <f>+Z20/(Z$2)</f>
        <v>0.28345695248434682</v>
      </c>
      <c r="AB20" s="61">
        <v>2523698.8360000006</v>
      </c>
      <c r="AC20" s="62">
        <v>0.29838923135622153</v>
      </c>
    </row>
    <row r="21" spans="1:29" x14ac:dyDescent="0.25">
      <c r="A21" s="19" t="s">
        <v>25</v>
      </c>
      <c r="B21" s="24"/>
      <c r="C21" s="65"/>
      <c r="D21" s="24"/>
      <c r="E21" s="65"/>
      <c r="F21" s="24">
        <v>161573</v>
      </c>
      <c r="G21" s="66"/>
      <c r="H21" s="24">
        <v>355176</v>
      </c>
      <c r="I21" s="65"/>
      <c r="J21" s="24">
        <v>396767.1</v>
      </c>
      <c r="K21" s="65"/>
      <c r="L21" s="24">
        <v>428972.07</v>
      </c>
      <c r="M21" s="65"/>
      <c r="N21" s="24">
        <v>395804.82</v>
      </c>
      <c r="O21" s="66"/>
      <c r="P21" s="24">
        <v>344156.12</v>
      </c>
      <c r="Q21" s="65"/>
      <c r="R21" s="24">
        <v>296164</v>
      </c>
      <c r="S21" s="11"/>
      <c r="T21" s="15">
        <f>516720-T31</f>
        <v>423450</v>
      </c>
      <c r="U21" s="11"/>
      <c r="V21" s="15">
        <f>T22</f>
        <v>249525.90999999997</v>
      </c>
      <c r="W21" s="11"/>
      <c r="X21" s="15">
        <f>V22</f>
        <v>386119.38</v>
      </c>
      <c r="Y21" s="11"/>
      <c r="Z21" s="15">
        <f>X22</f>
        <v>239458.33000000002</v>
      </c>
      <c r="AA21" s="11"/>
      <c r="AB21" s="15">
        <v>209550.91999999998</v>
      </c>
      <c r="AC21" s="11"/>
    </row>
    <row r="22" spans="1:29" x14ac:dyDescent="0.25">
      <c r="A22" s="25" t="s">
        <v>26</v>
      </c>
      <c r="B22" s="67"/>
      <c r="C22" s="68"/>
      <c r="D22" s="67">
        <v>120399</v>
      </c>
      <c r="E22" s="68"/>
      <c r="F22" s="67">
        <v>355176</v>
      </c>
      <c r="G22" s="68"/>
      <c r="H22" s="67">
        <v>396767.1</v>
      </c>
      <c r="I22" s="68"/>
      <c r="J22" s="67">
        <v>428972.07</v>
      </c>
      <c r="K22" s="68"/>
      <c r="L22" s="67">
        <v>395804.82</v>
      </c>
      <c r="M22" s="68"/>
      <c r="N22" s="67">
        <v>344156.12</v>
      </c>
      <c r="O22" s="68"/>
      <c r="P22" s="67">
        <v>296164.40899999999</v>
      </c>
      <c r="Q22" s="68"/>
      <c r="R22" s="67">
        <v>516720</v>
      </c>
      <c r="S22" s="11"/>
      <c r="T22" s="15">
        <f>325458.91-T32</f>
        <v>249525.90999999997</v>
      </c>
      <c r="U22" s="11"/>
      <c r="V22" s="15">
        <v>386119.38</v>
      </c>
      <c r="W22" s="11"/>
      <c r="X22" s="15">
        <v>239458.33000000002</v>
      </c>
      <c r="Y22" s="11"/>
      <c r="Z22" s="15">
        <v>209550.91999999998</v>
      </c>
      <c r="AA22" s="11"/>
      <c r="AB22" s="15">
        <v>276926.81</v>
      </c>
      <c r="AC22" s="11"/>
    </row>
    <row r="23" spans="1:29" x14ac:dyDescent="0.25">
      <c r="A23" s="60" t="s">
        <v>27</v>
      </c>
      <c r="B23" s="61">
        <f>B20+B21-B22</f>
        <v>705003</v>
      </c>
      <c r="C23" s="62">
        <f>B23/$B$2</f>
        <v>0.42823248855470025</v>
      </c>
      <c r="D23" s="61">
        <f>D20+D21-D22</f>
        <v>847528.26</v>
      </c>
      <c r="E23" s="62">
        <f>D23/$D$2</f>
        <v>0.29424386535016456</v>
      </c>
      <c r="F23" s="63">
        <f>F20+F21-F22</f>
        <v>1673687.1400000001</v>
      </c>
      <c r="G23" s="64">
        <f>+F23/(F$2)</f>
        <v>0.33362512184377291</v>
      </c>
      <c r="H23" s="63">
        <f>H20+H21-H22</f>
        <v>2072590.9</v>
      </c>
      <c r="I23" s="64">
        <f>+H23/(H$2)</f>
        <v>0.37469174481366208</v>
      </c>
      <c r="J23" s="63">
        <f>J20+J21-J22</f>
        <v>2876111.5300000003</v>
      </c>
      <c r="K23" s="62"/>
      <c r="L23" s="63">
        <f>SUM(L14:L18)+L21-L22</f>
        <v>2634949.17</v>
      </c>
      <c r="M23" s="64">
        <f>+L23/(L$2)</f>
        <v>0.36775977914447794</v>
      </c>
      <c r="N23" s="63">
        <f>SUM(N14:N18)+N21-N22</f>
        <v>2553416.1599999997</v>
      </c>
      <c r="O23" s="64">
        <f>+N23/(N$2)</f>
        <v>0.26925812669141053</v>
      </c>
      <c r="P23" s="63">
        <f>SUM(P14:P18)+P21-P22</f>
        <v>2830842.361</v>
      </c>
      <c r="Q23" s="64">
        <f>+P23/(P$2)</f>
        <v>0.3029259354613496</v>
      </c>
      <c r="R23" s="61">
        <f>R20+R21-R22</f>
        <v>2199209.7999999998</v>
      </c>
      <c r="S23" s="62">
        <f>+R23/(R$2)</f>
        <v>0.29050662885961837</v>
      </c>
      <c r="T23" s="61">
        <f>T20+T21-T22</f>
        <v>2751633.352</v>
      </c>
      <c r="U23" s="62">
        <f>+T23/(T$2)</f>
        <v>0.36237362011020152</v>
      </c>
      <c r="V23" s="61">
        <f>V20+V21-V22</f>
        <v>2722959.4040000006</v>
      </c>
      <c r="W23" s="62">
        <f>+V23/(V$2)</f>
        <v>0.37840770445681432</v>
      </c>
      <c r="X23" s="61">
        <f>X20+X21-X22</f>
        <v>2678136.3709999998</v>
      </c>
      <c r="Y23" s="62">
        <f>+X23/(X$2)</f>
        <v>0.33831238252991264</v>
      </c>
      <c r="Z23" s="61">
        <f>Z20+Z21-Z22</f>
        <v>2370007.909</v>
      </c>
      <c r="AA23" s="62">
        <f>+Z23/(Z$2)</f>
        <v>0.28707964445801321</v>
      </c>
      <c r="AB23" s="61">
        <v>2456322.9460000005</v>
      </c>
      <c r="AC23" s="62">
        <v>0.29042305102509058</v>
      </c>
    </row>
    <row r="24" spans="1:29" x14ac:dyDescent="0.25">
      <c r="A24" s="19" t="s">
        <v>13</v>
      </c>
      <c r="B24" s="24"/>
      <c r="C24" s="65"/>
      <c r="D24" s="24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9"/>
      <c r="Q24" s="66"/>
      <c r="R24" s="69"/>
      <c r="S24" s="11"/>
      <c r="T24" s="24"/>
      <c r="U24" s="11"/>
      <c r="V24" s="24"/>
      <c r="W24" s="11"/>
      <c r="X24" s="24"/>
      <c r="Y24" s="11"/>
      <c r="Z24" s="24"/>
      <c r="AA24" s="11"/>
      <c r="AB24" s="24"/>
      <c r="AC24" s="11"/>
    </row>
    <row r="25" spans="1:29" x14ac:dyDescent="0.25">
      <c r="A25" s="19" t="s">
        <v>28</v>
      </c>
      <c r="B25" s="24"/>
      <c r="C25" s="65"/>
      <c r="D25" s="24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9"/>
      <c r="Q25" s="66"/>
      <c r="R25" s="69"/>
      <c r="S25" s="11"/>
      <c r="T25" s="24"/>
      <c r="U25" s="11"/>
      <c r="V25" s="24"/>
      <c r="W25" s="11"/>
      <c r="X25" s="24"/>
      <c r="Y25" s="11"/>
      <c r="Z25" s="24"/>
      <c r="AA25" s="11"/>
      <c r="AB25" s="24"/>
      <c r="AC25" s="11"/>
    </row>
    <row r="26" spans="1:29" x14ac:dyDescent="0.25">
      <c r="A26" s="8" t="s">
        <v>29</v>
      </c>
      <c r="B26" s="24"/>
      <c r="C26" s="65"/>
      <c r="D26" s="24"/>
      <c r="E26" s="65"/>
      <c r="F26" s="70">
        <v>0</v>
      </c>
      <c r="G26" s="42">
        <f>+F26/(F$2)</f>
        <v>0</v>
      </c>
      <c r="H26" s="70">
        <v>0</v>
      </c>
      <c r="I26" s="42">
        <f>+H26/(H$2)</f>
        <v>0</v>
      </c>
      <c r="J26" s="70">
        <v>0</v>
      </c>
      <c r="K26" s="42">
        <f>+J26/(J$2)</f>
        <v>0</v>
      </c>
      <c r="L26" s="15">
        <v>1645502.78</v>
      </c>
      <c r="M26" s="66"/>
      <c r="N26" s="69">
        <v>3155488.41</v>
      </c>
      <c r="O26" s="66"/>
      <c r="P26" s="24">
        <v>1845371.86</v>
      </c>
      <c r="Q26" s="66"/>
      <c r="R26" s="69">
        <v>926992.34</v>
      </c>
      <c r="S26" s="11">
        <f>R26/R$3</f>
        <v>0.28250437473981649</v>
      </c>
      <c r="T26" s="69">
        <v>713303</v>
      </c>
      <c r="U26" s="11">
        <f>T26/T$3</f>
        <v>0.14351840953378342</v>
      </c>
      <c r="V26" s="15">
        <v>1226109</v>
      </c>
      <c r="W26" s="11">
        <f>V26/V$3</f>
        <v>0.2703598597605345</v>
      </c>
      <c r="X26" s="15">
        <v>2719406</v>
      </c>
      <c r="Y26" s="11">
        <f>X26/X$3</f>
        <v>0.53420941336042738</v>
      </c>
      <c r="Z26" s="15">
        <v>550263.6</v>
      </c>
      <c r="AA26" s="11">
        <f>Z26/Z$3</f>
        <v>0.11306505342456286</v>
      </c>
      <c r="AB26" s="15">
        <v>907920.16</v>
      </c>
      <c r="AC26" s="11">
        <v>0.17522419958633417</v>
      </c>
    </row>
    <row r="27" spans="1:29" x14ac:dyDescent="0.25">
      <c r="A27" s="8" t="s">
        <v>99</v>
      </c>
      <c r="B27" s="24"/>
      <c r="C27" s="65"/>
      <c r="D27" s="24"/>
      <c r="E27" s="65"/>
      <c r="F27" s="70"/>
      <c r="G27" s="42"/>
      <c r="H27" s="70"/>
      <c r="I27" s="42"/>
      <c r="J27" s="70"/>
      <c r="K27" s="42"/>
      <c r="L27" s="15"/>
      <c r="M27" s="66"/>
      <c r="N27" s="69"/>
      <c r="O27" s="66"/>
      <c r="P27" s="24"/>
      <c r="Q27" s="66"/>
      <c r="R27" s="69"/>
      <c r="S27" s="11"/>
      <c r="T27" s="69">
        <v>0</v>
      </c>
      <c r="U27" s="11"/>
      <c r="V27" s="15">
        <v>0</v>
      </c>
      <c r="W27" s="11"/>
      <c r="X27" s="15">
        <v>-50000</v>
      </c>
      <c r="Y27" s="11"/>
      <c r="Z27" s="15">
        <v>-460000</v>
      </c>
      <c r="AA27" s="11"/>
      <c r="AB27" s="15">
        <v>0</v>
      </c>
      <c r="AC27" s="11"/>
    </row>
    <row r="28" spans="1:29" x14ac:dyDescent="0.25">
      <c r="A28" s="8" t="s">
        <v>100</v>
      </c>
      <c r="B28" s="24"/>
      <c r="C28" s="65"/>
      <c r="D28" s="24"/>
      <c r="E28" s="65"/>
      <c r="F28" s="70"/>
      <c r="G28" s="42"/>
      <c r="H28" s="70"/>
      <c r="I28" s="42"/>
      <c r="J28" s="70"/>
      <c r="K28" s="42"/>
      <c r="L28" s="15"/>
      <c r="M28" s="66"/>
      <c r="N28" s="69"/>
      <c r="O28" s="66"/>
      <c r="P28" s="24"/>
      <c r="Q28" s="66"/>
      <c r="R28" s="69"/>
      <c r="S28" s="11"/>
      <c r="T28" s="69">
        <v>187068</v>
      </c>
      <c r="U28" s="11">
        <f>T28/T$3</f>
        <v>3.7638565707232126E-2</v>
      </c>
      <c r="V28" s="69">
        <v>261118.19500000001</v>
      </c>
      <c r="W28" s="11">
        <f>V28/V$3</f>
        <v>5.7577163678860448E-2</v>
      </c>
      <c r="X28" s="15">
        <v>206254.10800000001</v>
      </c>
      <c r="Y28" s="11">
        <f>X28/X$3</f>
        <v>4.0517262239569314E-2</v>
      </c>
      <c r="Z28" s="15">
        <v>208113.61200000002</v>
      </c>
      <c r="AA28" s="11">
        <f>Z28/Z$3</f>
        <v>4.2762008352285608E-2</v>
      </c>
      <c r="AB28" s="15">
        <v>224796.18699999998</v>
      </c>
      <c r="AC28" s="11">
        <v>4.3384576830120057E-2</v>
      </c>
    </row>
    <row r="29" spans="1:29" x14ac:dyDescent="0.25">
      <c r="A29" s="60" t="s">
        <v>31</v>
      </c>
      <c r="B29" s="61">
        <f>SUM(B22:B28)</f>
        <v>705003</v>
      </c>
      <c r="C29" s="62"/>
      <c r="D29" s="61">
        <f>SUM(D22:D28)</f>
        <v>967927.26</v>
      </c>
      <c r="E29" s="62"/>
      <c r="F29" s="63">
        <f>SUM(F22:F28)</f>
        <v>2028863.1400000001</v>
      </c>
      <c r="G29" s="64">
        <f t="shared" ref="G29" si="8">+F29/(F$2)</f>
        <v>0.40442427745895188</v>
      </c>
      <c r="H29" s="63">
        <f>SUM(H22:H28)</f>
        <v>2469358</v>
      </c>
      <c r="I29" s="64">
        <f t="shared" ref="I29" si="9">+H29/(H$2)</f>
        <v>0.44642097849101575</v>
      </c>
      <c r="J29" s="63">
        <f>SUM(J22:J28)</f>
        <v>3305083.6</v>
      </c>
      <c r="K29" s="62"/>
      <c r="L29" s="63"/>
      <c r="M29" s="64">
        <f>+L29/(L$2)</f>
        <v>0</v>
      </c>
      <c r="N29" s="63">
        <f ca="1">SUM(N22:N35)</f>
        <v>2908316.5</v>
      </c>
      <c r="O29" s="64">
        <f ca="1">+N29/(N$2)</f>
        <v>0.50389462263647511</v>
      </c>
      <c r="P29" s="63"/>
      <c r="Q29" s="64">
        <f>+P29/(P$2)</f>
        <v>0</v>
      </c>
      <c r="R29" s="61">
        <f>R26+R28</f>
        <v>926992.34</v>
      </c>
      <c r="S29" s="62">
        <f t="shared" ref="S29" si="10">+R29/(R$2)</f>
        <v>0.12245190052903963</v>
      </c>
      <c r="T29" s="61">
        <f>T26+T28</f>
        <v>900371</v>
      </c>
      <c r="U29" s="62">
        <f>+T29/(T$2)</f>
        <v>0.11857346418449803</v>
      </c>
      <c r="V29" s="61">
        <f>V26+V28</f>
        <v>1487227.1950000001</v>
      </c>
      <c r="W29" s="62">
        <f t="shared" ref="W29" si="11">+V29/(V$2)</f>
        <v>0.20667889063604156</v>
      </c>
      <c r="X29" s="61">
        <f>X26+X27+X28</f>
        <v>2875660.108</v>
      </c>
      <c r="Y29" s="62">
        <f t="shared" ref="Y29" si="12">+X29/(X$2)</f>
        <v>0.36326433299602351</v>
      </c>
      <c r="Z29" s="61">
        <f>Z26+Z27+Z28</f>
        <v>298377.212</v>
      </c>
      <c r="AA29" s="62">
        <f t="shared" ref="AA29" si="13">+Z29/(Z$2)</f>
        <v>3.6142505520783574E-2</v>
      </c>
      <c r="AB29" s="61">
        <v>1132716.3470000001</v>
      </c>
      <c r="AC29" s="62">
        <v>0.13392658240539643</v>
      </c>
    </row>
    <row r="30" spans="1:29" x14ac:dyDescent="0.25">
      <c r="A30" s="19" t="s">
        <v>32</v>
      </c>
      <c r="B30" s="24"/>
      <c r="C30" s="65"/>
      <c r="D30" s="24"/>
      <c r="E30" s="65"/>
      <c r="F30" s="70">
        <v>0</v>
      </c>
      <c r="G30" s="66">
        <f>+F30/(F$2)</f>
        <v>0</v>
      </c>
      <c r="H30" s="70">
        <v>0</v>
      </c>
      <c r="I30" s="66">
        <f>+H30/(H$2)</f>
        <v>0</v>
      </c>
      <c r="J30" s="70">
        <v>0</v>
      </c>
      <c r="K30" s="66">
        <f>+J30/(J$2)</f>
        <v>0</v>
      </c>
      <c r="L30" s="69">
        <v>905959</v>
      </c>
      <c r="M30" s="66"/>
      <c r="N30" s="69">
        <v>1050847</v>
      </c>
      <c r="O30" s="66"/>
      <c r="P30" s="69">
        <v>2991326</v>
      </c>
      <c r="Q30" s="66"/>
      <c r="R30" s="69">
        <v>3362837</v>
      </c>
      <c r="S30" s="11"/>
      <c r="T30" s="69">
        <v>2933212</v>
      </c>
      <c r="U30" s="11"/>
      <c r="V30" s="69">
        <f>T33</f>
        <v>2197778.34</v>
      </c>
      <c r="W30" s="66"/>
      <c r="X30" s="69">
        <f>V32</f>
        <v>2195114.2907180497</v>
      </c>
      <c r="Y30" s="66"/>
      <c r="Z30" s="69">
        <f>X32</f>
        <v>3661074.6310079051</v>
      </c>
      <c r="AA30" s="66"/>
      <c r="AB30" s="69">
        <v>2836312.8347562584</v>
      </c>
      <c r="AC30" s="66"/>
    </row>
    <row r="31" spans="1:29" x14ac:dyDescent="0.25">
      <c r="A31" s="19" t="s">
        <v>33</v>
      </c>
      <c r="B31" s="24"/>
      <c r="C31" s="65"/>
      <c r="D31" s="24"/>
      <c r="E31" s="65"/>
      <c r="F31" s="70"/>
      <c r="G31" s="66"/>
      <c r="H31" s="70"/>
      <c r="I31" s="66"/>
      <c r="J31" s="70"/>
      <c r="K31" s="66"/>
      <c r="L31" s="69"/>
      <c r="M31" s="66"/>
      <c r="N31" s="69"/>
      <c r="O31" s="66"/>
      <c r="P31" s="69"/>
      <c r="Q31" s="66"/>
      <c r="R31" s="69">
        <v>0</v>
      </c>
      <c r="S31" s="11"/>
      <c r="T31" s="69">
        <v>93270</v>
      </c>
      <c r="U31" s="11"/>
      <c r="V31" s="69">
        <v>75933</v>
      </c>
      <c r="W31" s="66"/>
      <c r="X31" s="69">
        <f>V33</f>
        <v>89531.779999999984</v>
      </c>
      <c r="Y31" s="66"/>
      <c r="Z31" s="69">
        <f>X33</f>
        <v>55346.62999999999</v>
      </c>
      <c r="AA31" s="66"/>
      <c r="AB31" s="69">
        <v>60358.359999999986</v>
      </c>
      <c r="AC31" s="66"/>
    </row>
    <row r="32" spans="1:29" x14ac:dyDescent="0.25">
      <c r="A32" s="19" t="s">
        <v>34</v>
      </c>
      <c r="B32" s="24"/>
      <c r="C32" s="65"/>
      <c r="D32" s="24"/>
      <c r="E32" s="65"/>
      <c r="F32" s="70"/>
      <c r="G32" s="66"/>
      <c r="H32" s="70"/>
      <c r="I32" s="66"/>
      <c r="J32" s="70"/>
      <c r="K32" s="66"/>
      <c r="L32" s="69"/>
      <c r="M32" s="66"/>
      <c r="N32" s="69"/>
      <c r="O32" s="66"/>
      <c r="P32" s="69"/>
      <c r="Q32" s="66"/>
      <c r="R32" s="69">
        <v>0</v>
      </c>
      <c r="S32" s="11"/>
      <c r="T32" s="69">
        <f>V31</f>
        <v>75933</v>
      </c>
      <c r="U32" s="11"/>
      <c r="V32" s="69">
        <v>2195114.2907180497</v>
      </c>
      <c r="W32" s="66"/>
      <c r="X32" s="69">
        <v>3661074.6310079051</v>
      </c>
      <c r="Y32" s="66"/>
      <c r="Z32" s="69">
        <v>2836312.8347562584</v>
      </c>
      <c r="AA32" s="66"/>
      <c r="AB32" s="69">
        <v>2473570.4795983401</v>
      </c>
      <c r="AC32" s="66"/>
    </row>
    <row r="33" spans="1:29" x14ac:dyDescent="0.25">
      <c r="A33" s="19" t="s">
        <v>35</v>
      </c>
      <c r="B33" s="24"/>
      <c r="C33" s="65"/>
      <c r="D33" s="24"/>
      <c r="E33" s="65"/>
      <c r="F33" s="70">
        <v>0</v>
      </c>
      <c r="G33" s="66">
        <f>+F33/(F$2)</f>
        <v>0</v>
      </c>
      <c r="H33" s="70">
        <v>0</v>
      </c>
      <c r="I33" s="66">
        <f>+H33/(H$2)</f>
        <v>0</v>
      </c>
      <c r="J33" s="70">
        <v>0</v>
      </c>
      <c r="K33" s="66">
        <f>+J33/(J$2)</f>
        <v>0</v>
      </c>
      <c r="L33" s="69">
        <v>1050847</v>
      </c>
      <c r="M33" s="66"/>
      <c r="N33" s="71">
        <v>2227190</v>
      </c>
      <c r="O33" s="66"/>
      <c r="P33" s="69">
        <v>3362837</v>
      </c>
      <c r="Q33" s="66"/>
      <c r="R33" s="69">
        <v>2981721</v>
      </c>
      <c r="S33" s="11"/>
      <c r="T33" s="69">
        <v>2197778.34</v>
      </c>
      <c r="U33" s="11"/>
      <c r="V33" s="69">
        <v>89531.779999999984</v>
      </c>
      <c r="W33" s="66"/>
      <c r="X33" s="69">
        <v>55346.62999999999</v>
      </c>
      <c r="Y33" s="66"/>
      <c r="Z33" s="69">
        <v>60358.359999999986</v>
      </c>
      <c r="AA33" s="66"/>
      <c r="AB33" s="69">
        <v>73156.209999999977</v>
      </c>
      <c r="AC33" s="66"/>
    </row>
    <row r="34" spans="1:29" x14ac:dyDescent="0.25">
      <c r="A34" s="60" t="s">
        <v>36</v>
      </c>
      <c r="B34" s="61"/>
      <c r="C34" s="72"/>
      <c r="D34" s="61"/>
      <c r="E34" s="72"/>
      <c r="F34" s="73">
        <v>0</v>
      </c>
      <c r="G34" s="62">
        <f>+F34/(F$2)</f>
        <v>0</v>
      </c>
      <c r="H34" s="73">
        <v>0</v>
      </c>
      <c r="I34" s="62">
        <f>+H34/(H$2)</f>
        <v>0</v>
      </c>
      <c r="J34" s="73">
        <v>0</v>
      </c>
      <c r="K34" s="62">
        <f>+J34/(J$2)</f>
        <v>0</v>
      </c>
      <c r="L34" s="61">
        <f>L30+L26-L33</f>
        <v>1500614.7800000003</v>
      </c>
      <c r="M34" s="74" t="e">
        <f>L34/$F$3</f>
        <v>#DIV/0!</v>
      </c>
      <c r="N34" s="61">
        <f>N26+N30-N33</f>
        <v>1979145.4100000001</v>
      </c>
      <c r="O34" s="74">
        <f>N34/$N$3</f>
        <v>0.42722568850785492</v>
      </c>
      <c r="P34" s="61">
        <f>P30+P26-P33</f>
        <v>1473860.8600000003</v>
      </c>
      <c r="Q34" s="74">
        <f>P34/$P$3</f>
        <v>0.35365361201155804</v>
      </c>
      <c r="R34" s="61">
        <f>R26+R30-R33</f>
        <v>1308108.3399999999</v>
      </c>
      <c r="S34" s="62">
        <f>R34/R$3</f>
        <v>0.39865089789591923</v>
      </c>
      <c r="T34" s="61">
        <f>T26+T28+T30+T31-T32-T33</f>
        <v>1653141.6600000001</v>
      </c>
      <c r="U34" s="62">
        <f>T34/T$3</f>
        <v>0.33261638010388095</v>
      </c>
      <c r="V34" s="61">
        <f>V26+V28+V30+V31-V32-V33</f>
        <v>1476292.4642819504</v>
      </c>
      <c r="W34" s="62">
        <f>V34/V$3</f>
        <v>0.32552589011972183</v>
      </c>
      <c r="X34" s="61">
        <f>X29+X30+X31-X32-X33</f>
        <v>1443884.917710145</v>
      </c>
      <c r="Y34" s="62">
        <f>X34/X$3</f>
        <v>0.2836416904463348</v>
      </c>
      <c r="Z34" s="61">
        <f>Z29+Z30+Z31-Z32-Z33</f>
        <v>1118127.2782516466</v>
      </c>
      <c r="AA34" s="62">
        <f>Z34/Z$3</f>
        <v>0.22974647142021293</v>
      </c>
      <c r="AB34" s="61">
        <v>1482660.8521579183</v>
      </c>
      <c r="AC34" s="62">
        <v>0.28614637335221565</v>
      </c>
    </row>
    <row r="35" spans="1:29" ht="15.75" thickBot="1" x14ac:dyDescent="0.3">
      <c r="A35" s="8"/>
      <c r="B35" s="15"/>
      <c r="C35" s="56"/>
      <c r="D35" s="15"/>
      <c r="E35" s="56"/>
      <c r="F35" s="75"/>
      <c r="G35" s="66"/>
      <c r="H35" s="75"/>
      <c r="I35" s="66"/>
      <c r="J35" s="75"/>
      <c r="K35" s="66"/>
      <c r="L35" s="15"/>
      <c r="M35" s="76"/>
      <c r="N35" s="15"/>
      <c r="O35" s="76"/>
      <c r="P35" s="15"/>
      <c r="Q35" s="76"/>
      <c r="R35" s="15"/>
      <c r="S35" s="11"/>
      <c r="T35" s="15"/>
      <c r="U35" s="11"/>
      <c r="V35" s="15"/>
      <c r="W35" s="11"/>
      <c r="X35" s="15"/>
      <c r="Y35" s="11"/>
      <c r="Z35" s="15"/>
      <c r="AA35" s="11"/>
      <c r="AB35" s="15"/>
      <c r="AC35" s="11"/>
    </row>
    <row r="36" spans="1:29" ht="15.75" thickBot="1" x14ac:dyDescent="0.3">
      <c r="A36" s="12" t="s">
        <v>37</v>
      </c>
      <c r="B36" s="13">
        <f>+B11-B23</f>
        <v>974976.48857142869</v>
      </c>
      <c r="C36" s="27">
        <f>B36/$B$2</f>
        <v>0.59221961889987162</v>
      </c>
      <c r="D36" s="13">
        <f>+D11-D23</f>
        <v>2246764.0266666664</v>
      </c>
      <c r="E36" s="27">
        <f>D36/$D$2</f>
        <v>0.78002889453633095</v>
      </c>
      <c r="F36" s="13">
        <f>+F11-F23-F34</f>
        <v>3121137.86</v>
      </c>
      <c r="G36" s="27"/>
      <c r="H36" s="13">
        <f>+H11-H23-H34</f>
        <v>3697689.93</v>
      </c>
      <c r="I36" s="27"/>
      <c r="J36" s="13">
        <f>+J11-J23-J34</f>
        <v>3549009.1099999994</v>
      </c>
      <c r="K36" s="27"/>
      <c r="L36" s="13">
        <f>+L11-L23-L34</f>
        <v>8417388.0500000007</v>
      </c>
      <c r="M36" s="27"/>
      <c r="N36" s="13">
        <f>+N11-N23-N34</f>
        <v>10313339.449999999</v>
      </c>
      <c r="O36" s="27"/>
      <c r="P36" s="13">
        <f>+P11-P23-P34</f>
        <v>9835728.1889999993</v>
      </c>
      <c r="Q36" s="27">
        <f>P36/($P$2+$P$3)</f>
        <v>0.72789713166118097</v>
      </c>
      <c r="R36" s="13">
        <f>+R11-R23-R34</f>
        <v>7874971.9699999988</v>
      </c>
      <c r="S36" s="27">
        <f>R36/R$11</f>
        <v>0.69186182164531029</v>
      </c>
      <c r="T36" s="13">
        <f>+T11-T23-T34</f>
        <v>8882293.4979999997</v>
      </c>
      <c r="U36" s="27">
        <f>T36/T$11</f>
        <v>0.66849158573353362</v>
      </c>
      <c r="V36" s="13">
        <f>+V11-V23-V34</f>
        <v>8295219.6417180486</v>
      </c>
      <c r="W36" s="27">
        <f>V36/V$11</f>
        <v>0.6639112054542633</v>
      </c>
      <c r="X36" s="13">
        <f>+X11-X23-X34</f>
        <v>9471593.8412898555</v>
      </c>
      <c r="Y36" s="27">
        <f>X36/X$11</f>
        <v>0.6967678392179002</v>
      </c>
      <c r="Z36" s="13">
        <f>+Z11-Z23-Z34</f>
        <v>10035205.742748352</v>
      </c>
      <c r="AA36" s="27">
        <f>Z36/Z$11</f>
        <v>0.74206557349200497</v>
      </c>
      <c r="AB36" s="13">
        <v>10534005.761842081</v>
      </c>
      <c r="AC36" s="27">
        <v>0.7278389663843633</v>
      </c>
    </row>
    <row r="37" spans="1:29" x14ac:dyDescent="0.25">
      <c r="A37" s="8" t="s">
        <v>13</v>
      </c>
      <c r="B37" s="17"/>
      <c r="C37" s="55"/>
      <c r="D37" s="17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17"/>
      <c r="Q37" s="55"/>
      <c r="R37" s="77"/>
      <c r="S37" s="11"/>
      <c r="T37" s="18"/>
      <c r="U37" s="11"/>
      <c r="V37" s="18"/>
      <c r="W37" s="11"/>
      <c r="X37" s="18"/>
      <c r="Y37" s="11"/>
      <c r="Z37" s="18"/>
      <c r="AA37" s="11"/>
      <c r="AB37" s="18"/>
      <c r="AC37" s="11"/>
    </row>
    <row r="38" spans="1:29" x14ac:dyDescent="0.25">
      <c r="A38" s="19" t="s">
        <v>38</v>
      </c>
      <c r="B38" s="17"/>
      <c r="C38" s="55"/>
      <c r="D38" s="17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17"/>
      <c r="Q38" s="55"/>
      <c r="R38" s="17"/>
      <c r="S38" s="11"/>
      <c r="T38" s="18"/>
      <c r="U38" s="11"/>
      <c r="V38" s="18"/>
      <c r="W38" s="11"/>
      <c r="X38" s="18"/>
      <c r="Y38" s="11"/>
      <c r="Z38" s="18"/>
      <c r="AA38" s="11"/>
      <c r="AB38" s="18"/>
      <c r="AC38" s="11"/>
    </row>
    <row r="39" spans="1:29" x14ac:dyDescent="0.25">
      <c r="A39" s="8" t="s">
        <v>39</v>
      </c>
      <c r="B39" s="9">
        <f>808287*1.18%</f>
        <v>9537.7865999999995</v>
      </c>
      <c r="C39" s="42">
        <f>B39/$B$11</f>
        <v>5.6773232440536885E-3</v>
      </c>
      <c r="D39" s="9">
        <f>1786877*1.18%</f>
        <v>21085.1486</v>
      </c>
      <c r="E39" s="42">
        <f>D39/$D$11</f>
        <v>6.8142071422457717E-3</v>
      </c>
      <c r="F39" s="48">
        <f>63500+108</f>
        <v>63608</v>
      </c>
      <c r="G39" s="42" t="e">
        <f>F39/$F$10</f>
        <v>#DIV/0!</v>
      </c>
      <c r="H39" s="24">
        <f>84000+1427</f>
        <v>85427</v>
      </c>
      <c r="I39" s="42" t="e">
        <f>H39/$H$10</f>
        <v>#DIV/0!</v>
      </c>
      <c r="J39" s="59">
        <v>99503.26</v>
      </c>
      <c r="K39" s="42">
        <v>1.548659792946705E-2</v>
      </c>
      <c r="L39" s="78">
        <v>209864.74</v>
      </c>
      <c r="M39" s="42">
        <v>1.6718357562428343E-2</v>
      </c>
      <c r="N39" s="78">
        <v>239806</v>
      </c>
      <c r="O39" s="42">
        <v>1.6153010832885104E-2</v>
      </c>
      <c r="P39" s="24">
        <v>214102.18</v>
      </c>
      <c r="Q39" s="42">
        <f>P39/$P$11</f>
        <v>1.5141134933732548E-2</v>
      </c>
      <c r="R39" s="59">
        <f>730+2%*8863359</f>
        <v>177997.18</v>
      </c>
      <c r="S39" s="11">
        <f>R39/R$11</f>
        <v>1.5638081465136719E-2</v>
      </c>
      <c r="T39" s="9">
        <v>157857.24</v>
      </c>
      <c r="U39" s="11">
        <f t="shared" ref="U39:U58" si="14">T39/T$11</f>
        <v>1.1880516750643291E-2</v>
      </c>
      <c r="V39" s="15">
        <v>181224.98</v>
      </c>
      <c r="W39" s="11">
        <f>V39/V$11</f>
        <v>1.450441340035518E-2</v>
      </c>
      <c r="X39" s="15">
        <v>199319.16</v>
      </c>
      <c r="Y39" s="11">
        <f>X39/X$11</f>
        <v>1.466270437215181E-2</v>
      </c>
      <c r="Z39" s="79">
        <v>217079.09</v>
      </c>
      <c r="AA39" s="11">
        <f>Z39/Z$11</f>
        <v>1.6052179052769028E-2</v>
      </c>
      <c r="AB39" s="71">
        <v>214376.69</v>
      </c>
      <c r="AC39" s="11">
        <v>1.4812191296847726E-2</v>
      </c>
    </row>
    <row r="40" spans="1:29" x14ac:dyDescent="0.25">
      <c r="A40" s="8" t="s">
        <v>101</v>
      </c>
      <c r="B40" s="9">
        <v>3280</v>
      </c>
      <c r="C40" s="42">
        <f>B40/$B$11</f>
        <v>1.9524047896496341E-3</v>
      </c>
      <c r="D40" s="9">
        <f>1330</f>
        <v>1330</v>
      </c>
      <c r="E40" s="42">
        <f>D40/$D$11</f>
        <v>4.29823648441675E-4</v>
      </c>
      <c r="F40" s="48">
        <v>8434</v>
      </c>
      <c r="G40" s="42" t="e">
        <f>F40/$F$10</f>
        <v>#DIV/0!</v>
      </c>
      <c r="H40" s="24">
        <v>6840</v>
      </c>
      <c r="I40" s="42" t="e">
        <f>H40/$H$10</f>
        <v>#DIV/0!</v>
      </c>
      <c r="J40" s="59">
        <v>6541</v>
      </c>
      <c r="K40" s="42">
        <v>1.0180353594107768E-3</v>
      </c>
      <c r="L40" s="78">
        <v>9042</v>
      </c>
      <c r="M40" s="42">
        <v>7.2030865727838365E-4</v>
      </c>
      <c r="N40" s="78">
        <v>8600</v>
      </c>
      <c r="O40" s="42">
        <v>5.7928447646352424E-4</v>
      </c>
      <c r="P40" s="24">
        <v>10210</v>
      </c>
      <c r="Q40" s="42">
        <f>P40/$P$11</f>
        <v>7.2204303418773837E-4</v>
      </c>
      <c r="R40" s="59">
        <v>5096</v>
      </c>
      <c r="S40" s="11">
        <f t="shared" ref="S40:S57" si="15">R40/R$11</f>
        <v>4.4771306571450586E-4</v>
      </c>
      <c r="T40" s="9">
        <v>11062</v>
      </c>
      <c r="U40" s="11">
        <f t="shared" si="14"/>
        <v>8.3253879451849078E-4</v>
      </c>
      <c r="V40" s="9">
        <v>21590</v>
      </c>
      <c r="W40" s="11">
        <f t="shared" ref="W40:W57" si="16">V40/V$11</f>
        <v>1.7279642426428648E-3</v>
      </c>
      <c r="X40" s="15">
        <v>13016</v>
      </c>
      <c r="Y40" s="11">
        <f t="shared" ref="Y40:Y57" si="17">X40/X$11</f>
        <v>9.5750835046629708E-4</v>
      </c>
      <c r="Z40" s="15">
        <v>8981</v>
      </c>
      <c r="AA40" s="11">
        <f t="shared" ref="AA40:AA57" si="18">Z40/Z$11</f>
        <v>6.6411103931253185E-4</v>
      </c>
      <c r="AB40" s="15">
        <v>14020</v>
      </c>
      <c r="AC40" s="11">
        <v>9.6870103732735636E-4</v>
      </c>
    </row>
    <row r="41" spans="1:29" x14ac:dyDescent="0.25">
      <c r="A41" s="8" t="s">
        <v>102</v>
      </c>
      <c r="B41" s="9">
        <f>392592+30000</f>
        <v>422592</v>
      </c>
      <c r="C41" s="42">
        <f>B41/$B$11</f>
        <v>0.25154592831329819</v>
      </c>
      <c r="D41" s="9">
        <f>428902+50000</f>
        <v>478902</v>
      </c>
      <c r="E41" s="42">
        <f>D41/$D$11</f>
        <v>0.15476947735790605</v>
      </c>
      <c r="F41" s="24">
        <f>891472+55000</f>
        <v>946472</v>
      </c>
      <c r="G41" s="42" t="e">
        <f>F41/$F$10</f>
        <v>#DIV/0!</v>
      </c>
      <c r="H41" s="24">
        <f>877700+55000</f>
        <v>932700</v>
      </c>
      <c r="I41" s="42" t="e">
        <f>H41/$H$10</f>
        <v>#DIV/0!</v>
      </c>
      <c r="J41" s="69">
        <v>910737.2</v>
      </c>
      <c r="K41" s="42">
        <v>0.14174631902320203</v>
      </c>
      <c r="L41" s="78">
        <v>1082599</v>
      </c>
      <c r="M41" s="42">
        <v>8.6242582621203365E-2</v>
      </c>
      <c r="N41" s="78">
        <v>1121165</v>
      </c>
      <c r="O41" s="42">
        <v>7.5520172099328736E-2</v>
      </c>
      <c r="P41" s="24">
        <f>5600+1229978</f>
        <v>1235578</v>
      </c>
      <c r="Q41" s="42">
        <f>P41/$P$11</f>
        <v>8.7379087962352345E-2</v>
      </c>
      <c r="R41" s="69">
        <v>1485256</v>
      </c>
      <c r="S41" s="11">
        <f t="shared" si="15"/>
        <v>0.13048832753745371</v>
      </c>
      <c r="T41" s="9">
        <f>1245948+6000</f>
        <v>1251948</v>
      </c>
      <c r="U41" s="11">
        <f t="shared" si="14"/>
        <v>9.4223040925676696E-2</v>
      </c>
      <c r="V41" s="15">
        <v>1444691.6666666667</v>
      </c>
      <c r="W41" s="11">
        <f t="shared" si="16"/>
        <v>0.11562647251709703</v>
      </c>
      <c r="X41" s="15">
        <v>1434969.05</v>
      </c>
      <c r="Y41" s="11">
        <f t="shared" si="17"/>
        <v>0.10556198893943528</v>
      </c>
      <c r="Z41" s="15">
        <v>1434734.3333333335</v>
      </c>
      <c r="AA41" s="11">
        <f t="shared" si="18"/>
        <v>0.10609318664373374</v>
      </c>
      <c r="AB41" s="15">
        <v>1485667.6666666667</v>
      </c>
      <c r="AC41" s="11">
        <v>0.10265105633550023</v>
      </c>
    </row>
    <row r="42" spans="1:29" x14ac:dyDescent="0.25">
      <c r="A42" s="8" t="s">
        <v>103</v>
      </c>
      <c r="B42" s="9"/>
      <c r="C42" s="42"/>
      <c r="D42" s="9"/>
      <c r="E42" s="42"/>
      <c r="F42" s="42">
        <v>0</v>
      </c>
      <c r="G42" s="42"/>
      <c r="H42" s="42">
        <v>0</v>
      </c>
      <c r="I42" s="42"/>
      <c r="J42" s="42">
        <v>0</v>
      </c>
      <c r="K42" s="42"/>
      <c r="L42" s="78">
        <v>59129.24</v>
      </c>
      <c r="M42" s="42">
        <v>4.7103852544007176E-3</v>
      </c>
      <c r="N42" s="78">
        <v>59182.239999999998</v>
      </c>
      <c r="O42" s="42">
        <v>3.9864363853882138E-3</v>
      </c>
      <c r="P42" s="24">
        <v>59624.51</v>
      </c>
      <c r="Q42" s="42">
        <f>P42/$P$11</f>
        <v>4.2165976603679876E-3</v>
      </c>
      <c r="R42" s="69">
        <v>55844</v>
      </c>
      <c r="S42" s="11">
        <f t="shared" si="15"/>
        <v>4.9062182970488356E-3</v>
      </c>
      <c r="T42" s="9">
        <f>58167.96+6000</f>
        <v>64167.96</v>
      </c>
      <c r="U42" s="11">
        <f t="shared" si="14"/>
        <v>4.8293541913858925E-3</v>
      </c>
      <c r="V42" s="9">
        <v>55295.96</v>
      </c>
      <c r="W42" s="11">
        <f t="shared" si="16"/>
        <v>4.425634165938404E-3</v>
      </c>
      <c r="X42" s="15">
        <v>52294.59</v>
      </c>
      <c r="Y42" s="11">
        <f t="shared" si="17"/>
        <v>3.8469965126929407E-3</v>
      </c>
      <c r="Z42" s="15">
        <v>53797.07</v>
      </c>
      <c r="AA42" s="11">
        <f t="shared" si="18"/>
        <v>3.9780901981593397E-3</v>
      </c>
      <c r="AB42" s="15">
        <v>52055.42</v>
      </c>
      <c r="AC42" s="11">
        <v>3.5967289124473048E-3</v>
      </c>
    </row>
    <row r="43" spans="1:29" x14ac:dyDescent="0.25">
      <c r="A43" s="8" t="s">
        <v>43</v>
      </c>
      <c r="B43" s="9"/>
      <c r="C43" s="42"/>
      <c r="D43" s="9"/>
      <c r="E43" s="42"/>
      <c r="F43" s="48">
        <f>150*40*30+4012-4012-100000</f>
        <v>80000</v>
      </c>
      <c r="G43" s="42" t="e">
        <f>F43/$F$10</f>
        <v>#DIV/0!</v>
      </c>
      <c r="H43" s="24">
        <f>180000+15144-15144-100000</f>
        <v>80000</v>
      </c>
      <c r="I43" s="42" t="e">
        <f>H43/$H$10</f>
        <v>#DIV/0!</v>
      </c>
      <c r="J43" s="59">
        <v>115941</v>
      </c>
      <c r="K43" s="42">
        <v>1.8044953004960233E-2</v>
      </c>
      <c r="L43" s="78">
        <v>106050</v>
      </c>
      <c r="M43" s="42">
        <v>8.448212022160206E-3</v>
      </c>
      <c r="N43" s="78">
        <v>116380</v>
      </c>
      <c r="O43" s="42">
        <v>7.8392008570726691E-3</v>
      </c>
      <c r="P43" s="24">
        <v>108350</v>
      </c>
      <c r="Q43" s="42">
        <f>P43/$P$11</f>
        <v>7.6624253432165971E-3</v>
      </c>
      <c r="R43" s="59">
        <v>106851</v>
      </c>
      <c r="S43" s="11">
        <f t="shared" si="15"/>
        <v>9.3874781759538204E-3</v>
      </c>
      <c r="T43" s="9">
        <v>109546</v>
      </c>
      <c r="U43" s="11">
        <f t="shared" si="14"/>
        <v>8.2445574746268842E-3</v>
      </c>
      <c r="V43" s="9">
        <v>109264</v>
      </c>
      <c r="W43" s="11">
        <f t="shared" si="16"/>
        <v>8.7449877261755425E-3</v>
      </c>
      <c r="X43" s="15">
        <v>110920</v>
      </c>
      <c r="Y43" s="11">
        <f t="shared" si="17"/>
        <v>8.1597131402674928E-3</v>
      </c>
      <c r="Z43" s="15">
        <v>112106</v>
      </c>
      <c r="AA43" s="11">
        <f t="shared" si="18"/>
        <v>8.2898154073233164E-3</v>
      </c>
      <c r="AB43" s="15">
        <v>112420</v>
      </c>
      <c r="AC43" s="11">
        <v>7.7675727971712842E-3</v>
      </c>
    </row>
    <row r="44" spans="1:29" hidden="1" x14ac:dyDescent="0.25">
      <c r="A44" s="8" t="s">
        <v>104</v>
      </c>
      <c r="B44" s="9"/>
      <c r="C44" s="42"/>
      <c r="D44" s="9"/>
      <c r="E44" s="42"/>
      <c r="F44" s="48">
        <v>0</v>
      </c>
      <c r="G44" s="42"/>
      <c r="H44" s="24">
        <v>0</v>
      </c>
      <c r="I44" s="42"/>
      <c r="J44" s="59">
        <v>274070</v>
      </c>
      <c r="K44" s="42">
        <v>4.2656008401423577E-2</v>
      </c>
      <c r="L44" s="24">
        <v>0</v>
      </c>
      <c r="M44" s="42"/>
      <c r="N44" s="24">
        <v>0</v>
      </c>
      <c r="O44" s="42"/>
      <c r="P44" s="24">
        <v>0</v>
      </c>
      <c r="Q44" s="42"/>
      <c r="R44" s="59">
        <v>0</v>
      </c>
      <c r="S44" s="11">
        <f t="shared" si="15"/>
        <v>0</v>
      </c>
      <c r="T44" s="9"/>
      <c r="U44" s="11">
        <f t="shared" si="14"/>
        <v>0</v>
      </c>
      <c r="V44" s="9">
        <v>0</v>
      </c>
      <c r="W44" s="11">
        <f t="shared" si="16"/>
        <v>0</v>
      </c>
      <c r="X44" s="15">
        <v>0</v>
      </c>
      <c r="Y44" s="11">
        <f t="shared" si="17"/>
        <v>0</v>
      </c>
      <c r="Z44" s="15">
        <v>0</v>
      </c>
      <c r="AA44" s="11">
        <f t="shared" si="18"/>
        <v>0</v>
      </c>
      <c r="AB44" s="15">
        <v>0</v>
      </c>
      <c r="AC44" s="11">
        <v>0</v>
      </c>
    </row>
    <row r="45" spans="1:29" x14ac:dyDescent="0.25">
      <c r="A45" s="8" t="s">
        <v>44</v>
      </c>
      <c r="B45" s="9">
        <v>82312</v>
      </c>
      <c r="C45" s="42">
        <f>B45/$B$11</f>
        <v>4.8995836294402642E-2</v>
      </c>
      <c r="D45" s="9">
        <v>134317</v>
      </c>
      <c r="E45" s="42">
        <f>D45/$D$11</f>
        <v>4.3407987208827416E-2</v>
      </c>
      <c r="F45" s="48">
        <v>189462</v>
      </c>
      <c r="G45" s="42" t="e">
        <f t="shared" ref="G45:G57" si="19">F45/$F$10</f>
        <v>#DIV/0!</v>
      </c>
      <c r="H45" s="24">
        <v>259873</v>
      </c>
      <c r="I45" s="42" t="e">
        <f t="shared" ref="I45:I57" si="20">H45/$H$10</f>
        <v>#DIV/0!</v>
      </c>
      <c r="J45" s="78">
        <v>288445.32</v>
      </c>
      <c r="K45" s="42">
        <v>4.4893370282304931E-2</v>
      </c>
      <c r="L45" s="78">
        <v>582201.5</v>
      </c>
      <c r="M45" s="42">
        <v>4.6379648388681805E-2</v>
      </c>
      <c r="N45" s="78">
        <v>662901.26</v>
      </c>
      <c r="O45" s="42">
        <v>4.465214062164076E-2</v>
      </c>
      <c r="P45" s="48">
        <f>0.5*P4</f>
        <v>609011.20499999984</v>
      </c>
      <c r="Q45" s="42">
        <f t="shared" ref="Q45:Q58" si="21">P45/$P$11</f>
        <v>4.3068785339131305E-2</v>
      </c>
      <c r="R45" s="59">
        <f>0.5*R4</f>
        <v>505338.5</v>
      </c>
      <c r="S45" s="11">
        <f t="shared" si="15"/>
        <v>4.4396909155920296E-2</v>
      </c>
      <c r="T45" s="59">
        <f>0.5*T4</f>
        <v>586727.12999999989</v>
      </c>
      <c r="U45" s="11">
        <f t="shared" si="14"/>
        <v>4.4157756058713957E-2</v>
      </c>
      <c r="V45" s="69">
        <f>0.5*V4</f>
        <v>542946.51500000001</v>
      </c>
      <c r="W45" s="11">
        <f t="shared" si="16"/>
        <v>4.3454940416283366E-2</v>
      </c>
      <c r="X45" s="69">
        <v>589546</v>
      </c>
      <c r="Y45" s="11">
        <f t="shared" si="17"/>
        <v>4.3369331437000891E-2</v>
      </c>
      <c r="Z45" s="69">
        <f>Z4*0.5</f>
        <v>578703.18000000005</v>
      </c>
      <c r="AA45" s="11">
        <f t="shared" si="18"/>
        <v>4.2792915078862848E-2</v>
      </c>
      <c r="AB45" s="88">
        <v>628007.90500000014</v>
      </c>
      <c r="AC45" s="11">
        <v>4.3391719616496439E-2</v>
      </c>
    </row>
    <row r="46" spans="1:29" x14ac:dyDescent="0.25">
      <c r="A46" s="8" t="s">
        <v>45</v>
      </c>
      <c r="B46" s="9">
        <v>295000</v>
      </c>
      <c r="C46" s="42">
        <f>B46/$B$11</f>
        <v>0.17559738199592745</v>
      </c>
      <c r="D46" s="9">
        <v>295000</v>
      </c>
      <c r="E46" s="42">
        <f>D46/$D$11</f>
        <v>9.5336824278416638E-2</v>
      </c>
      <c r="F46" s="9">
        <v>0</v>
      </c>
      <c r="G46" s="42" t="e">
        <f t="shared" si="19"/>
        <v>#DIV/0!</v>
      </c>
      <c r="H46" s="24">
        <v>708000</v>
      </c>
      <c r="I46" s="42" t="e">
        <f t="shared" si="20"/>
        <v>#DIV/0!</v>
      </c>
      <c r="J46" s="78">
        <v>708000</v>
      </c>
      <c r="K46" s="42">
        <v>0.11019248348308057</v>
      </c>
      <c r="L46" s="78">
        <v>708000</v>
      </c>
      <c r="M46" s="42">
        <v>5.6401076017816368E-2</v>
      </c>
      <c r="N46" s="78">
        <v>708000</v>
      </c>
      <c r="O46" s="42">
        <v>4.7689931318159899E-2</v>
      </c>
      <c r="P46" s="48">
        <v>708000</v>
      </c>
      <c r="Q46" s="42">
        <f t="shared" si="21"/>
        <v>5.006919375170605E-2</v>
      </c>
      <c r="R46" s="59">
        <v>708000</v>
      </c>
      <c r="S46" s="11">
        <f t="shared" si="15"/>
        <v>6.2201893745264941E-2</v>
      </c>
      <c r="T46" s="59">
        <v>708000</v>
      </c>
      <c r="U46" s="11">
        <f t="shared" si="14"/>
        <v>5.3284891205848083E-2</v>
      </c>
      <c r="V46" s="69">
        <v>708000</v>
      </c>
      <c r="W46" s="11">
        <f t="shared" si="16"/>
        <v>5.6665061778191209E-2</v>
      </c>
      <c r="X46" s="69">
        <v>708000</v>
      </c>
      <c r="Y46" s="11">
        <f t="shared" si="17"/>
        <v>5.2083275363409523E-2</v>
      </c>
      <c r="Z46" s="69">
        <v>708000</v>
      </c>
      <c r="AA46" s="11">
        <f t="shared" si="18"/>
        <v>5.235392671565222E-2</v>
      </c>
      <c r="AB46" s="69">
        <v>708000</v>
      </c>
      <c r="AC46" s="11">
        <v>4.8918711442779483E-2</v>
      </c>
    </row>
    <row r="47" spans="1:29" x14ac:dyDescent="0.25">
      <c r="A47" s="8" t="s">
        <v>105</v>
      </c>
      <c r="B47" s="9">
        <v>280000</v>
      </c>
      <c r="C47" s="42">
        <f>B47/$B$11</f>
        <v>0.16666870155545657</v>
      </c>
      <c r="D47" s="9">
        <v>286000</v>
      </c>
      <c r="E47" s="42">
        <f>D47/$D$11</f>
        <v>9.2428243198736132E-2</v>
      </c>
      <c r="F47" s="15">
        <v>0</v>
      </c>
      <c r="G47" s="42" t="e">
        <f t="shared" si="19"/>
        <v>#DIV/0!</v>
      </c>
      <c r="H47" s="24">
        <v>114313</v>
      </c>
      <c r="I47" s="42" t="e">
        <f t="shared" si="20"/>
        <v>#DIV/0!</v>
      </c>
      <c r="J47" s="78">
        <v>114313</v>
      </c>
      <c r="K47" s="42">
        <v>1.7791572548589533E-2</v>
      </c>
      <c r="L47" s="78">
        <v>114313</v>
      </c>
      <c r="M47" s="42">
        <v>9.1064635633116425E-3</v>
      </c>
      <c r="N47" s="78">
        <v>114313</v>
      </c>
      <c r="O47" s="42">
        <v>7.6999705067412614E-3</v>
      </c>
      <c r="P47" s="24">
        <v>114313</v>
      </c>
      <c r="Q47" s="42">
        <f t="shared" si="21"/>
        <v>8.0841239340943127E-3</v>
      </c>
      <c r="R47" s="69">
        <v>114313</v>
      </c>
      <c r="S47" s="11">
        <f t="shared" si="15"/>
        <v>1.0043058022178633E-2</v>
      </c>
      <c r="T47" s="9">
        <v>114313</v>
      </c>
      <c r="U47" s="11">
        <f t="shared" si="14"/>
        <v>8.6033273565171067E-3</v>
      </c>
      <c r="V47" s="15">
        <v>114313</v>
      </c>
      <c r="W47" s="11">
        <f t="shared" si="16"/>
        <v>9.1490864506361177E-3</v>
      </c>
      <c r="X47" s="15">
        <v>114313</v>
      </c>
      <c r="Y47" s="11">
        <f t="shared" si="17"/>
        <v>8.4093156166912889E-3</v>
      </c>
      <c r="Z47" s="15">
        <v>114313</v>
      </c>
      <c r="AA47" s="11">
        <f t="shared" si="18"/>
        <v>8.453014724076769E-3</v>
      </c>
      <c r="AB47" s="15">
        <v>114313</v>
      </c>
      <c r="AC47" s="11">
        <v>7.8983681654780386E-3</v>
      </c>
    </row>
    <row r="48" spans="1:29" x14ac:dyDescent="0.25">
      <c r="A48" s="8" t="s">
        <v>47</v>
      </c>
      <c r="B48" s="9">
        <v>56248.88</v>
      </c>
      <c r="C48" s="42">
        <f>B48/$B$11</f>
        <v>3.3481884976959607E-2</v>
      </c>
      <c r="D48" s="9">
        <v>70888.91</v>
      </c>
      <c r="E48" s="42">
        <f>D48/$D$11</f>
        <v>2.2909571376130481E-2</v>
      </c>
      <c r="F48" s="24">
        <v>66542</v>
      </c>
      <c r="G48" s="42" t="e">
        <f t="shared" si="19"/>
        <v>#DIV/0!</v>
      </c>
      <c r="H48" s="24">
        <v>73406</v>
      </c>
      <c r="I48" s="42" t="e">
        <f t="shared" si="20"/>
        <v>#DIV/0!</v>
      </c>
      <c r="J48" s="78">
        <v>70200</v>
      </c>
      <c r="K48" s="42">
        <v>1.0925864887729175E-2</v>
      </c>
      <c r="L48" s="78">
        <v>56743.2258</v>
      </c>
      <c r="M48" s="42">
        <v>4.5203093105111846E-3</v>
      </c>
      <c r="N48" s="78">
        <v>60275.489600000001</v>
      </c>
      <c r="O48" s="42">
        <v>4.0600762135486745E-3</v>
      </c>
      <c r="P48" s="24">
        <v>51988</v>
      </c>
      <c r="Q48" s="42">
        <f t="shared" si="21"/>
        <v>3.6765497807396811E-3</v>
      </c>
      <c r="R48" s="69">
        <v>56714</v>
      </c>
      <c r="S48" s="11">
        <f t="shared" si="15"/>
        <v>4.9826528274985252E-3</v>
      </c>
      <c r="T48" s="9">
        <v>66838</v>
      </c>
      <c r="U48" s="11">
        <f t="shared" si="14"/>
        <v>5.0303044610402175E-3</v>
      </c>
      <c r="V48" s="15">
        <v>75934.196799999962</v>
      </c>
      <c r="W48" s="11">
        <f t="shared" si="16"/>
        <v>6.077423662075321E-3</v>
      </c>
      <c r="X48" s="15">
        <v>101839.05680000001</v>
      </c>
      <c r="Y48" s="11">
        <f t="shared" si="17"/>
        <v>7.4916831046105978E-3</v>
      </c>
      <c r="Z48" s="15">
        <v>149947.2034</v>
      </c>
      <c r="AA48" s="11">
        <f t="shared" si="18"/>
        <v>1.1088029516978244E-2</v>
      </c>
      <c r="AB48" s="28">
        <v>149947.2034</v>
      </c>
      <c r="AC48" s="11">
        <v>1.0360485840079607E-2</v>
      </c>
    </row>
    <row r="49" spans="1:29" x14ac:dyDescent="0.25">
      <c r="A49" s="8" t="s">
        <v>52</v>
      </c>
      <c r="B49" s="9">
        <v>71668</v>
      </c>
      <c r="C49" s="42">
        <f>B49/$B$11</f>
        <v>4.2660044653844501E-2</v>
      </c>
      <c r="D49" s="9">
        <v>103855.5</v>
      </c>
      <c r="E49" s="42">
        <f>D49/$D$11</f>
        <v>3.356357136897322E-2</v>
      </c>
      <c r="F49" s="9">
        <v>101731</v>
      </c>
      <c r="G49" s="42" t="e">
        <f t="shared" si="19"/>
        <v>#DIV/0!</v>
      </c>
      <c r="H49" s="24">
        <v>150843</v>
      </c>
      <c r="I49" s="42" t="e">
        <f t="shared" si="20"/>
        <v>#DIV/0!</v>
      </c>
      <c r="J49" s="78">
        <v>148915</v>
      </c>
      <c r="K49" s="42">
        <v>2.3176996720173648E-2</v>
      </c>
      <c r="L49" s="78">
        <v>171049.29739999998</v>
      </c>
      <c r="M49" s="42">
        <v>1.3626220939903217E-2</v>
      </c>
      <c r="N49" s="78">
        <v>228437.54319999999</v>
      </c>
      <c r="O49" s="42">
        <v>1.5387246815956476E-2</v>
      </c>
      <c r="P49" s="24">
        <v>237256</v>
      </c>
      <c r="Q49" s="42">
        <f t="shared" si="21"/>
        <v>1.6778554566037811E-2</v>
      </c>
      <c r="R49" s="59">
        <v>213049</v>
      </c>
      <c r="S49" s="11">
        <f t="shared" si="15"/>
        <v>1.871758652617931E-2</v>
      </c>
      <c r="T49" s="9">
        <v>203563.97</v>
      </c>
      <c r="U49" s="11">
        <f t="shared" si="14"/>
        <v>1.5320457619887744E-2</v>
      </c>
      <c r="V49" s="15">
        <v>224356.674</v>
      </c>
      <c r="W49" s="11">
        <f t="shared" si="16"/>
        <v>1.7956475695705517E-2</v>
      </c>
      <c r="X49" s="15">
        <v>249513.37200000003</v>
      </c>
      <c r="Y49" s="11">
        <f t="shared" si="17"/>
        <v>1.8355188786340165E-2</v>
      </c>
      <c r="Z49" s="15">
        <v>193295.85299999997</v>
      </c>
      <c r="AA49" s="11">
        <f t="shared" si="18"/>
        <v>1.4293498477968196E-2</v>
      </c>
      <c r="AB49" s="28">
        <v>193295.85299999997</v>
      </c>
      <c r="AC49" s="11">
        <v>1.3355627197730112E-2</v>
      </c>
    </row>
    <row r="50" spans="1:29" hidden="1" x14ac:dyDescent="0.25">
      <c r="A50" s="8" t="s">
        <v>106</v>
      </c>
      <c r="B50" s="9"/>
      <c r="C50" s="42"/>
      <c r="D50" s="9"/>
      <c r="E50" s="42"/>
      <c r="F50" s="42">
        <v>0</v>
      </c>
      <c r="G50" s="42" t="e">
        <f t="shared" si="19"/>
        <v>#DIV/0!</v>
      </c>
      <c r="H50" s="42">
        <v>0</v>
      </c>
      <c r="I50" s="42" t="e">
        <f t="shared" si="20"/>
        <v>#DIV/0!</v>
      </c>
      <c r="J50" s="42">
        <v>0</v>
      </c>
      <c r="K50" s="42" t="e">
        <f>J50/$H$10</f>
        <v>#DIV/0!</v>
      </c>
      <c r="L50" s="24">
        <v>0</v>
      </c>
      <c r="M50" s="42"/>
      <c r="N50" s="24">
        <v>0</v>
      </c>
      <c r="O50" s="42"/>
      <c r="P50" s="24">
        <v>115153</v>
      </c>
      <c r="Q50" s="42">
        <f t="shared" si="21"/>
        <v>8.1435280622743043E-3</v>
      </c>
      <c r="R50" s="59">
        <v>0</v>
      </c>
      <c r="S50" s="11">
        <f t="shared" si="15"/>
        <v>0</v>
      </c>
      <c r="T50" s="9">
        <v>0</v>
      </c>
      <c r="U50" s="11">
        <f t="shared" si="14"/>
        <v>0</v>
      </c>
      <c r="V50" s="9">
        <v>0</v>
      </c>
      <c r="W50" s="11">
        <f t="shared" si="16"/>
        <v>0</v>
      </c>
      <c r="X50" s="15">
        <v>0</v>
      </c>
      <c r="Y50" s="11">
        <f t="shared" si="17"/>
        <v>0</v>
      </c>
      <c r="Z50" s="15">
        <v>0</v>
      </c>
      <c r="AA50" s="11">
        <f t="shared" si="18"/>
        <v>0</v>
      </c>
      <c r="AB50" s="15">
        <v>0</v>
      </c>
      <c r="AC50" s="11">
        <v>0</v>
      </c>
    </row>
    <row r="51" spans="1:29" x14ac:dyDescent="0.25">
      <c r="A51" s="8" t="s">
        <v>107</v>
      </c>
      <c r="B51" s="9">
        <f>41300</f>
        <v>41300</v>
      </c>
      <c r="C51" s="42">
        <f>B51/$B$11</f>
        <v>2.4583633479429844E-2</v>
      </c>
      <c r="D51" s="9">
        <v>41300</v>
      </c>
      <c r="E51" s="42">
        <f>D51/$D$11</f>
        <v>1.3347155398978329E-2</v>
      </c>
      <c r="F51" s="80">
        <f>39470+35400-74870+90000</f>
        <v>90000</v>
      </c>
      <c r="G51" s="42" t="e">
        <f t="shared" si="19"/>
        <v>#DIV/0!</v>
      </c>
      <c r="H51" s="67">
        <f>18481-18481+59000</f>
        <v>59000</v>
      </c>
      <c r="I51" s="42" t="e">
        <f t="shared" si="20"/>
        <v>#DIV/0!</v>
      </c>
      <c r="J51" s="78">
        <v>57071</v>
      </c>
      <c r="K51" s="42">
        <v>8.8824791311622759E-3</v>
      </c>
      <c r="L51" s="78">
        <v>59000</v>
      </c>
      <c r="M51" s="42">
        <v>4.7000896681513643E-3</v>
      </c>
      <c r="N51" s="78">
        <v>93440</v>
      </c>
      <c r="O51" s="42">
        <v>6.2939931954362448E-3</v>
      </c>
      <c r="P51" s="67">
        <v>151125</v>
      </c>
      <c r="Q51" s="42">
        <f t="shared" si="21"/>
        <v>1.0687439132382171E-2</v>
      </c>
      <c r="R51" s="81">
        <v>63330</v>
      </c>
      <c r="S51" s="11">
        <f t="shared" si="15"/>
        <v>5.5639066820446738E-3</v>
      </c>
      <c r="T51" s="9">
        <v>107268</v>
      </c>
      <c r="U51" s="11">
        <f t="shared" si="14"/>
        <v>8.0731125845606103E-3</v>
      </c>
      <c r="V51" s="15">
        <v>88500</v>
      </c>
      <c r="W51" s="11">
        <f t="shared" si="16"/>
        <v>7.0831327222739011E-3</v>
      </c>
      <c r="X51" s="15">
        <v>118500</v>
      </c>
      <c r="Y51" s="11">
        <f t="shared" si="17"/>
        <v>8.7173278680282885E-3</v>
      </c>
      <c r="Z51" s="15">
        <v>108500</v>
      </c>
      <c r="AA51" s="11">
        <f t="shared" si="18"/>
        <v>8.023165322949527E-3</v>
      </c>
      <c r="AB51" s="15">
        <v>70800</v>
      </c>
      <c r="AC51" s="11">
        <v>4.891871144277948E-3</v>
      </c>
    </row>
    <row r="52" spans="1:29" x14ac:dyDescent="0.25">
      <c r="A52" s="8" t="s">
        <v>49</v>
      </c>
      <c r="B52" s="9">
        <v>12555</v>
      </c>
      <c r="C52" s="42">
        <f>B52/$B$11</f>
        <v>7.4733055286741326E-3</v>
      </c>
      <c r="D52" s="9">
        <f>7472-1734.25</f>
        <v>5737.75</v>
      </c>
      <c r="E52" s="42">
        <f>D52/$D$11</f>
        <v>1.8543012322152037E-3</v>
      </c>
      <c r="F52" s="48">
        <v>140994</v>
      </c>
      <c r="G52" s="42" t="e">
        <f t="shared" si="19"/>
        <v>#DIV/0!</v>
      </c>
      <c r="H52" s="24">
        <v>56249</v>
      </c>
      <c r="I52" s="42" t="e">
        <f t="shared" si="20"/>
        <v>#DIV/0!</v>
      </c>
      <c r="J52" s="78">
        <v>215657.5</v>
      </c>
      <c r="K52" s="42">
        <v>3.3564739416317019E-2</v>
      </c>
      <c r="L52" s="78">
        <v>64564</v>
      </c>
      <c r="M52" s="42">
        <v>5.1433320226190625E-3</v>
      </c>
      <c r="N52" s="78">
        <v>122932</v>
      </c>
      <c r="O52" s="42">
        <v>8.2805347977458095E-3</v>
      </c>
      <c r="P52" s="24">
        <v>94235</v>
      </c>
      <c r="Q52" s="42">
        <f t="shared" si="21"/>
        <v>6.6642238321921185E-3</v>
      </c>
      <c r="R52" s="59">
        <v>124414</v>
      </c>
      <c r="S52" s="11">
        <f t="shared" si="15"/>
        <v>1.0930489277434171E-2</v>
      </c>
      <c r="T52" s="9">
        <v>104613</v>
      </c>
      <c r="U52" s="11">
        <f t="shared" si="14"/>
        <v>7.8732942425386795E-3</v>
      </c>
      <c r="V52" s="15">
        <v>65365.4</v>
      </c>
      <c r="W52" s="11">
        <f t="shared" si="16"/>
        <v>5.2315458038929095E-3</v>
      </c>
      <c r="X52" s="15">
        <v>60955.000399999997</v>
      </c>
      <c r="Y52" s="11">
        <f t="shared" si="17"/>
        <v>4.4840904952117766E-3</v>
      </c>
      <c r="Z52" s="15">
        <v>0</v>
      </c>
      <c r="AA52" s="11">
        <f t="shared" si="18"/>
        <v>0</v>
      </c>
      <c r="AB52" s="15">
        <v>103892.7</v>
      </c>
      <c r="AC52" s="11">
        <v>7.1783856106091186E-3</v>
      </c>
    </row>
    <row r="53" spans="1:29" x14ac:dyDescent="0.25">
      <c r="A53" s="8" t="s">
        <v>108</v>
      </c>
      <c r="B53" s="9">
        <v>10000</v>
      </c>
      <c r="C53" s="42">
        <f>B53/$B$11</f>
        <v>5.9524536269805915E-3</v>
      </c>
      <c r="D53" s="9">
        <v>10000</v>
      </c>
      <c r="E53" s="42">
        <f>D53/$D$11</f>
        <v>3.2317567552005641E-3</v>
      </c>
      <c r="F53" s="48">
        <v>15000</v>
      </c>
      <c r="G53" s="42" t="e">
        <f t="shared" si="19"/>
        <v>#DIV/0!</v>
      </c>
      <c r="H53" s="24">
        <v>15000</v>
      </c>
      <c r="I53" s="42" t="e">
        <f t="shared" si="20"/>
        <v>#DIV/0!</v>
      </c>
      <c r="J53" s="78">
        <v>18000</v>
      </c>
      <c r="K53" s="42">
        <v>2.8015038173664552E-3</v>
      </c>
      <c r="L53" s="78">
        <v>20000</v>
      </c>
      <c r="M53" s="42">
        <v>1.593250734966564E-3</v>
      </c>
      <c r="N53" s="78">
        <v>20000</v>
      </c>
      <c r="O53" s="42">
        <v>1.3471732010779632E-3</v>
      </c>
      <c r="P53" s="24">
        <v>20000</v>
      </c>
      <c r="Q53" s="42">
        <f t="shared" si="21"/>
        <v>1.4143840042854818E-3</v>
      </c>
      <c r="R53" s="59">
        <v>20000</v>
      </c>
      <c r="S53" s="11">
        <f t="shared" si="15"/>
        <v>1.7571156425216087E-3</v>
      </c>
      <c r="T53" s="9">
        <v>20000</v>
      </c>
      <c r="U53" s="11">
        <f t="shared" si="14"/>
        <v>1.5052229154194374E-3</v>
      </c>
      <c r="V53" s="9">
        <f>23600+6000</f>
        <v>29600</v>
      </c>
      <c r="W53" s="11">
        <f t="shared" si="16"/>
        <v>2.3690477805571467E-3</v>
      </c>
      <c r="X53" s="15">
        <v>29600</v>
      </c>
      <c r="Y53" s="11">
        <f t="shared" si="17"/>
        <v>2.1774928683007374E-3</v>
      </c>
      <c r="Z53" s="15">
        <v>41400</v>
      </c>
      <c r="AA53" s="11">
        <f t="shared" si="18"/>
        <v>3.0613736808305109E-3</v>
      </c>
      <c r="AB53" s="15">
        <v>29600</v>
      </c>
      <c r="AC53" s="11">
        <v>2.0451890659693118E-3</v>
      </c>
    </row>
    <row r="54" spans="1:29" x14ac:dyDescent="0.25">
      <c r="A54" s="8" t="s">
        <v>51</v>
      </c>
      <c r="B54" s="9">
        <f>23987+1495+7760+39992+1820+4890+11960+750+150</f>
        <v>92804</v>
      </c>
      <c r="C54" s="42">
        <f>B54/$B$11</f>
        <v>5.5241150639830684E-2</v>
      </c>
      <c r="D54" s="9">
        <f>79862+2220+21300+6000+211</f>
        <v>109593</v>
      </c>
      <c r="E54" s="42">
        <f>D54/$D$11</f>
        <v>3.541779180726954E-2</v>
      </c>
      <c r="F54" s="48">
        <f>66023+3153+5860+3875</f>
        <v>78911</v>
      </c>
      <c r="G54" s="42" t="e">
        <f t="shared" si="19"/>
        <v>#DIV/0!</v>
      </c>
      <c r="H54" s="24">
        <f>1751+134609+29879+4843+1525</f>
        <v>172607</v>
      </c>
      <c r="I54" s="42" t="e">
        <f t="shared" si="20"/>
        <v>#DIV/0!</v>
      </c>
      <c r="J54" s="78">
        <v>236687.31</v>
      </c>
      <c r="K54" s="42">
        <v>3.683780013817764E-2</v>
      </c>
      <c r="L54" s="78">
        <v>102866.625</v>
      </c>
      <c r="M54" s="42">
        <v>8.1946162942389961E-3</v>
      </c>
      <c r="N54" s="78">
        <v>271562.46499999997</v>
      </c>
      <c r="O54" s="42">
        <v>1.8292083763333616E-2</v>
      </c>
      <c r="P54" s="24">
        <v>203115</v>
      </c>
      <c r="Q54" s="42">
        <f t="shared" si="21"/>
        <v>1.4364130351522281E-2</v>
      </c>
      <c r="R54" s="59">
        <f>247298+3900</f>
        <v>251198</v>
      </c>
      <c r="S54" s="11">
        <f t="shared" si="15"/>
        <v>2.2069196758507152E-2</v>
      </c>
      <c r="T54" s="9">
        <v>145826.63</v>
      </c>
      <c r="U54" s="11">
        <f t="shared" si="14"/>
        <v>1.097507925771958E-2</v>
      </c>
      <c r="V54" s="15">
        <v>163319</v>
      </c>
      <c r="W54" s="11">
        <f t="shared" si="16"/>
        <v>1.3071301164622049E-2</v>
      </c>
      <c r="X54" s="15">
        <v>113889.52499999999</v>
      </c>
      <c r="Y54" s="11">
        <f t="shared" si="17"/>
        <v>8.3781631237046794E-3</v>
      </c>
      <c r="Z54" s="15">
        <v>150139.625</v>
      </c>
      <c r="AA54" s="11">
        <f t="shared" si="18"/>
        <v>1.110225836774789E-2</v>
      </c>
      <c r="AB54" s="15">
        <v>252604.79999999999</v>
      </c>
      <c r="AC54" s="11">
        <v>1.7453532938221782E-2</v>
      </c>
    </row>
    <row r="55" spans="1:29" x14ac:dyDescent="0.25">
      <c r="A55" s="8" t="s">
        <v>109</v>
      </c>
      <c r="B55" s="9"/>
      <c r="C55" s="42"/>
      <c r="D55" s="9"/>
      <c r="E55" s="42"/>
      <c r="F55" s="48">
        <v>5000</v>
      </c>
      <c r="G55" s="42" t="e">
        <f t="shared" si="19"/>
        <v>#DIV/0!</v>
      </c>
      <c r="H55" s="24">
        <v>5000</v>
      </c>
      <c r="I55" s="42" t="e">
        <f t="shared" si="20"/>
        <v>#DIV/0!</v>
      </c>
      <c r="J55" s="78">
        <v>4100</v>
      </c>
      <c r="K55" s="42">
        <v>6.3812031395569255E-4</v>
      </c>
      <c r="L55" s="78">
        <v>1590</v>
      </c>
      <c r="M55" s="42">
        <v>1.2666343342984185E-4</v>
      </c>
      <c r="N55" s="78">
        <v>3198</v>
      </c>
      <c r="O55" s="42">
        <v>2.1541299485236634E-4</v>
      </c>
      <c r="P55" s="24">
        <v>3198</v>
      </c>
      <c r="Q55" s="42">
        <f t="shared" si="21"/>
        <v>2.2616000228524853E-4</v>
      </c>
      <c r="R55" s="59">
        <v>1590</v>
      </c>
      <c r="S55" s="11">
        <f t="shared" si="15"/>
        <v>1.3969069358046789E-4</v>
      </c>
      <c r="T55" s="9">
        <v>1590</v>
      </c>
      <c r="U55" s="11">
        <f t="shared" si="14"/>
        <v>1.1966522177584527E-4</v>
      </c>
      <c r="V55" s="15">
        <v>1590</v>
      </c>
      <c r="W55" s="11">
        <f t="shared" si="16"/>
        <v>1.2725628280695485E-4</v>
      </c>
      <c r="X55" s="15">
        <v>1589.6399999999999</v>
      </c>
      <c r="Y55" s="11">
        <f t="shared" si="17"/>
        <v>1.1694019470153998E-4</v>
      </c>
      <c r="Z55" s="15">
        <v>3200</v>
      </c>
      <c r="AA55" s="11">
        <f t="shared" si="18"/>
        <v>2.3662791735888007E-4</v>
      </c>
      <c r="AB55" s="15">
        <v>1770</v>
      </c>
      <c r="AC55" s="11">
        <v>1.222967786069487E-4</v>
      </c>
    </row>
    <row r="56" spans="1:29" x14ac:dyDescent="0.25">
      <c r="A56" s="8" t="s">
        <v>110</v>
      </c>
      <c r="B56" s="9"/>
      <c r="C56" s="42"/>
      <c r="D56" s="9"/>
      <c r="E56" s="42"/>
      <c r="F56" s="48">
        <v>10450</v>
      </c>
      <c r="G56" s="42" t="e">
        <f t="shared" si="19"/>
        <v>#DIV/0!</v>
      </c>
      <c r="H56" s="24">
        <v>19900</v>
      </c>
      <c r="I56" s="42" t="e">
        <f t="shared" si="20"/>
        <v>#DIV/0!</v>
      </c>
      <c r="J56" s="78">
        <v>4600</v>
      </c>
      <c r="K56" s="42">
        <v>7.1593986443809409E-4</v>
      </c>
      <c r="L56" s="78">
        <v>19600</v>
      </c>
      <c r="M56" s="42">
        <v>1.5613857202672328E-3</v>
      </c>
      <c r="N56" s="78">
        <v>14350</v>
      </c>
      <c r="O56" s="42">
        <v>9.6659677177343868E-4</v>
      </c>
      <c r="P56" s="24">
        <v>49980</v>
      </c>
      <c r="Q56" s="42">
        <f t="shared" si="21"/>
        <v>3.5345456267094188E-3</v>
      </c>
      <c r="R56" s="59">
        <v>17190</v>
      </c>
      <c r="S56" s="11">
        <f t="shared" si="15"/>
        <v>1.5102408947473226E-3</v>
      </c>
      <c r="T56" s="9">
        <v>17775</v>
      </c>
      <c r="U56" s="11">
        <f t="shared" si="14"/>
        <v>1.3377668660790249E-3</v>
      </c>
      <c r="V56" s="15">
        <v>12500</v>
      </c>
      <c r="W56" s="11">
        <f t="shared" si="16"/>
        <v>1.0004424748974437E-3</v>
      </c>
      <c r="X56" s="15">
        <v>19530</v>
      </c>
      <c r="Y56" s="11">
        <f t="shared" si="17"/>
        <v>1.4367039093889662E-3</v>
      </c>
      <c r="Z56" s="15">
        <v>21645</v>
      </c>
      <c r="AA56" s="11">
        <f t="shared" si="18"/>
        <v>1.6005660222602998E-3</v>
      </c>
      <c r="AB56" s="15">
        <v>22635</v>
      </c>
      <c r="AC56" s="11">
        <v>1.5639477874397085E-3</v>
      </c>
    </row>
    <row r="57" spans="1:29" x14ac:dyDescent="0.25">
      <c r="A57" s="8" t="s">
        <v>56</v>
      </c>
      <c r="B57" s="9"/>
      <c r="C57" s="42">
        <f>B57/$B$11</f>
        <v>0</v>
      </c>
      <c r="D57" s="9"/>
      <c r="E57" s="42">
        <f>D57/$D$11</f>
        <v>0</v>
      </c>
      <c r="F57" s="9">
        <v>10000</v>
      </c>
      <c r="G57" s="42" t="e">
        <f t="shared" si="19"/>
        <v>#DIV/0!</v>
      </c>
      <c r="H57" s="9">
        <f>166666/2+10000</f>
        <v>93333</v>
      </c>
      <c r="I57" s="42" t="e">
        <f t="shared" si="20"/>
        <v>#DIV/0!</v>
      </c>
      <c r="J57" s="78">
        <v>166666</v>
      </c>
      <c r="K57" s="42">
        <v>2.5939746401399868E-2</v>
      </c>
      <c r="L57" s="78">
        <v>166666</v>
      </c>
      <c r="M57" s="42">
        <v>1.3277036349696868E-2</v>
      </c>
      <c r="N57" s="78">
        <v>166666</v>
      </c>
      <c r="O57" s="42">
        <v>1.1226398436542991E-2</v>
      </c>
      <c r="P57" s="48">
        <v>166666</v>
      </c>
      <c r="Q57" s="42">
        <f t="shared" si="21"/>
        <v>1.1786486222912205E-2</v>
      </c>
      <c r="R57" s="59">
        <v>166666</v>
      </c>
      <c r="S57" s="11">
        <f t="shared" si="15"/>
        <v>1.4642571783825321E-2</v>
      </c>
      <c r="T57" s="59">
        <v>166666</v>
      </c>
      <c r="U57" s="11">
        <f t="shared" si="14"/>
        <v>1.2543474121064798E-2</v>
      </c>
      <c r="V57" s="69">
        <v>166666</v>
      </c>
      <c r="W57" s="11">
        <f t="shared" si="16"/>
        <v>1.3339179641700588E-2</v>
      </c>
      <c r="X57" s="69">
        <v>166666</v>
      </c>
      <c r="Y57" s="11">
        <f t="shared" si="17"/>
        <v>1.2260608999601711E-2</v>
      </c>
      <c r="Z57" s="69">
        <f>642900/3</f>
        <v>214300</v>
      </c>
      <c r="AA57" s="11">
        <f t="shared" si="18"/>
        <v>1.5846675840627499E-2</v>
      </c>
      <c r="AB57" s="69">
        <v>214300</v>
      </c>
      <c r="AC57" s="11">
        <v>1.480689246071701E-2</v>
      </c>
    </row>
    <row r="58" spans="1:29" x14ac:dyDescent="0.25">
      <c r="A58" s="60" t="s">
        <v>57</v>
      </c>
      <c r="B58" s="61">
        <f>SUM(B39:B54)</f>
        <v>1377297.6665999999</v>
      </c>
      <c r="C58" s="62">
        <f>B58/$B$11</f>
        <v>0.81983004909850743</v>
      </c>
      <c r="D58" s="61">
        <f>SUM(D39:D54)</f>
        <v>1558009.3085999999</v>
      </c>
      <c r="E58" s="62">
        <f>D58/$D$11</f>
        <v>0.50351071077334097</v>
      </c>
      <c r="F58" s="82">
        <f>SUM(F39:F57)</f>
        <v>1806604</v>
      </c>
      <c r="G58" s="62"/>
      <c r="H58" s="82">
        <f>SUM(H39:H57)</f>
        <v>2832491</v>
      </c>
      <c r="I58" s="62"/>
      <c r="J58" s="82">
        <f>SUM(J39:J57)</f>
        <v>3439447.5900000003</v>
      </c>
      <c r="K58" s="62"/>
      <c r="L58" s="82">
        <f>SUM(L39:L57)</f>
        <v>3533278.6282000002</v>
      </c>
      <c r="M58" s="62"/>
      <c r="N58" s="82">
        <f>SUM(N39:N57)</f>
        <v>4011208.9978</v>
      </c>
      <c r="O58" s="62"/>
      <c r="P58" s="61">
        <f>SUM(P39:P57)</f>
        <v>4151904.8949999996</v>
      </c>
      <c r="Q58" s="62">
        <f t="shared" si="21"/>
        <v>0.29361939354012961</v>
      </c>
      <c r="R58" s="61">
        <f>SUM(R39:R57)</f>
        <v>4072846.6799999997</v>
      </c>
      <c r="S58" s="62">
        <f>R58/R$11</f>
        <v>0.35782313055101</v>
      </c>
      <c r="T58" s="61">
        <f>SUM(T39:T57)</f>
        <v>3837761.93</v>
      </c>
      <c r="U58" s="62">
        <f t="shared" si="14"/>
        <v>0.28883436004801638</v>
      </c>
      <c r="V58" s="61">
        <f>SUM(V39:V57)</f>
        <v>4005157.3924666666</v>
      </c>
      <c r="W58" s="62">
        <f>V58/V$11</f>
        <v>0.32055436592585151</v>
      </c>
      <c r="X58" s="61">
        <f>SUM(X39:X57)</f>
        <v>4084460.3941999995</v>
      </c>
      <c r="Y58" s="62">
        <f>X58/X$11</f>
        <v>0.30046903308200396</v>
      </c>
      <c r="Z58" s="61">
        <f>SUM(Z39:Z57)</f>
        <v>4110141.3547333339</v>
      </c>
      <c r="AA58" s="62">
        <f>Z58/Z$11</f>
        <v>0.30392943400661088</v>
      </c>
      <c r="AB58" s="61">
        <v>4367706.2380666668</v>
      </c>
      <c r="AC58" s="62">
        <v>0.30178327842769942</v>
      </c>
    </row>
    <row r="59" spans="1:29" ht="15.75" thickBot="1" x14ac:dyDescent="0.3">
      <c r="A59" s="19" t="s">
        <v>13</v>
      </c>
      <c r="B59" s="24"/>
      <c r="C59" s="30"/>
      <c r="D59" s="24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24"/>
      <c r="Q59" s="30"/>
      <c r="R59" s="24"/>
      <c r="S59" s="11"/>
      <c r="T59" s="24"/>
      <c r="U59" s="11"/>
      <c r="V59" s="24"/>
      <c r="W59" s="11"/>
      <c r="X59" s="24"/>
      <c r="Y59" s="11"/>
      <c r="Z59" s="24"/>
      <c r="AA59" s="11"/>
      <c r="AB59" s="24"/>
      <c r="AC59" s="11"/>
    </row>
    <row r="60" spans="1:29" ht="15.75" thickBot="1" x14ac:dyDescent="0.3">
      <c r="A60" s="12" t="s">
        <v>58</v>
      </c>
      <c r="B60" s="13">
        <f>+B36-B58</f>
        <v>-402321.17802857119</v>
      </c>
      <c r="C60" s="27">
        <f>B60/$B$5</f>
        <v>-0.22557938106236991</v>
      </c>
      <c r="D60" s="13">
        <f>+D36-D58</f>
        <v>688754.71806666651</v>
      </c>
      <c r="E60" s="27">
        <f>D60/$D$5</f>
        <v>0.22259570869331574</v>
      </c>
      <c r="F60" s="13">
        <f>+F36-F58</f>
        <v>1314533.8599999999</v>
      </c>
      <c r="G60" s="27"/>
      <c r="H60" s="13">
        <f>+H36-H58</f>
        <v>865198.93000000017</v>
      </c>
      <c r="I60" s="27"/>
      <c r="J60" s="13">
        <f>+J36-J58</f>
        <v>109561.51999999909</v>
      </c>
      <c r="K60" s="27"/>
      <c r="L60" s="13">
        <f>+L36-L58</f>
        <v>4884109.4218000006</v>
      </c>
      <c r="M60" s="27"/>
      <c r="N60" s="13">
        <f>+N36-N58</f>
        <v>6302130.4521999992</v>
      </c>
      <c r="O60" s="27"/>
      <c r="P60" s="13">
        <f>+P36-P58</f>
        <v>5683823.2939999998</v>
      </c>
      <c r="Q60" s="27">
        <f>P60/$P$5</f>
        <v>0.38585282242406493</v>
      </c>
      <c r="R60" s="13">
        <f>+R36-R58</f>
        <v>3802125.2899999991</v>
      </c>
      <c r="S60" s="27">
        <f>R60/R$11</f>
        <v>0.33403869109430029</v>
      </c>
      <c r="T60" s="13">
        <f>+T36-T58</f>
        <v>5044531.568</v>
      </c>
      <c r="U60" s="27">
        <f>T60/T$11</f>
        <v>0.3796572256855173</v>
      </c>
      <c r="V60" s="13">
        <f>+V36-V58</f>
        <v>4290062.2492513824</v>
      </c>
      <c r="W60" s="27">
        <f>V60/V$11</f>
        <v>0.34335683952841173</v>
      </c>
      <c r="X60" s="13">
        <f>+X36-X58</f>
        <v>5387133.4470898565</v>
      </c>
      <c r="Y60" s="27">
        <f>X60/X$11</f>
        <v>0.39629880613589624</v>
      </c>
      <c r="Z60" s="13">
        <f>+Z36-Z58</f>
        <v>5925064.3880150178</v>
      </c>
      <c r="AA60" s="27">
        <f>Z60/Z$11</f>
        <v>0.43813613948539409</v>
      </c>
      <c r="AB60" s="13">
        <v>6166299.5237754146</v>
      </c>
      <c r="AC60" s="27">
        <v>0.42605568795666388</v>
      </c>
    </row>
    <row r="61" spans="1:29" s="83" customFormat="1" x14ac:dyDescent="0.25">
      <c r="L61" s="83">
        <f>(L60/3)*2</f>
        <v>3256072.9478666671</v>
      </c>
      <c r="N61" s="83">
        <f>(N60/3)*2</f>
        <v>4201420.3014666662</v>
      </c>
      <c r="P61" s="83">
        <f>(P60/3)*2</f>
        <v>3789215.529333333</v>
      </c>
    </row>
    <row r="62" spans="1:29" ht="45" x14ac:dyDescent="0.25">
      <c r="L62">
        <v>30</v>
      </c>
      <c r="N62">
        <v>40</v>
      </c>
      <c r="P62">
        <v>40</v>
      </c>
      <c r="V62" t="s">
        <v>85</v>
      </c>
      <c r="W62" s="53">
        <v>76511.967799999999</v>
      </c>
      <c r="X62" t="s">
        <v>85</v>
      </c>
      <c r="Y62" s="33">
        <v>170061.6</v>
      </c>
      <c r="Z62" t="s">
        <v>111</v>
      </c>
      <c r="AA62" s="53">
        <v>4967</v>
      </c>
      <c r="AB62" s="34" t="s">
        <v>115</v>
      </c>
      <c r="AC62" s="33">
        <v>17310.72</v>
      </c>
    </row>
    <row r="63" spans="1:29" ht="45" x14ac:dyDescent="0.25">
      <c r="V63" t="s">
        <v>112</v>
      </c>
      <c r="W63" s="53">
        <v>35000</v>
      </c>
      <c r="X63" t="s">
        <v>113</v>
      </c>
      <c r="Y63" s="33">
        <v>14328.008400000002</v>
      </c>
      <c r="Z63" t="s">
        <v>85</v>
      </c>
      <c r="AA63" s="53">
        <f>76434.441+30000</f>
        <v>106434.44100000001</v>
      </c>
      <c r="AB63" s="34" t="s">
        <v>120</v>
      </c>
      <c r="AC63" s="84">
        <v>20215</v>
      </c>
    </row>
    <row r="64" spans="1:29" ht="30" x14ac:dyDescent="0.25">
      <c r="V64" s="45" t="s">
        <v>114</v>
      </c>
      <c r="W64" s="33">
        <f>34575+18913</f>
        <v>53488</v>
      </c>
      <c r="X64" s="45" t="s">
        <v>115</v>
      </c>
      <c r="Y64" s="33">
        <v>49560</v>
      </c>
      <c r="Z64" s="45" t="s">
        <v>115</v>
      </c>
      <c r="AA64" s="53">
        <v>147795</v>
      </c>
      <c r="AB64" s="89"/>
      <c r="AC64" s="89"/>
    </row>
    <row r="65" spans="1:29" ht="30" x14ac:dyDescent="0.25">
      <c r="X65" s="34" t="s">
        <v>120</v>
      </c>
      <c r="Y65" s="84">
        <v>20215</v>
      </c>
      <c r="Z65" s="45" t="s">
        <v>116</v>
      </c>
      <c r="AA65" s="53">
        <f>299720-100000</f>
        <v>199720</v>
      </c>
      <c r="AB65" s="34"/>
      <c r="AC65" s="33"/>
    </row>
    <row r="66" spans="1:29" x14ac:dyDescent="0.25">
      <c r="Z66" t="s">
        <v>117</v>
      </c>
      <c r="AA66" s="53">
        <f>25268.35*2</f>
        <v>50536.7</v>
      </c>
      <c r="AB66" s="89"/>
      <c r="AC66" s="33"/>
    </row>
    <row r="67" spans="1:29" x14ac:dyDescent="0.25">
      <c r="Z67" t="s">
        <v>118</v>
      </c>
      <c r="AA67" s="53">
        <v>15160</v>
      </c>
      <c r="AB67" s="89"/>
      <c r="AC67" s="33"/>
    </row>
    <row r="69" spans="1:29" x14ac:dyDescent="0.25">
      <c r="A69" s="90" t="s">
        <v>121</v>
      </c>
      <c r="B69" s="90" t="s">
        <v>121</v>
      </c>
      <c r="C69" s="90" t="s">
        <v>121</v>
      </c>
      <c r="D69" s="90" t="s">
        <v>121</v>
      </c>
      <c r="E69" s="90" t="s">
        <v>121</v>
      </c>
      <c r="F69" s="90" t="s">
        <v>121</v>
      </c>
      <c r="G69" s="90" t="s">
        <v>121</v>
      </c>
      <c r="H69" s="90" t="s">
        <v>121</v>
      </c>
      <c r="I69" s="90" t="s">
        <v>121</v>
      </c>
      <c r="J69" s="90" t="s">
        <v>121</v>
      </c>
      <c r="K69" s="90" t="s">
        <v>121</v>
      </c>
      <c r="L69" s="90" t="s">
        <v>121</v>
      </c>
      <c r="M69" s="90" t="s">
        <v>121</v>
      </c>
      <c r="N69" s="90" t="s">
        <v>121</v>
      </c>
      <c r="O69" s="90" t="s">
        <v>121</v>
      </c>
      <c r="P69" s="90" t="s">
        <v>121</v>
      </c>
      <c r="Q69" s="90" t="s">
        <v>121</v>
      </c>
      <c r="R69" s="90" t="s">
        <v>121</v>
      </c>
      <c r="S69" s="90" t="s">
        <v>121</v>
      </c>
      <c r="T69" s="90" t="s">
        <v>121</v>
      </c>
      <c r="U69" s="90" t="s">
        <v>121</v>
      </c>
      <c r="V69" s="90" t="s">
        <v>121</v>
      </c>
      <c r="W69" s="90" t="s">
        <v>121</v>
      </c>
      <c r="X69" s="91">
        <f>(X60*2/3)-SUM(Y62:Y68)</f>
        <v>3337257.6896599047</v>
      </c>
      <c r="Y69" s="91"/>
      <c r="Z69" s="91">
        <f t="shared" ref="Z69:AB69" si="22">(Z60*2/3)-SUM(AA62:AA68)</f>
        <v>3425429.7843433451</v>
      </c>
      <c r="AA69" s="91"/>
      <c r="AB69" s="91">
        <f t="shared" si="22"/>
        <v>4073340.6291836095</v>
      </c>
      <c r="AC69" s="9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zoomScaleNormal="100" zoomScaleSheetLayoutView="100" workbookViewId="0">
      <pane xSplit="1" ySplit="7" topLeftCell="N9" activePane="bottomRight" state="frozen"/>
      <selection activeCell="J63" sqref="J63"/>
      <selection pane="topRight" activeCell="J63" sqref="J63"/>
      <selection pane="bottomLeft" activeCell="J63" sqref="J63"/>
      <selection pane="bottomRight" activeCell="R7" sqref="R7"/>
    </sheetView>
  </sheetViews>
  <sheetFormatPr defaultColWidth="14" defaultRowHeight="15" x14ac:dyDescent="0.25"/>
  <cols>
    <col min="1" max="1" width="38.28515625" customWidth="1"/>
    <col min="2" max="2" width="15" style="1" hidden="1" customWidth="1"/>
    <col min="3" max="3" width="9.5703125" style="1" hidden="1" customWidth="1"/>
    <col min="4" max="4" width="15" style="1" hidden="1" customWidth="1"/>
    <col min="5" max="5" width="9.5703125" style="1" hidden="1" customWidth="1"/>
    <col min="6" max="6" width="15" style="1" hidden="1" customWidth="1"/>
    <col min="7" max="7" width="9.5703125" style="1" hidden="1" customWidth="1"/>
    <col min="8" max="8" width="15" style="1" hidden="1" customWidth="1"/>
    <col min="9" max="9" width="9.5703125" style="1" hidden="1" customWidth="1"/>
    <col min="10" max="10" width="15" hidden="1" customWidth="1"/>
    <col min="11" max="11" width="9.5703125" hidden="1" customWidth="1"/>
    <col min="12" max="12" width="0" hidden="1" customWidth="1"/>
    <col min="13" max="13" width="9.5703125" hidden="1" customWidth="1"/>
    <col min="15" max="15" width="9" bestFit="1" customWidth="1"/>
    <col min="17" max="17" width="9" bestFit="1" customWidth="1"/>
  </cols>
  <sheetData>
    <row r="1" spans="1:19" ht="45.75" thickBot="1" x14ac:dyDescent="0.3">
      <c r="A1" s="2" t="s">
        <v>0</v>
      </c>
      <c r="B1" s="3" t="s">
        <v>1</v>
      </c>
      <c r="C1" s="4" t="s">
        <v>2</v>
      </c>
      <c r="D1" s="3" t="s">
        <v>3</v>
      </c>
      <c r="E1" s="4" t="s">
        <v>2</v>
      </c>
      <c r="F1" s="3" t="s">
        <v>4</v>
      </c>
      <c r="G1" s="4" t="s">
        <v>2</v>
      </c>
      <c r="H1" s="3" t="s">
        <v>5</v>
      </c>
      <c r="I1" s="4" t="s">
        <v>2</v>
      </c>
      <c r="J1" s="5" t="s">
        <v>6</v>
      </c>
      <c r="K1" s="4" t="s">
        <v>2</v>
      </c>
      <c r="L1" s="40">
        <v>45748</v>
      </c>
      <c r="M1" s="41" t="s">
        <v>2</v>
      </c>
      <c r="N1" s="40">
        <v>45778</v>
      </c>
      <c r="O1" s="41" t="s">
        <v>2</v>
      </c>
      <c r="P1" s="40">
        <v>45809</v>
      </c>
      <c r="Q1" s="41" t="s">
        <v>2</v>
      </c>
      <c r="R1" s="40">
        <v>45839</v>
      </c>
      <c r="S1" s="40" t="s">
        <v>2</v>
      </c>
    </row>
    <row r="2" spans="1:19" x14ac:dyDescent="0.25">
      <c r="A2" s="8" t="s">
        <v>7</v>
      </c>
      <c r="B2" s="9">
        <v>2646700</v>
      </c>
      <c r="C2" s="10"/>
      <c r="D2" s="9">
        <v>3623365</v>
      </c>
      <c r="E2" s="10"/>
      <c r="F2" s="9">
        <v>5748378.0999999996</v>
      </c>
      <c r="G2" s="10"/>
      <c r="H2" s="9">
        <v>6053121.4100000001</v>
      </c>
      <c r="I2" s="10"/>
      <c r="J2" s="9">
        <f>B2+D2+F2+H2</f>
        <v>18071564.509999998</v>
      </c>
      <c r="K2" s="10"/>
      <c r="L2" s="9">
        <v>5346821</v>
      </c>
      <c r="M2" s="10"/>
      <c r="N2" s="9">
        <v>5768132</v>
      </c>
      <c r="O2" s="10"/>
      <c r="P2" s="9">
        <v>5257439.75</v>
      </c>
      <c r="Q2" s="10"/>
      <c r="R2" s="9">
        <v>5432157</v>
      </c>
      <c r="S2" s="10"/>
    </row>
    <row r="3" spans="1:19" x14ac:dyDescent="0.25">
      <c r="A3" s="8" t="s">
        <v>8</v>
      </c>
      <c r="B3" s="9">
        <v>0</v>
      </c>
      <c r="C3" s="10"/>
      <c r="D3" s="9">
        <v>0</v>
      </c>
      <c r="E3" s="10"/>
      <c r="F3" s="9">
        <v>285400</v>
      </c>
      <c r="G3" s="10"/>
      <c r="H3" s="9">
        <v>47331</v>
      </c>
      <c r="I3" s="10"/>
      <c r="J3" s="9">
        <f t="shared" ref="J3:J6" si="0">B3+D3+F3+H3</f>
        <v>332731</v>
      </c>
      <c r="K3" s="10"/>
      <c r="L3" s="9">
        <v>140000</v>
      </c>
      <c r="M3" s="10"/>
      <c r="N3" s="9">
        <v>0</v>
      </c>
      <c r="O3" s="10"/>
      <c r="P3" s="9">
        <v>0</v>
      </c>
      <c r="Q3" s="10"/>
      <c r="R3" s="9">
        <v>0</v>
      </c>
      <c r="S3" s="10"/>
    </row>
    <row r="4" spans="1:19" x14ac:dyDescent="0.25">
      <c r="A4" s="8" t="s">
        <v>9</v>
      </c>
      <c r="B4" s="9">
        <v>0</v>
      </c>
      <c r="C4" s="10"/>
      <c r="D4" s="9">
        <v>0</v>
      </c>
      <c r="E4" s="10"/>
      <c r="F4" s="9">
        <v>208980</v>
      </c>
      <c r="G4" s="10"/>
      <c r="H4" s="9">
        <v>566944.59000000008</v>
      </c>
      <c r="I4" s="10"/>
      <c r="J4" s="9">
        <f t="shared" si="0"/>
        <v>775924.59000000008</v>
      </c>
      <c r="K4" s="10"/>
      <c r="L4" s="9">
        <v>1554504</v>
      </c>
      <c r="M4" s="10"/>
      <c r="N4" s="9">
        <v>1958467.25</v>
      </c>
      <c r="O4" s="10"/>
      <c r="P4" s="9">
        <v>1606535</v>
      </c>
      <c r="Q4" s="10"/>
      <c r="R4" s="9">
        <v>1814621.75</v>
      </c>
      <c r="S4" s="10"/>
    </row>
    <row r="5" spans="1:19" x14ac:dyDescent="0.25">
      <c r="A5" s="8" t="s">
        <v>10</v>
      </c>
      <c r="B5" s="9"/>
      <c r="C5" s="10"/>
      <c r="D5" s="9"/>
      <c r="E5" s="10"/>
      <c r="F5" s="9">
        <v>0</v>
      </c>
      <c r="G5" s="10"/>
      <c r="H5" s="9">
        <v>0</v>
      </c>
      <c r="I5" s="10"/>
      <c r="J5" s="9"/>
      <c r="K5" s="10"/>
      <c r="L5" s="9">
        <v>0</v>
      </c>
      <c r="M5" s="10"/>
      <c r="N5" s="9">
        <v>1729015</v>
      </c>
      <c r="O5" s="10"/>
      <c r="P5" s="9">
        <v>2304965</v>
      </c>
      <c r="Q5" s="10"/>
      <c r="R5" s="9">
        <v>2431580</v>
      </c>
      <c r="S5" s="10"/>
    </row>
    <row r="6" spans="1:19" ht="15.75" thickBot="1" x14ac:dyDescent="0.3">
      <c r="A6" s="8" t="s">
        <v>11</v>
      </c>
      <c r="B6" s="9">
        <v>238615.11</v>
      </c>
      <c r="C6" s="11">
        <f t="shared" ref="C6:K6" si="1">+B6/(B$2+B$3)</f>
        <v>9.0155707106963384E-2</v>
      </c>
      <c r="D6" s="9">
        <v>308275</v>
      </c>
      <c r="E6" s="11">
        <f t="shared" si="1"/>
        <v>8.5079753212828402E-2</v>
      </c>
      <c r="F6" s="9">
        <v>504649.04</v>
      </c>
      <c r="G6" s="11">
        <f t="shared" si="1"/>
        <v>8.3637321697329237E-2</v>
      </c>
      <c r="H6" s="9">
        <v>538708.38</v>
      </c>
      <c r="I6" s="11">
        <f t="shared" si="1"/>
        <v>8.8306299892928763E-2</v>
      </c>
      <c r="J6" s="9">
        <f t="shared" si="0"/>
        <v>1590247.5299999998</v>
      </c>
      <c r="K6" s="11">
        <f t="shared" si="1"/>
        <v>8.6406324498318157E-2</v>
      </c>
      <c r="L6" s="9">
        <v>473889.13</v>
      </c>
      <c r="M6" s="11">
        <f>+L6/(L$2+L$3+L$5)</f>
        <v>8.6368614904696175E-2</v>
      </c>
      <c r="N6" s="9">
        <v>636188.85000000009</v>
      </c>
      <c r="O6" s="11">
        <f>+N6/(N$2+N$3+N$5)</f>
        <v>8.4857459777699443E-2</v>
      </c>
      <c r="P6" s="9">
        <v>634662.20000000007</v>
      </c>
      <c r="Q6" s="11">
        <f>+P6/(P$2+P$3+P$5)</f>
        <v>8.3923331397992157E-2</v>
      </c>
      <c r="R6" s="9">
        <v>652373.79999999993</v>
      </c>
      <c r="S6" s="11">
        <v>8.2959768364582881E-2</v>
      </c>
    </row>
    <row r="7" spans="1:19" ht="15.75" thickBot="1" x14ac:dyDescent="0.3">
      <c r="A7" s="12" t="s">
        <v>12</v>
      </c>
      <c r="B7" s="13">
        <f>SUM(B2:B6)</f>
        <v>2885315.11</v>
      </c>
      <c r="C7" s="14"/>
      <c r="D7" s="13">
        <f>SUM(D2:D6)</f>
        <v>3931640</v>
      </c>
      <c r="E7" s="14"/>
      <c r="F7" s="13">
        <f>SUM(F2:F6)</f>
        <v>6747407.1399999997</v>
      </c>
      <c r="G7" s="14"/>
      <c r="H7" s="13">
        <f>SUM(H2:H6)</f>
        <v>7206105.3799999999</v>
      </c>
      <c r="I7" s="14"/>
      <c r="J7" s="13">
        <f>SUM(J2:J6)</f>
        <v>20770467.629999999</v>
      </c>
      <c r="K7" s="14"/>
      <c r="L7" s="13">
        <f>SUM(L2:L6)</f>
        <v>7515214.1299999999</v>
      </c>
      <c r="M7" s="14"/>
      <c r="N7" s="13">
        <f>SUM(N2:N6)</f>
        <v>10091803.1</v>
      </c>
      <c r="O7" s="14"/>
      <c r="P7" s="13">
        <f>SUM(P2:P6)</f>
        <v>9803601.9499999993</v>
      </c>
      <c r="Q7" s="14"/>
      <c r="R7" s="13">
        <v>10330732.550000001</v>
      </c>
      <c r="S7" s="14"/>
    </row>
    <row r="8" spans="1:19" x14ac:dyDescent="0.25">
      <c r="A8" s="8" t="s">
        <v>13</v>
      </c>
      <c r="B8" s="9"/>
      <c r="C8" s="10"/>
      <c r="D8" s="9"/>
      <c r="E8" s="10"/>
      <c r="F8" s="9"/>
      <c r="G8" s="10"/>
      <c r="H8" s="9"/>
      <c r="I8" s="10"/>
      <c r="J8" s="9"/>
      <c r="K8" s="10"/>
      <c r="L8" s="9"/>
      <c r="M8" s="10"/>
      <c r="N8" s="9"/>
      <c r="O8" s="10"/>
      <c r="P8" s="9"/>
      <c r="Q8" s="10"/>
      <c r="R8" s="9"/>
      <c r="S8" s="10"/>
    </row>
    <row r="9" spans="1:19" x14ac:dyDescent="0.25">
      <c r="A9" s="8" t="s">
        <v>14</v>
      </c>
      <c r="B9" s="9">
        <v>98197</v>
      </c>
      <c r="C9" s="10">
        <f>+B9/(B$2+B$3+B$4)</f>
        <v>3.7101673782446068E-2</v>
      </c>
      <c r="D9" s="9">
        <v>95246</v>
      </c>
      <c r="E9" s="10">
        <f>+D9/(D$2+D$3+D$4)</f>
        <v>2.6286614790395117E-2</v>
      </c>
      <c r="F9" s="9">
        <v>137458.75</v>
      </c>
      <c r="G9" s="10">
        <f>+F9/(F$2+F$3+F$4)</f>
        <v>2.2018913403035752E-2</v>
      </c>
      <c r="H9" s="9">
        <v>33471.11</v>
      </c>
      <c r="I9" s="10">
        <f>+H9/(H$2+H$3+H$5)</f>
        <v>5.4866602918061287E-3</v>
      </c>
      <c r="J9" s="9">
        <f t="shared" ref="J9" si="2">B9+D9+F9+H9</f>
        <v>364372.86</v>
      </c>
      <c r="K9" s="10">
        <f>+J9/(J$2+J$3+J$4)</f>
        <v>1.8997324227786105E-2</v>
      </c>
      <c r="L9" s="9">
        <v>32344.75</v>
      </c>
      <c r="M9" s="10">
        <f>+L9/(L$2+L$3+L$5)</f>
        <v>5.8949891020683926E-3</v>
      </c>
      <c r="N9" s="15">
        <v>350935</v>
      </c>
      <c r="O9" s="10">
        <f>+N9/(N$2+N$3+N$5)</f>
        <v>4.6809139530010549E-2</v>
      </c>
      <c r="P9" s="15">
        <v>212823</v>
      </c>
      <c r="Q9" s="10">
        <f>+P9/(P$2+P$3+P$5)</f>
        <v>2.8142238750180622E-2</v>
      </c>
      <c r="R9" s="15">
        <v>280843.75</v>
      </c>
      <c r="S9" s="10">
        <v>3.571377705027521E-2</v>
      </c>
    </row>
    <row r="10" spans="1:19" x14ac:dyDescent="0.25">
      <c r="A10" s="8" t="s">
        <v>15</v>
      </c>
      <c r="B10" s="16">
        <v>0</v>
      </c>
      <c r="C10" s="11"/>
      <c r="D10" s="16">
        <v>0</v>
      </c>
      <c r="E10" s="11"/>
      <c r="F10" s="16">
        <v>0</v>
      </c>
      <c r="G10" s="11"/>
      <c r="H10" s="16">
        <v>0</v>
      </c>
      <c r="I10" s="11"/>
      <c r="J10" s="16">
        <f>B10+D10+F10</f>
        <v>0</v>
      </c>
      <c r="K10" s="11"/>
      <c r="L10" s="16">
        <v>0</v>
      </c>
      <c r="M10" s="11"/>
      <c r="N10" s="16">
        <v>0</v>
      </c>
      <c r="O10" s="11"/>
      <c r="P10" s="16">
        <v>0</v>
      </c>
      <c r="Q10" s="11"/>
      <c r="R10" s="16">
        <v>0</v>
      </c>
      <c r="S10" s="11"/>
    </row>
    <row r="11" spans="1:19" x14ac:dyDescent="0.25">
      <c r="A11" s="8" t="s">
        <v>16</v>
      </c>
      <c r="B11" s="9">
        <f>B9-B10</f>
        <v>98197</v>
      </c>
      <c r="C11" s="10">
        <f>+B11/(B$2+B$3+B$4)</f>
        <v>3.7101673782446068E-2</v>
      </c>
      <c r="D11" s="9">
        <f>D9-D10</f>
        <v>95246</v>
      </c>
      <c r="E11" s="10">
        <f>+D11/(D$2+D$3+D$4)</f>
        <v>2.6286614790395117E-2</v>
      </c>
      <c r="F11" s="9">
        <f>F9-F10</f>
        <v>137458.75</v>
      </c>
      <c r="G11" s="10">
        <f>+F11/(F$2+F$3+F$4)</f>
        <v>2.2018913403035752E-2</v>
      </c>
      <c r="H11" s="9">
        <f>H9-H10</f>
        <v>33471.11</v>
      </c>
      <c r="I11" s="10">
        <f>+H11/(H$2+H$3+H$5)</f>
        <v>5.4866602918061287E-3</v>
      </c>
      <c r="J11" s="9">
        <f>J9-J10</f>
        <v>364372.86</v>
      </c>
      <c r="K11" s="10">
        <f>+J11/(J$2+J$3+J$4)</f>
        <v>1.8997324227786105E-2</v>
      </c>
      <c r="L11" s="9">
        <f>L9-L10</f>
        <v>32344.75</v>
      </c>
      <c r="M11" s="10">
        <f>+L11/(L$2+L$3+L$5)</f>
        <v>5.8949891020683926E-3</v>
      </c>
      <c r="N11" s="9">
        <f>N9-N10</f>
        <v>350935</v>
      </c>
      <c r="O11" s="10">
        <f>+N11/(N$2+N$3+N$5)</f>
        <v>4.6809139530010549E-2</v>
      </c>
      <c r="P11" s="9">
        <f>P9-P10</f>
        <v>212823</v>
      </c>
      <c r="Q11" s="10">
        <f>+P11/(P$2+P$3+P$5)</f>
        <v>2.8142238750180622E-2</v>
      </c>
      <c r="R11" s="9">
        <v>280843.75</v>
      </c>
      <c r="S11" s="10">
        <v>3.571377705027521E-2</v>
      </c>
    </row>
    <row r="12" spans="1:19" ht="15.75" thickBot="1" x14ac:dyDescent="0.3">
      <c r="A12" s="8" t="s">
        <v>13</v>
      </c>
      <c r="B12" s="9"/>
      <c r="C12" s="10"/>
      <c r="D12" s="9"/>
      <c r="E12" s="10"/>
      <c r="F12" s="9"/>
      <c r="G12" s="10"/>
      <c r="H12" s="9"/>
      <c r="I12" s="10"/>
      <c r="J12" s="9"/>
      <c r="K12" s="10"/>
      <c r="L12" s="9"/>
      <c r="M12" s="10"/>
      <c r="N12" s="9"/>
      <c r="O12" s="10"/>
      <c r="P12" s="9"/>
      <c r="Q12" s="10"/>
      <c r="R12" s="9"/>
      <c r="S12" s="10"/>
    </row>
    <row r="13" spans="1:19" ht="15.75" thickBot="1" x14ac:dyDescent="0.3">
      <c r="A13" s="12" t="s">
        <v>17</v>
      </c>
      <c r="B13" s="13">
        <f>+B7-B11</f>
        <v>2787118.11</v>
      </c>
      <c r="C13" s="14"/>
      <c r="D13" s="13">
        <f>+D7-D11</f>
        <v>3836394</v>
      </c>
      <c r="E13" s="14"/>
      <c r="F13" s="13">
        <f>+F7-F11</f>
        <v>6609948.3899999997</v>
      </c>
      <c r="G13" s="14"/>
      <c r="H13" s="13">
        <f>+H7-H11</f>
        <v>7172634.2699999996</v>
      </c>
      <c r="I13" s="14"/>
      <c r="J13" s="13">
        <f>+J7-J11</f>
        <v>20406094.77</v>
      </c>
      <c r="K13" s="14"/>
      <c r="L13" s="13">
        <f>+L7-L11</f>
        <v>7482869.3799999999</v>
      </c>
      <c r="M13" s="14"/>
      <c r="N13" s="13">
        <f>+N7-N11</f>
        <v>9740868.0999999996</v>
      </c>
      <c r="O13" s="14"/>
      <c r="P13" s="13">
        <f>+P7-P11</f>
        <v>9590778.9499999993</v>
      </c>
      <c r="Q13" s="14"/>
      <c r="R13" s="13">
        <v>10049888.800000001</v>
      </c>
      <c r="S13" s="14"/>
    </row>
    <row r="14" spans="1:19" x14ac:dyDescent="0.25">
      <c r="A14" t="s">
        <v>13</v>
      </c>
      <c r="B14" s="17"/>
      <c r="C14" s="10"/>
      <c r="D14" s="17"/>
      <c r="E14" s="10"/>
      <c r="F14" s="17"/>
      <c r="G14" s="10"/>
      <c r="H14" s="17"/>
      <c r="I14" s="10"/>
      <c r="J14" s="18"/>
      <c r="K14" s="10"/>
      <c r="L14" s="17"/>
      <c r="M14" s="10"/>
      <c r="N14" s="17"/>
      <c r="O14" s="10"/>
      <c r="P14" s="17"/>
      <c r="Q14" s="10"/>
      <c r="R14" s="17"/>
      <c r="S14" s="10"/>
    </row>
    <row r="15" spans="1:19" x14ac:dyDescent="0.25">
      <c r="A15" s="19" t="s">
        <v>98</v>
      </c>
      <c r="B15" s="17"/>
      <c r="C15" s="10"/>
      <c r="D15" s="17"/>
      <c r="E15" s="10"/>
      <c r="F15" s="17"/>
      <c r="G15" s="10"/>
      <c r="H15" s="17"/>
      <c r="I15" s="10"/>
      <c r="J15" s="18"/>
      <c r="K15" s="10"/>
      <c r="L15" s="17"/>
      <c r="M15" s="10"/>
      <c r="N15" s="17"/>
      <c r="O15" s="10"/>
      <c r="P15" s="17"/>
      <c r="Q15" s="10"/>
      <c r="R15" s="17"/>
      <c r="S15" s="10"/>
    </row>
    <row r="16" spans="1:19" x14ac:dyDescent="0.25">
      <c r="A16" s="8" t="s">
        <v>18</v>
      </c>
      <c r="B16" s="9">
        <v>106465</v>
      </c>
      <c r="C16" s="11">
        <f>+B16/(B$2+B$3+B$4)</f>
        <v>4.0225563909774435E-2</v>
      </c>
      <c r="D16" s="9">
        <v>123124</v>
      </c>
      <c r="E16" s="11">
        <f>+D16/(D$2+D$3+D$4)</f>
        <v>3.3980567787126055E-2</v>
      </c>
      <c r="F16" s="9">
        <v>91310</v>
      </c>
      <c r="G16" s="11">
        <f>+F16/(F$2+F$3+F$4)</f>
        <v>1.4626547839487808E-2</v>
      </c>
      <c r="H16" s="9">
        <v>80814.37</v>
      </c>
      <c r="I16" s="11">
        <f>+H16/(H$2+H$3+H$4)</f>
        <v>1.2120827663329482E-2</v>
      </c>
      <c r="J16" s="9">
        <f t="shared" ref="J16:J21" si="3">B16+D16+F16+H16</f>
        <v>401713.37</v>
      </c>
      <c r="K16" s="11">
        <f>+J16/(J$2+J$3+J$4)</f>
        <v>2.0944148080970146E-2</v>
      </c>
      <c r="L16" s="15">
        <v>150972.67000000001</v>
      </c>
      <c r="M16" s="11">
        <f>+L16/(L$2+L$3+L$4)</f>
        <v>2.1440946128747078E-2</v>
      </c>
      <c r="N16" s="15">
        <v>165050.51199999999</v>
      </c>
      <c r="O16" s="11">
        <f>+N16/(N$2+N$3+N$4)</f>
        <v>2.1361339789947045E-2</v>
      </c>
      <c r="P16" s="15">
        <v>105500.41</v>
      </c>
      <c r="Q16" s="11">
        <f>+P16/(P$2+P$3+P$4)</f>
        <v>1.5370162892863207E-2</v>
      </c>
      <c r="R16" s="15">
        <v>150288.9</v>
      </c>
      <c r="S16" s="11">
        <v>2.0738717875166259E-2</v>
      </c>
    </row>
    <row r="17" spans="1:19" x14ac:dyDescent="0.25">
      <c r="A17" s="8" t="s">
        <v>19</v>
      </c>
      <c r="B17" s="9">
        <v>274736</v>
      </c>
      <c r="C17" s="11">
        <f t="shared" ref="C17:E21" si="4">+B17/(B$2+B$3+B$4)</f>
        <v>0.10380322665961386</v>
      </c>
      <c r="D17" s="9">
        <v>385089</v>
      </c>
      <c r="E17" s="11">
        <f t="shared" si="4"/>
        <v>0.10627938394282663</v>
      </c>
      <c r="F17" s="9">
        <v>396578.6</v>
      </c>
      <c r="G17" s="11">
        <f t="shared" ref="G17:G21" si="5">+F17/(F$2+F$3+F$4)</f>
        <v>6.3526184043556005E-2</v>
      </c>
      <c r="H17" s="9">
        <v>401204.92</v>
      </c>
      <c r="I17" s="11">
        <f t="shared" ref="I17:I21" si="6">+H17/(H$2+H$3+H$4)</f>
        <v>6.0174145922314209E-2</v>
      </c>
      <c r="J17" s="9">
        <f t="shared" si="3"/>
        <v>1457608.52</v>
      </c>
      <c r="K17" s="11">
        <f t="shared" ref="K17:K21" si="7">+J17/(J$2+J$3+J$4)</f>
        <v>7.5995401116382408E-2</v>
      </c>
      <c r="L17" s="15">
        <v>704770.38</v>
      </c>
      <c r="M17" s="11">
        <f t="shared" ref="M17:O21" si="8">+L17/(L$2+L$3+L$4)</f>
        <v>0.10009059090441075</v>
      </c>
      <c r="N17" s="15">
        <v>544995.75300000003</v>
      </c>
      <c r="O17" s="11">
        <f t="shared" si="8"/>
        <v>7.0535009693947825E-2</v>
      </c>
      <c r="P17" s="15">
        <v>665359.82500000007</v>
      </c>
      <c r="Q17" s="11">
        <f t="shared" ref="Q17:Q21" si="9">+P17/(P$2+P$3+P$4)</f>
        <v>9.6935063025982149E-2</v>
      </c>
      <c r="R17" s="15">
        <v>419044.98199999996</v>
      </c>
      <c r="S17" s="11">
        <v>5.7825000107806515E-2</v>
      </c>
    </row>
    <row r="18" spans="1:19" x14ac:dyDescent="0.25">
      <c r="A18" s="8" t="s">
        <v>20</v>
      </c>
      <c r="B18" s="9">
        <v>229716.8</v>
      </c>
      <c r="C18" s="11">
        <f t="shared" si="4"/>
        <v>8.6793667586050546E-2</v>
      </c>
      <c r="D18" s="9">
        <v>281965</v>
      </c>
      <c r="E18" s="11">
        <f t="shared" si="4"/>
        <v>7.7818547124013177E-2</v>
      </c>
      <c r="F18" s="9">
        <v>424945.8</v>
      </c>
      <c r="G18" s="11">
        <f t="shared" si="5"/>
        <v>6.8070201214427958E-2</v>
      </c>
      <c r="H18" s="9">
        <v>503802.33</v>
      </c>
      <c r="I18" s="11">
        <f t="shared" si="6"/>
        <v>7.5562071675047998E-2</v>
      </c>
      <c r="J18" s="9">
        <f t="shared" si="3"/>
        <v>1440429.93</v>
      </c>
      <c r="K18" s="11">
        <f t="shared" si="7"/>
        <v>7.5099760195139795E-2</v>
      </c>
      <c r="L18" s="15">
        <v>473344.58</v>
      </c>
      <c r="M18" s="11">
        <f t="shared" si="8"/>
        <v>6.72237938172148E-2</v>
      </c>
      <c r="N18" s="15">
        <v>597118.56599999988</v>
      </c>
      <c r="O18" s="11">
        <f t="shared" si="8"/>
        <v>7.7280902849982791E-2</v>
      </c>
      <c r="P18" s="15">
        <v>570615.04100000008</v>
      </c>
      <c r="Q18" s="11">
        <f t="shared" si="9"/>
        <v>8.3131867727223224E-2</v>
      </c>
      <c r="R18" s="15">
        <v>654032.58099999977</v>
      </c>
      <c r="S18" s="11">
        <v>9.0251490153469879E-2</v>
      </c>
    </row>
    <row r="19" spans="1:19" x14ac:dyDescent="0.25">
      <c r="A19" s="8" t="s">
        <v>21</v>
      </c>
      <c r="B19" s="9">
        <v>332682</v>
      </c>
      <c r="C19" s="11">
        <f t="shared" si="4"/>
        <v>0.12569690558053426</v>
      </c>
      <c r="D19" s="9">
        <v>322512</v>
      </c>
      <c r="E19" s="11">
        <f t="shared" si="4"/>
        <v>8.900897370262173E-2</v>
      </c>
      <c r="F19" s="9">
        <v>474715.5</v>
      </c>
      <c r="G19" s="11">
        <f t="shared" si="5"/>
        <v>7.6042590854193126E-2</v>
      </c>
      <c r="H19" s="9">
        <v>373193.04</v>
      </c>
      <c r="I19" s="11">
        <f t="shared" si="6"/>
        <v>5.5972824177111392E-2</v>
      </c>
      <c r="J19" s="9">
        <f t="shared" si="3"/>
        <v>1503102.54</v>
      </c>
      <c r="K19" s="11">
        <f t="shared" si="7"/>
        <v>7.8367324887997511E-2</v>
      </c>
      <c r="L19" s="15">
        <v>516615.97</v>
      </c>
      <c r="M19" s="11">
        <f t="shared" si="8"/>
        <v>7.3369141461301662E-2</v>
      </c>
      <c r="N19" s="15">
        <v>605667.07799999998</v>
      </c>
      <c r="O19" s="11">
        <f t="shared" si="8"/>
        <v>7.838727730055367E-2</v>
      </c>
      <c r="P19" s="15">
        <v>544643.13000000012</v>
      </c>
      <c r="Q19" s="11">
        <f t="shared" si="9"/>
        <v>7.9348067240486292E-2</v>
      </c>
      <c r="R19" s="15">
        <v>538353.82200000004</v>
      </c>
      <c r="S19" s="11">
        <v>7.4288706827154077E-2</v>
      </c>
    </row>
    <row r="20" spans="1:19" x14ac:dyDescent="0.25">
      <c r="A20" s="8" t="s">
        <v>22</v>
      </c>
      <c r="B20" s="9">
        <v>76661</v>
      </c>
      <c r="C20" s="11">
        <f t="shared" si="4"/>
        <v>2.8964748554804097E-2</v>
      </c>
      <c r="D20" s="9">
        <v>158598</v>
      </c>
      <c r="E20" s="11">
        <f t="shared" si="4"/>
        <v>4.3770914605622123E-2</v>
      </c>
      <c r="F20" s="9">
        <v>238998.17</v>
      </c>
      <c r="G20" s="11">
        <f t="shared" si="5"/>
        <v>3.8284067101686997E-2</v>
      </c>
      <c r="H20" s="9">
        <v>267528.38</v>
      </c>
      <c r="I20" s="11">
        <f t="shared" si="6"/>
        <v>4.0124861321442239E-2</v>
      </c>
      <c r="J20" s="9">
        <f t="shared" si="3"/>
        <v>741785.55</v>
      </c>
      <c r="K20" s="11">
        <f t="shared" si="7"/>
        <v>3.8674506660119096E-2</v>
      </c>
      <c r="L20" s="15">
        <v>270287.73</v>
      </c>
      <c r="M20" s="11">
        <f t="shared" si="8"/>
        <v>3.8385918843399501E-2</v>
      </c>
      <c r="N20" s="15">
        <v>314785.47999999992</v>
      </c>
      <c r="O20" s="11">
        <f t="shared" si="8"/>
        <v>4.0740495244398746E-2</v>
      </c>
      <c r="P20" s="15">
        <v>295867.07800000004</v>
      </c>
      <c r="Q20" s="11">
        <f t="shared" si="9"/>
        <v>4.31043365944783E-2</v>
      </c>
      <c r="R20" s="15">
        <v>314242.98</v>
      </c>
      <c r="S20" s="11">
        <v>4.3363125995808827E-2</v>
      </c>
    </row>
    <row r="21" spans="1:19" x14ac:dyDescent="0.25">
      <c r="A21" s="20" t="s">
        <v>23</v>
      </c>
      <c r="B21" s="9">
        <v>34624</v>
      </c>
      <c r="C21" s="11">
        <f t="shared" si="4"/>
        <v>1.3081951108928099E-2</v>
      </c>
      <c r="D21" s="9">
        <v>128035.7</v>
      </c>
      <c r="E21" s="11">
        <f t="shared" si="4"/>
        <v>3.5336130916979104E-2</v>
      </c>
      <c r="F21" s="9">
        <v>130504</v>
      </c>
      <c r="G21" s="11">
        <f t="shared" si="5"/>
        <v>2.0904862547853651E-2</v>
      </c>
      <c r="H21" s="9">
        <v>184008.09</v>
      </c>
      <c r="I21" s="11">
        <f t="shared" si="6"/>
        <v>2.7598190118272543E-2</v>
      </c>
      <c r="J21" s="9">
        <f t="shared" si="3"/>
        <v>477171.79000000004</v>
      </c>
      <c r="K21" s="11">
        <f t="shared" si="7"/>
        <v>2.4878327126183503E-2</v>
      </c>
      <c r="L21" s="15">
        <v>199876.99</v>
      </c>
      <c r="M21" s="11">
        <f t="shared" si="8"/>
        <v>2.8386275310399674E-2</v>
      </c>
      <c r="N21" s="15">
        <v>0</v>
      </c>
      <c r="O21" s="11">
        <f t="shared" si="8"/>
        <v>0</v>
      </c>
      <c r="P21" s="15">
        <v>0</v>
      </c>
      <c r="Q21" s="11">
        <f t="shared" si="9"/>
        <v>0</v>
      </c>
      <c r="R21" s="15">
        <v>0</v>
      </c>
      <c r="S21" s="11">
        <v>0</v>
      </c>
    </row>
    <row r="22" spans="1:19" x14ac:dyDescent="0.25">
      <c r="A22" s="21" t="s">
        <v>24</v>
      </c>
      <c r="B22" s="22">
        <f>SUM(B16:B21)</f>
        <v>1054884.8</v>
      </c>
      <c r="C22" s="23">
        <f>+B22/(B$2+B$3+B$4)</f>
        <v>0.39856606339970529</v>
      </c>
      <c r="D22" s="22">
        <f>SUM(D16:D21)</f>
        <v>1399323.7</v>
      </c>
      <c r="E22" s="23">
        <f>+D22/(D$2+D$3+D$4)</f>
        <v>0.38619451807918881</v>
      </c>
      <c r="F22" s="22">
        <f>SUM(F16:F21)</f>
        <v>1757052.0699999998</v>
      </c>
      <c r="G22" s="23">
        <f>+F22/(F$2+F$3+F$4)</f>
        <v>0.28145445360120552</v>
      </c>
      <c r="H22" s="22">
        <f>SUM(H16:H21)</f>
        <v>1810551.1300000001</v>
      </c>
      <c r="I22" s="23">
        <f>+H22/(H$2+H$3+H$4)</f>
        <v>0.27155292087751787</v>
      </c>
      <c r="J22" s="22">
        <f>SUM(J16:J21)</f>
        <v>6021811.7000000002</v>
      </c>
      <c r="K22" s="23">
        <f>+J22/(J$2+J$3+J$4)</f>
        <v>0.31395946806679248</v>
      </c>
      <c r="L22" s="22">
        <f>SUM(L16:L21)</f>
        <v>2315868.3200000003</v>
      </c>
      <c r="M22" s="23">
        <f>+L22/(L$2+L$3+L$4)</f>
        <v>0.3288966664654735</v>
      </c>
      <c r="N22" s="22">
        <f>SUM(N16:N21)</f>
        <v>2227617.3889999995</v>
      </c>
      <c r="O22" s="23">
        <f>+N22/(N$2+N$3+N$4)</f>
        <v>0.28830502487883003</v>
      </c>
      <c r="P22" s="22">
        <f>SUM(P16:P21)</f>
        <v>2181985.4840000002</v>
      </c>
      <c r="Q22" s="23">
        <f>+P22/(P$2+P$3+P$4)</f>
        <v>0.31788949748103318</v>
      </c>
      <c r="R22" s="22">
        <v>2075963.2649999997</v>
      </c>
      <c r="S22" s="23">
        <v>0.28646704095940556</v>
      </c>
    </row>
    <row r="23" spans="1:19" x14ac:dyDescent="0.25">
      <c r="A23" s="19" t="s">
        <v>25</v>
      </c>
      <c r="B23" s="24">
        <v>0</v>
      </c>
      <c r="C23" s="10"/>
      <c r="D23" s="24">
        <f>B24</f>
        <v>186134.93436000001</v>
      </c>
      <c r="E23" s="10"/>
      <c r="F23" s="24">
        <f>D24</f>
        <v>327182.36</v>
      </c>
      <c r="G23" s="10"/>
      <c r="H23" s="24">
        <f>F24</f>
        <v>341261.84000000014</v>
      </c>
      <c r="I23" s="10"/>
      <c r="J23" s="9">
        <f>B23</f>
        <v>0</v>
      </c>
      <c r="K23" s="10"/>
      <c r="L23" s="24">
        <f>J24</f>
        <v>293274.61</v>
      </c>
      <c r="M23" s="10"/>
      <c r="N23" s="24">
        <f>L24-103119.77</f>
        <v>229015.53999999998</v>
      </c>
      <c r="O23" s="10"/>
      <c r="P23" s="24">
        <f>N24</f>
        <v>168641.62</v>
      </c>
      <c r="Q23" s="10"/>
      <c r="R23" s="24">
        <v>231187.1400000001</v>
      </c>
      <c r="S23" s="10"/>
    </row>
    <row r="24" spans="1:19" s="26" customFormat="1" x14ac:dyDescent="0.25">
      <c r="A24" s="25" t="s">
        <v>26</v>
      </c>
      <c r="B24" s="24">
        <v>186134.93436000001</v>
      </c>
      <c r="C24" s="10"/>
      <c r="D24" s="24">
        <v>327182.36</v>
      </c>
      <c r="E24" s="10"/>
      <c r="F24" s="24">
        <v>341261.84000000014</v>
      </c>
      <c r="G24" s="10"/>
      <c r="H24" s="24">
        <v>293274.61</v>
      </c>
      <c r="I24" s="10"/>
      <c r="J24" s="24">
        <f>H24</f>
        <v>293274.61</v>
      </c>
      <c r="K24" s="10"/>
      <c r="L24" s="24">
        <v>332135.31</v>
      </c>
      <c r="M24" s="10"/>
      <c r="N24" s="24">
        <v>168641.62</v>
      </c>
      <c r="O24" s="10"/>
      <c r="P24" s="24">
        <v>231187.1400000001</v>
      </c>
      <c r="Q24" s="10"/>
      <c r="R24" s="24">
        <v>116920.22000000004</v>
      </c>
      <c r="S24" s="10"/>
    </row>
    <row r="25" spans="1:19" x14ac:dyDescent="0.25">
      <c r="A25" s="21" t="s">
        <v>27</v>
      </c>
      <c r="B25" s="22">
        <f>B22+B23-B24</f>
        <v>868749.86563999997</v>
      </c>
      <c r="C25" s="23">
        <f>+B25/(B$2+B$3+B$4)</f>
        <v>0.32823888829107944</v>
      </c>
      <c r="D25" s="22">
        <f>D22+D23-D24</f>
        <v>1258276.2743600002</v>
      </c>
      <c r="E25" s="23">
        <f>+D25/(D$2+D$3+D$4)</f>
        <v>0.34726732591389498</v>
      </c>
      <c r="F25" s="22">
        <f>F22+F23-F24</f>
        <v>1742972.5899999996</v>
      </c>
      <c r="G25" s="23">
        <f>+F25/(F$2+F$3+F$4)</f>
        <v>0.27919912354124371</v>
      </c>
      <c r="H25" s="22">
        <f>H22+H23-H24</f>
        <v>1858538.3600000003</v>
      </c>
      <c r="I25" s="23">
        <f>+H25/(H$2+H$3+H$4)</f>
        <v>0.27875021691373714</v>
      </c>
      <c r="J25" s="22">
        <f>J22+J23-J24</f>
        <v>5728537.0899999999</v>
      </c>
      <c r="K25" s="23">
        <f>+J25/(J$2+J$3+J$4)</f>
        <v>0.29866899650437279</v>
      </c>
      <c r="L25" s="22">
        <f>L22+L23-L24</f>
        <v>2277007.62</v>
      </c>
      <c r="M25" s="23">
        <f>+L25/(L$2+L$3+L$4)</f>
        <v>0.32337771939230187</v>
      </c>
      <c r="N25" s="22">
        <f>N22+N23-N24</f>
        <v>2287991.3089999994</v>
      </c>
      <c r="O25" s="23">
        <f>+N25/(N$2+N$3+N$4)</f>
        <v>0.29611880142483116</v>
      </c>
      <c r="P25" s="22">
        <f>P22+P23-P24</f>
        <v>2119439.9640000002</v>
      </c>
      <c r="Q25" s="23">
        <f>+P25/(P$2+P$3+P$4)</f>
        <v>0.3087773544038751</v>
      </c>
      <c r="R25" s="22">
        <v>2190230.1849999996</v>
      </c>
      <c r="S25" s="23">
        <v>0.30223500131006475</v>
      </c>
    </row>
    <row r="26" spans="1:19" x14ac:dyDescent="0.25">
      <c r="A26" s="8" t="s">
        <v>13</v>
      </c>
      <c r="B26" s="9"/>
      <c r="C26" s="10"/>
      <c r="D26" s="9"/>
      <c r="E26" s="10"/>
      <c r="F26" s="9"/>
      <c r="G26" s="10"/>
      <c r="H26" s="9"/>
      <c r="I26" s="10"/>
      <c r="J26" s="9"/>
      <c r="K26" s="10"/>
      <c r="L26" s="9"/>
      <c r="M26" s="10"/>
      <c r="N26" s="9"/>
      <c r="O26" s="10"/>
      <c r="P26" s="9"/>
      <c r="Q26" s="10"/>
      <c r="R26" s="9"/>
      <c r="S26" s="10"/>
    </row>
    <row r="27" spans="1:19" x14ac:dyDescent="0.25">
      <c r="A27" s="19" t="s">
        <v>28</v>
      </c>
      <c r="B27" s="9"/>
      <c r="C27" s="10"/>
      <c r="D27" s="9"/>
      <c r="E27" s="10"/>
      <c r="F27" s="9"/>
      <c r="G27" s="10"/>
      <c r="H27" s="9"/>
      <c r="I27" s="10"/>
      <c r="J27" s="9"/>
      <c r="K27" s="10"/>
      <c r="L27" s="9"/>
      <c r="M27" s="10"/>
      <c r="N27" s="9"/>
      <c r="O27" s="10"/>
      <c r="P27" s="9"/>
      <c r="Q27" s="10"/>
      <c r="R27" s="9"/>
      <c r="S27" s="10"/>
    </row>
    <row r="28" spans="1:19" x14ac:dyDescent="0.25">
      <c r="A28" s="8" t="s">
        <v>29</v>
      </c>
      <c r="B28" s="9"/>
      <c r="C28" s="10"/>
      <c r="D28" s="9"/>
      <c r="E28" s="10"/>
      <c r="F28" s="9"/>
      <c r="G28" s="10"/>
      <c r="H28" s="9">
        <v>0</v>
      </c>
      <c r="I28" s="10"/>
      <c r="J28" s="9"/>
      <c r="K28" s="10"/>
      <c r="L28" s="9">
        <v>0</v>
      </c>
      <c r="M28" s="10"/>
      <c r="N28" s="15">
        <v>1736466.9500000004</v>
      </c>
      <c r="O28" s="11">
        <f>+N28/(N$5)</f>
        <v>1.0043099394742097</v>
      </c>
      <c r="P28" s="15">
        <v>1239420.6900000002</v>
      </c>
      <c r="Q28" s="11">
        <f>+P28/(P$5)</f>
        <v>0.53771779181028789</v>
      </c>
      <c r="R28" s="15">
        <v>97199</v>
      </c>
      <c r="S28" s="11">
        <v>3.9973597414027097E-2</v>
      </c>
    </row>
    <row r="29" spans="1:19" x14ac:dyDescent="0.25">
      <c r="A29" s="8" t="s">
        <v>30</v>
      </c>
      <c r="B29" s="9"/>
      <c r="C29" s="10"/>
      <c r="D29" s="9"/>
      <c r="E29" s="10"/>
      <c r="F29" s="9"/>
      <c r="G29" s="10"/>
      <c r="H29" s="9">
        <v>0</v>
      </c>
      <c r="I29" s="10"/>
      <c r="J29" s="9"/>
      <c r="K29" s="10"/>
      <c r="L29" s="9">
        <v>0</v>
      </c>
      <c r="M29" s="10"/>
      <c r="N29" s="15">
        <v>114496.77499999999</v>
      </c>
      <c r="O29" s="11">
        <f>+N29/(N$5)</f>
        <v>6.6220810692793286E-2</v>
      </c>
      <c r="P29" s="15">
        <v>148471.00899999999</v>
      </c>
      <c r="Q29" s="11">
        <f>+P29/(P$5)</f>
        <v>6.4413563329595025E-2</v>
      </c>
      <c r="R29" s="15">
        <v>138495.49</v>
      </c>
      <c r="S29" s="11">
        <v>5.695699504026188E-2</v>
      </c>
    </row>
    <row r="30" spans="1:19" x14ac:dyDescent="0.25">
      <c r="A30" s="21" t="s">
        <v>31</v>
      </c>
      <c r="B30" s="22"/>
      <c r="C30" s="23"/>
      <c r="D30" s="22"/>
      <c r="E30" s="23"/>
      <c r="F30" s="22"/>
      <c r="G30" s="23"/>
      <c r="H30" s="22">
        <f>H28+H29</f>
        <v>0</v>
      </c>
      <c r="I30" s="23"/>
      <c r="J30" s="22"/>
      <c r="K30" s="23"/>
      <c r="L30" s="22">
        <f>L28+L29</f>
        <v>0</v>
      </c>
      <c r="M30" s="23"/>
      <c r="N30" s="22">
        <f>N28+N29</f>
        <v>1850963.7250000003</v>
      </c>
      <c r="O30" s="23">
        <f>+N30/(N$5)</f>
        <v>1.0705307501670027</v>
      </c>
      <c r="P30" s="22">
        <f>P28+P29</f>
        <v>1387891.6990000003</v>
      </c>
      <c r="Q30" s="23">
        <f>+P30/(P$5)</f>
        <v>0.60213135513988292</v>
      </c>
      <c r="R30" s="22">
        <v>235694.49</v>
      </c>
      <c r="S30" s="23">
        <v>9.6930592454288977E-2</v>
      </c>
    </row>
    <row r="31" spans="1:19" x14ac:dyDescent="0.25">
      <c r="A31" s="19" t="s">
        <v>32</v>
      </c>
      <c r="B31" s="9"/>
      <c r="C31" s="10"/>
      <c r="D31" s="9"/>
      <c r="E31" s="10"/>
      <c r="F31" s="9"/>
      <c r="G31" s="10"/>
      <c r="H31" s="9">
        <v>0</v>
      </c>
      <c r="I31" s="10"/>
      <c r="J31" s="9"/>
      <c r="K31" s="10"/>
      <c r="L31" s="9">
        <v>0</v>
      </c>
      <c r="M31" s="10"/>
      <c r="N31" s="15">
        <v>0</v>
      </c>
      <c r="O31" s="10"/>
      <c r="P31" s="15">
        <f>N33</f>
        <v>1469667.6555952381</v>
      </c>
      <c r="Q31" s="10"/>
      <c r="R31" s="15">
        <v>2281160.69</v>
      </c>
      <c r="S31" s="10"/>
    </row>
    <row r="32" spans="1:19" x14ac:dyDescent="0.25">
      <c r="A32" s="19" t="s">
        <v>33</v>
      </c>
      <c r="B32" s="9"/>
      <c r="C32" s="10"/>
      <c r="D32" s="9"/>
      <c r="E32" s="10"/>
      <c r="F32" s="9"/>
      <c r="G32" s="10"/>
      <c r="H32" s="9">
        <v>0</v>
      </c>
      <c r="I32" s="10"/>
      <c r="J32" s="9"/>
      <c r="K32" s="10"/>
      <c r="L32" s="9">
        <v>0</v>
      </c>
      <c r="M32" s="10"/>
      <c r="N32" s="15">
        <v>103119.77</v>
      </c>
      <c r="O32" s="10"/>
      <c r="P32" s="15">
        <f>N34</f>
        <v>110048.98999999999</v>
      </c>
      <c r="Q32" s="10"/>
      <c r="R32" s="15">
        <v>161564.61000000002</v>
      </c>
      <c r="S32" s="10"/>
    </row>
    <row r="33" spans="1:19" x14ac:dyDescent="0.25">
      <c r="A33" s="19" t="s">
        <v>34</v>
      </c>
      <c r="B33" s="9"/>
      <c r="C33" s="10"/>
      <c r="D33" s="9"/>
      <c r="E33" s="10"/>
      <c r="F33" s="9"/>
      <c r="G33" s="10"/>
      <c r="H33" s="9">
        <v>0</v>
      </c>
      <c r="I33" s="10"/>
      <c r="J33" s="9"/>
      <c r="K33" s="10"/>
      <c r="L33" s="9">
        <v>0</v>
      </c>
      <c r="M33" s="10"/>
      <c r="N33" s="15">
        <v>1469667.6555952381</v>
      </c>
      <c r="O33" s="10"/>
      <c r="P33" s="15">
        <v>2281160.69</v>
      </c>
      <c r="Q33" s="10"/>
      <c r="R33" s="15">
        <v>1909526.7833333334</v>
      </c>
      <c r="S33" s="10"/>
    </row>
    <row r="34" spans="1:19" x14ac:dyDescent="0.25">
      <c r="A34" s="19" t="s">
        <v>35</v>
      </c>
      <c r="B34" s="9"/>
      <c r="C34" s="10"/>
      <c r="D34" s="9"/>
      <c r="E34" s="10"/>
      <c r="F34" s="9"/>
      <c r="G34" s="10"/>
      <c r="H34" s="9">
        <v>0</v>
      </c>
      <c r="I34" s="10"/>
      <c r="J34" s="9"/>
      <c r="K34" s="10"/>
      <c r="L34" s="9">
        <v>0</v>
      </c>
      <c r="M34" s="10"/>
      <c r="N34" s="15">
        <v>110048.98999999999</v>
      </c>
      <c r="O34" s="10"/>
      <c r="P34" s="15">
        <v>161564.61000000002</v>
      </c>
      <c r="Q34" s="10"/>
      <c r="R34" s="15">
        <v>97776.14999999998</v>
      </c>
      <c r="S34" s="10"/>
    </row>
    <row r="35" spans="1:19" x14ac:dyDescent="0.25">
      <c r="A35" s="21" t="s">
        <v>36</v>
      </c>
      <c r="B35" s="22"/>
      <c r="C35" s="23"/>
      <c r="D35" s="22"/>
      <c r="E35" s="23"/>
      <c r="F35" s="22"/>
      <c r="G35" s="23"/>
      <c r="H35" s="22">
        <f>H30+H31+H32-H33-H34</f>
        <v>0</v>
      </c>
      <c r="I35" s="23"/>
      <c r="J35" s="22"/>
      <c r="K35" s="23"/>
      <c r="L35" s="22">
        <f>L30+L31+L32-L33-L34</f>
        <v>0</v>
      </c>
      <c r="M35" s="23"/>
      <c r="N35" s="22">
        <f>N30+N31+N32-N33-N34</f>
        <v>374366.84940476227</v>
      </c>
      <c r="O35" s="23">
        <f>+N35/(N$5)</f>
        <v>0.21652030167740724</v>
      </c>
      <c r="P35" s="22">
        <f>P30+P31+P32-P33-P34</f>
        <v>524883.04459523864</v>
      </c>
      <c r="Q35" s="23">
        <f>+P35/(P$5)</f>
        <v>0.22771844457301463</v>
      </c>
      <c r="R35" s="22">
        <v>671116.85666666611</v>
      </c>
      <c r="S35" s="23">
        <v>0.27600031940823089</v>
      </c>
    </row>
    <row r="36" spans="1:19" ht="15.75" thickBot="1" x14ac:dyDescent="0.3">
      <c r="A36" s="8"/>
      <c r="B36" s="9"/>
      <c r="C36" s="10"/>
      <c r="D36" s="9"/>
      <c r="E36" s="10"/>
      <c r="F36" s="9"/>
      <c r="G36" s="10"/>
      <c r="H36" s="9"/>
      <c r="I36" s="10"/>
      <c r="J36" s="9"/>
      <c r="K36" s="10"/>
      <c r="L36" s="9"/>
      <c r="M36" s="10"/>
      <c r="N36" s="9"/>
      <c r="O36" s="10"/>
      <c r="P36" s="9"/>
      <c r="Q36" s="10"/>
      <c r="R36" s="9"/>
      <c r="S36" s="10"/>
    </row>
    <row r="37" spans="1:19" ht="15.75" thickBot="1" x14ac:dyDescent="0.3">
      <c r="A37" s="12" t="s">
        <v>37</v>
      </c>
      <c r="B37" s="13">
        <f>+B13-B25</f>
        <v>1918368.2443599999</v>
      </c>
      <c r="C37" s="27">
        <f>B37/B13</f>
        <v>0.68829815194304766</v>
      </c>
      <c r="D37" s="13">
        <f>+D13-D25</f>
        <v>2578117.7256399998</v>
      </c>
      <c r="E37" s="27">
        <f>D37/D13</f>
        <v>0.67201588930646849</v>
      </c>
      <c r="F37" s="13">
        <f>+F13-F25</f>
        <v>4866975.8</v>
      </c>
      <c r="G37" s="27">
        <f>F37/F13</f>
        <v>0.73631071119452418</v>
      </c>
      <c r="H37" s="13">
        <f>+H13-H25</f>
        <v>5314095.9099999992</v>
      </c>
      <c r="I37" s="27">
        <f>H37/H13</f>
        <v>0.74088482835748981</v>
      </c>
      <c r="J37" s="13">
        <f>+J13-J25</f>
        <v>14677557.68</v>
      </c>
      <c r="K37" s="27">
        <f>J37/J13</f>
        <v>0.71927322917161973</v>
      </c>
      <c r="L37" s="13">
        <f>+L13-L25</f>
        <v>5205861.76</v>
      </c>
      <c r="M37" s="27">
        <f>L37/L13</f>
        <v>0.69570394665902879</v>
      </c>
      <c r="N37" s="13">
        <f>+N13-N25-N35</f>
        <v>7078509.9415952377</v>
      </c>
      <c r="O37" s="27">
        <f>N37/N13</f>
        <v>0.72668163339520409</v>
      </c>
      <c r="P37" s="13">
        <f>+P13-P25-P35</f>
        <v>6946455.9414047608</v>
      </c>
      <c r="Q37" s="27">
        <f>P37/P13</f>
        <v>0.72428485502783502</v>
      </c>
      <c r="R37" s="13">
        <v>7188541.7583333347</v>
      </c>
      <c r="S37" s="27">
        <v>0.71528570130381286</v>
      </c>
    </row>
    <row r="38" spans="1:19" x14ac:dyDescent="0.25">
      <c r="A38" s="8" t="s">
        <v>13</v>
      </c>
      <c r="B38" s="17"/>
      <c r="C38" s="10"/>
      <c r="D38" s="17"/>
      <c r="E38" s="10"/>
      <c r="F38" s="17"/>
      <c r="G38" s="10"/>
      <c r="H38" s="17"/>
      <c r="I38" s="10"/>
      <c r="J38" s="18"/>
      <c r="K38" s="10"/>
      <c r="L38" s="17"/>
      <c r="M38" s="10"/>
      <c r="N38" s="17"/>
      <c r="O38" s="10"/>
      <c r="P38" s="17"/>
      <c r="Q38" s="10"/>
      <c r="R38" s="17"/>
      <c r="S38" s="10"/>
    </row>
    <row r="39" spans="1:19" x14ac:dyDescent="0.25">
      <c r="A39" s="19" t="s">
        <v>38</v>
      </c>
      <c r="B39" s="17"/>
      <c r="C39" s="10"/>
      <c r="D39" s="17"/>
      <c r="E39" s="10"/>
      <c r="F39" s="17"/>
      <c r="G39" s="10"/>
      <c r="H39" s="17"/>
      <c r="I39" s="10"/>
      <c r="J39" s="18"/>
      <c r="K39" s="10"/>
      <c r="L39" s="17"/>
      <c r="M39" s="10"/>
      <c r="N39" s="17"/>
      <c r="O39" s="10"/>
      <c r="P39" s="17"/>
      <c r="Q39" s="10"/>
      <c r="R39" s="17"/>
      <c r="S39" s="10"/>
    </row>
    <row r="40" spans="1:19" x14ac:dyDescent="0.25">
      <c r="A40" s="8" t="s">
        <v>39</v>
      </c>
      <c r="B40" s="9">
        <v>21257.06</v>
      </c>
      <c r="C40" s="11">
        <f>B40/B$13</f>
        <v>7.6268960126702357E-3</v>
      </c>
      <c r="D40" s="9">
        <v>32281</v>
      </c>
      <c r="E40" s="11">
        <f>D40/D$13</f>
        <v>8.4144120755063213E-3</v>
      </c>
      <c r="F40" s="9">
        <v>52779.3</v>
      </c>
      <c r="G40" s="11">
        <f>F40/F$13</f>
        <v>7.9848278512806969E-3</v>
      </c>
      <c r="H40" s="9">
        <v>68628.5</v>
      </c>
      <c r="I40" s="11">
        <f>H40/H$13</f>
        <v>9.568102515284109E-3</v>
      </c>
      <c r="J40" s="9">
        <f t="shared" ref="J40:J57" si="10">B40+D40+F40+H40</f>
        <v>174945.86</v>
      </c>
      <c r="K40" s="11">
        <f>J40/J$13</f>
        <v>8.5732160892047059E-3</v>
      </c>
      <c r="L40" s="9">
        <v>71140.69</v>
      </c>
      <c r="M40" s="11">
        <f>L40/L$13</f>
        <v>9.5071404279944826E-3</v>
      </c>
      <c r="N40" s="15">
        <v>82388.52</v>
      </c>
      <c r="O40" s="11">
        <f>N40/N$13</f>
        <v>8.4580264463287418E-3</v>
      </c>
      <c r="P40" s="15">
        <v>89495.76</v>
      </c>
      <c r="Q40" s="11">
        <f>P40/P$13</f>
        <v>9.3314380892909644E-3</v>
      </c>
      <c r="R40" s="15">
        <v>85461.27</v>
      </c>
      <c r="S40" s="11">
        <v>8.5037030459481303E-3</v>
      </c>
    </row>
    <row r="41" spans="1:19" x14ac:dyDescent="0.25">
      <c r="A41" s="8" t="s">
        <v>40</v>
      </c>
      <c r="B41" s="9">
        <v>6802</v>
      </c>
      <c r="C41" s="10">
        <f t="shared" ref="C41:K57" si="11">B41/B$13</f>
        <v>2.4405137247664041E-3</v>
      </c>
      <c r="D41" s="9">
        <v>29031</v>
      </c>
      <c r="E41" s="10">
        <f t="shared" si="11"/>
        <v>7.5672623823309073E-3</v>
      </c>
      <c r="F41" s="9">
        <v>18183</v>
      </c>
      <c r="G41" s="10">
        <f t="shared" si="11"/>
        <v>2.7508535509155468E-3</v>
      </c>
      <c r="H41" s="9">
        <v>9601</v>
      </c>
      <c r="I41" s="11">
        <f t="shared" si="11"/>
        <v>1.3385598147889395E-3</v>
      </c>
      <c r="J41" s="9">
        <f t="shared" si="10"/>
        <v>63617</v>
      </c>
      <c r="K41" s="10">
        <f t="shared" si="11"/>
        <v>3.1175489831364732E-3</v>
      </c>
      <c r="L41" s="9">
        <v>7948</v>
      </c>
      <c r="M41" s="11">
        <f t="shared" ref="M41:M57" si="12">L41/L$13</f>
        <v>1.0621593931925616E-3</v>
      </c>
      <c r="N41" s="9">
        <v>11408</v>
      </c>
      <c r="O41" s="11">
        <f t="shared" ref="O41:O57" si="13">N41/N$13</f>
        <v>1.1711481854476606E-3</v>
      </c>
      <c r="P41" s="9">
        <v>7640</v>
      </c>
      <c r="Q41" s="11">
        <f t="shared" ref="Q41:Q55" si="14">P41/P$13</f>
        <v>7.965984869247769E-4</v>
      </c>
      <c r="R41" s="9">
        <v>9250</v>
      </c>
      <c r="S41" s="11">
        <v>9.204081939692705E-4</v>
      </c>
    </row>
    <row r="42" spans="1:19" x14ac:dyDescent="0.25">
      <c r="A42" s="8" t="s">
        <v>41</v>
      </c>
      <c r="B42" s="9">
        <v>879079</v>
      </c>
      <c r="C42" s="10">
        <f t="shared" si="11"/>
        <v>0.31540787483886001</v>
      </c>
      <c r="D42" s="9">
        <v>1052291.67</v>
      </c>
      <c r="E42" s="10">
        <f t="shared" si="11"/>
        <v>0.27429186626816743</v>
      </c>
      <c r="F42" s="9">
        <v>1150725</v>
      </c>
      <c r="G42" s="10">
        <f t="shared" si="11"/>
        <v>0.17408986153975101</v>
      </c>
      <c r="H42" s="9">
        <v>1079392</v>
      </c>
      <c r="I42" s="10">
        <f t="shared" si="11"/>
        <v>0.15048752792466025</v>
      </c>
      <c r="J42" s="9">
        <f t="shared" si="10"/>
        <v>4161487.67</v>
      </c>
      <c r="K42" s="10">
        <f t="shared" si="11"/>
        <v>0.2039335657755548</v>
      </c>
      <c r="L42" s="9">
        <v>1101227</v>
      </c>
      <c r="M42" s="10">
        <f t="shared" si="12"/>
        <v>0.1471664069057958</v>
      </c>
      <c r="N42" s="9">
        <v>1163398.5083333333</v>
      </c>
      <c r="O42" s="10">
        <f t="shared" si="13"/>
        <v>0.11943478716576948</v>
      </c>
      <c r="P42" s="9">
        <v>1211785.5</v>
      </c>
      <c r="Q42" s="10">
        <f t="shared" si="14"/>
        <v>0.12634901777190893</v>
      </c>
      <c r="R42" s="9">
        <v>1230053.5</v>
      </c>
      <c r="S42" s="10">
        <v>0.12239473734276542</v>
      </c>
    </row>
    <row r="43" spans="1:19" x14ac:dyDescent="0.25">
      <c r="A43" s="8" t="s">
        <v>42</v>
      </c>
      <c r="B43" s="9">
        <v>0</v>
      </c>
      <c r="C43" s="11">
        <f t="shared" si="11"/>
        <v>0</v>
      </c>
      <c r="D43" s="9">
        <v>0</v>
      </c>
      <c r="E43" s="11">
        <f t="shared" si="11"/>
        <v>0</v>
      </c>
      <c r="F43" s="9">
        <v>0</v>
      </c>
      <c r="G43" s="11">
        <f t="shared" si="11"/>
        <v>0</v>
      </c>
      <c r="H43" s="9">
        <v>0</v>
      </c>
      <c r="I43" s="10">
        <f t="shared" si="11"/>
        <v>0</v>
      </c>
      <c r="J43" s="9">
        <f t="shared" si="10"/>
        <v>0</v>
      </c>
      <c r="K43" s="11">
        <f t="shared" si="11"/>
        <v>0</v>
      </c>
      <c r="L43" s="9">
        <v>46317.54</v>
      </c>
      <c r="M43" s="10">
        <f t="shared" si="12"/>
        <v>6.1898100378173383E-3</v>
      </c>
      <c r="N43" s="9">
        <v>42145.004999999997</v>
      </c>
      <c r="O43" s="10">
        <f t="shared" si="13"/>
        <v>4.326616947004959E-3</v>
      </c>
      <c r="P43" s="9">
        <v>46914.86</v>
      </c>
      <c r="Q43" s="10">
        <f t="shared" si="14"/>
        <v>4.8916631531790234E-3</v>
      </c>
      <c r="R43" s="9">
        <v>45224.002500000002</v>
      </c>
      <c r="S43" s="10">
        <v>4.4999505367661384E-3</v>
      </c>
    </row>
    <row r="44" spans="1:19" x14ac:dyDescent="0.25">
      <c r="A44" s="8" t="s">
        <v>43</v>
      </c>
      <c r="B44" s="9">
        <v>70870</v>
      </c>
      <c r="C44" s="10">
        <f t="shared" si="11"/>
        <v>2.5427698864186277E-2</v>
      </c>
      <c r="D44" s="9">
        <v>96950</v>
      </c>
      <c r="E44" s="10">
        <f t="shared" si="11"/>
        <v>2.5271127001032741E-2</v>
      </c>
      <c r="F44" s="9">
        <v>100650</v>
      </c>
      <c r="G44" s="10">
        <f t="shared" si="11"/>
        <v>1.5227047786374624E-2</v>
      </c>
      <c r="H44" s="9">
        <v>125769</v>
      </c>
      <c r="I44" s="10">
        <f t="shared" si="11"/>
        <v>1.7534561956690984E-2</v>
      </c>
      <c r="J44" s="9">
        <f t="shared" si="10"/>
        <v>394239</v>
      </c>
      <c r="K44" s="10">
        <f t="shared" si="11"/>
        <v>1.9319669169604665E-2</v>
      </c>
      <c r="L44" s="9">
        <v>100874</v>
      </c>
      <c r="M44" s="10">
        <f t="shared" si="12"/>
        <v>1.3480657603033023E-2</v>
      </c>
      <c r="N44" s="15">
        <v>105884</v>
      </c>
      <c r="O44" s="10">
        <f t="shared" si="13"/>
        <v>1.0870078407077497E-2</v>
      </c>
      <c r="P44" s="15">
        <v>105433</v>
      </c>
      <c r="Q44" s="10">
        <f t="shared" si="14"/>
        <v>1.0993163386379581E-2</v>
      </c>
      <c r="R44" s="15">
        <v>109059</v>
      </c>
      <c r="S44" s="10">
        <v>1.0851761862280505E-2</v>
      </c>
    </row>
    <row r="45" spans="1:19" x14ac:dyDescent="0.25">
      <c r="A45" s="8" t="s">
        <v>44</v>
      </c>
      <c r="B45" s="9">
        <v>119306</v>
      </c>
      <c r="C45" s="10">
        <f t="shared" si="11"/>
        <v>4.2806223235369097E-2</v>
      </c>
      <c r="D45" s="9">
        <v>154138</v>
      </c>
      <c r="E45" s="10">
        <f t="shared" si="11"/>
        <v>4.0177833663591386E-2</v>
      </c>
      <c r="F45" s="9">
        <v>252324.5</v>
      </c>
      <c r="G45" s="10">
        <f t="shared" si="11"/>
        <v>3.8173444800527409E-2</v>
      </c>
      <c r="H45" s="9">
        <v>269354.19</v>
      </c>
      <c r="I45" s="10">
        <f t="shared" si="11"/>
        <v>3.7553035587858018E-2</v>
      </c>
      <c r="J45" s="9">
        <f t="shared" si="10"/>
        <v>795122.69</v>
      </c>
      <c r="K45" s="10">
        <f t="shared" si="11"/>
        <v>3.8964961153123173E-2</v>
      </c>
      <c r="L45" s="15">
        <v>236944.565</v>
      </c>
      <c r="M45" s="10">
        <f t="shared" si="12"/>
        <v>3.1664933993542463E-2</v>
      </c>
      <c r="N45" s="15">
        <v>318094.42500000005</v>
      </c>
      <c r="O45" s="10">
        <f t="shared" si="13"/>
        <v>3.2655654684411554E-2</v>
      </c>
      <c r="P45" s="28">
        <v>317331.10000000003</v>
      </c>
      <c r="Q45" s="10">
        <f t="shared" si="14"/>
        <v>3.3087103941645955E-2</v>
      </c>
      <c r="R45" s="28">
        <v>326186.89999999997</v>
      </c>
      <c r="S45" s="10">
        <v>3.2456767083830815E-2</v>
      </c>
    </row>
    <row r="46" spans="1:19" x14ac:dyDescent="0.25">
      <c r="A46" s="8" t="s">
        <v>45</v>
      </c>
      <c r="B46" s="9">
        <v>0</v>
      </c>
      <c r="C46" s="11">
        <f t="shared" si="11"/>
        <v>0</v>
      </c>
      <c r="D46" s="9">
        <v>826000</v>
      </c>
      <c r="E46" s="11">
        <f t="shared" si="11"/>
        <v>0.21530635278858221</v>
      </c>
      <c r="F46" s="9">
        <v>826000</v>
      </c>
      <c r="G46" s="11">
        <f t="shared" si="11"/>
        <v>0.12496315421306943</v>
      </c>
      <c r="H46" s="9">
        <v>826000</v>
      </c>
      <c r="I46" s="11">
        <f t="shared" si="11"/>
        <v>0.11515992157230122</v>
      </c>
      <c r="J46" s="9">
        <f t="shared" si="10"/>
        <v>2478000</v>
      </c>
      <c r="K46" s="11">
        <f t="shared" si="11"/>
        <v>0.12143430812852193</v>
      </c>
      <c r="L46" s="9">
        <v>826000</v>
      </c>
      <c r="M46" s="11">
        <f t="shared" si="12"/>
        <v>0.11038546285569401</v>
      </c>
      <c r="N46" s="9">
        <v>826000</v>
      </c>
      <c r="O46" s="11">
        <f t="shared" si="13"/>
        <v>8.4797370369895472E-2</v>
      </c>
      <c r="P46" s="9">
        <v>826000</v>
      </c>
      <c r="Q46" s="11">
        <f t="shared" si="14"/>
        <v>8.6124391387416982E-2</v>
      </c>
      <c r="R46" s="9">
        <v>826000</v>
      </c>
      <c r="S46" s="11">
        <v>8.2189964131742427E-2</v>
      </c>
    </row>
    <row r="47" spans="1:19" x14ac:dyDescent="0.25">
      <c r="A47" s="8" t="s">
        <v>46</v>
      </c>
      <c r="B47" s="9">
        <v>0</v>
      </c>
      <c r="C47" s="10">
        <f t="shared" si="11"/>
        <v>0</v>
      </c>
      <c r="D47" s="9">
        <v>35400</v>
      </c>
      <c r="E47" s="10">
        <f t="shared" si="11"/>
        <v>9.2274151195106662E-3</v>
      </c>
      <c r="F47" s="9">
        <v>35400</v>
      </c>
      <c r="G47" s="10">
        <f t="shared" si="11"/>
        <v>5.3555637519886899E-3</v>
      </c>
      <c r="H47" s="9">
        <v>35400</v>
      </c>
      <c r="I47" s="10">
        <f t="shared" si="11"/>
        <v>4.9354252102414807E-3</v>
      </c>
      <c r="J47" s="9">
        <f t="shared" si="10"/>
        <v>106200</v>
      </c>
      <c r="K47" s="10">
        <f t="shared" si="11"/>
        <v>5.2043274912223691E-3</v>
      </c>
      <c r="L47" s="9">
        <v>35400</v>
      </c>
      <c r="M47" s="10">
        <f t="shared" si="12"/>
        <v>4.7308055509583148E-3</v>
      </c>
      <c r="N47" s="9">
        <v>35400</v>
      </c>
      <c r="O47" s="10">
        <f t="shared" si="13"/>
        <v>3.634173015852663E-3</v>
      </c>
      <c r="P47" s="9">
        <v>35400</v>
      </c>
      <c r="Q47" s="10">
        <f t="shared" si="14"/>
        <v>3.6910453451750136E-3</v>
      </c>
      <c r="R47" s="9">
        <v>35400</v>
      </c>
      <c r="S47" s="10">
        <v>3.5224270342175327E-3</v>
      </c>
    </row>
    <row r="48" spans="1:19" x14ac:dyDescent="0.25">
      <c r="A48" s="8" t="s">
        <v>47</v>
      </c>
      <c r="B48" s="9">
        <v>138899</v>
      </c>
      <c r="C48" s="10">
        <f t="shared" si="11"/>
        <v>4.9836065253797232E-2</v>
      </c>
      <c r="D48" s="9">
        <v>147500</v>
      </c>
      <c r="E48" s="10">
        <f t="shared" si="11"/>
        <v>3.8447562997961107E-2</v>
      </c>
      <c r="F48" s="9">
        <v>150451</v>
      </c>
      <c r="G48" s="10">
        <f t="shared" si="11"/>
        <v>2.2761297233063572E-2</v>
      </c>
      <c r="H48" s="9">
        <v>182088</v>
      </c>
      <c r="I48" s="10">
        <f t="shared" si="11"/>
        <v>2.538648886108618E-2</v>
      </c>
      <c r="J48" s="9">
        <f t="shared" si="10"/>
        <v>618938</v>
      </c>
      <c r="K48" s="10">
        <f t="shared" si="11"/>
        <v>3.0331036240698592E-2</v>
      </c>
      <c r="L48" s="15">
        <v>266648</v>
      </c>
      <c r="M48" s="10">
        <f t="shared" si="12"/>
        <v>3.5634458716156288E-2</v>
      </c>
      <c r="N48" s="15">
        <v>313776</v>
      </c>
      <c r="O48" s="10">
        <f t="shared" si="13"/>
        <v>3.2212324074073033E-2</v>
      </c>
      <c r="P48" s="15">
        <v>314669</v>
      </c>
      <c r="Q48" s="10">
        <f t="shared" si="14"/>
        <v>3.2809535246352439E-2</v>
      </c>
      <c r="R48" s="15">
        <v>326837</v>
      </c>
      <c r="S48" s="10">
        <v>3.252145436673886E-2</v>
      </c>
    </row>
    <row r="49" spans="1:19" x14ac:dyDescent="0.25">
      <c r="A49" s="8" t="s">
        <v>48</v>
      </c>
      <c r="B49" s="9">
        <v>64900</v>
      </c>
      <c r="C49" s="11">
        <f t="shared" si="11"/>
        <v>2.3285701372734436E-2</v>
      </c>
      <c r="D49" s="9">
        <v>64900</v>
      </c>
      <c r="E49" s="11">
        <f t="shared" si="11"/>
        <v>1.6916927719102887E-2</v>
      </c>
      <c r="F49" s="9">
        <v>100300</v>
      </c>
      <c r="G49" s="11">
        <f t="shared" si="11"/>
        <v>1.5174097297301289E-2</v>
      </c>
      <c r="H49" s="9">
        <v>98104.4</v>
      </c>
      <c r="I49" s="10">
        <f t="shared" si="11"/>
        <v>1.367759686428289E-2</v>
      </c>
      <c r="J49" s="9">
        <f t="shared" si="10"/>
        <v>328204.40000000002</v>
      </c>
      <c r="K49" s="11">
        <f t="shared" si="11"/>
        <v>1.6083645778344095E-2</v>
      </c>
      <c r="L49" s="15">
        <v>103951.26</v>
      </c>
      <c r="M49" s="10">
        <f t="shared" si="12"/>
        <v>1.3891898243986185E-2</v>
      </c>
      <c r="N49" s="15">
        <v>176840.91</v>
      </c>
      <c r="O49" s="10">
        <f t="shared" si="13"/>
        <v>1.8154532859345464E-2</v>
      </c>
      <c r="P49" s="15">
        <v>151631.34</v>
      </c>
      <c r="Q49" s="10">
        <f t="shared" si="14"/>
        <v>1.5810117279368638E-2</v>
      </c>
      <c r="R49" s="15">
        <v>152555.74</v>
      </c>
      <c r="S49" s="10">
        <v>1.5179843581950875E-2</v>
      </c>
    </row>
    <row r="50" spans="1:19" x14ac:dyDescent="0.25">
      <c r="A50" s="8" t="s">
        <v>49</v>
      </c>
      <c r="B50" s="9">
        <v>59974</v>
      </c>
      <c r="C50" s="10">
        <f t="shared" si="11"/>
        <v>2.1518284347124422E-2</v>
      </c>
      <c r="D50" s="9">
        <v>78551</v>
      </c>
      <c r="E50" s="10">
        <f t="shared" si="11"/>
        <v>2.0475217091883682E-2</v>
      </c>
      <c r="F50" s="9">
        <v>125035</v>
      </c>
      <c r="G50" s="10">
        <f t="shared" si="11"/>
        <v>1.8916184003669657E-2</v>
      </c>
      <c r="H50" s="9">
        <v>15676</v>
      </c>
      <c r="I50" s="10">
        <f t="shared" si="11"/>
        <v>2.1855289716312277E-3</v>
      </c>
      <c r="J50" s="9">
        <f t="shared" si="10"/>
        <v>279236</v>
      </c>
      <c r="K50" s="10">
        <f t="shared" si="11"/>
        <v>1.3683950954227584E-2</v>
      </c>
      <c r="L50" s="15">
        <v>279642</v>
      </c>
      <c r="M50" s="10">
        <f t="shared" si="12"/>
        <v>3.7370958358222739E-2</v>
      </c>
      <c r="N50" s="15">
        <v>175276.06</v>
      </c>
      <c r="O50" s="10">
        <f t="shared" si="13"/>
        <v>1.799388495980148E-2</v>
      </c>
      <c r="P50" s="15">
        <v>164666.98000000001</v>
      </c>
      <c r="Q50" s="10">
        <f t="shared" si="14"/>
        <v>1.7169301978334099E-2</v>
      </c>
      <c r="R50" s="15">
        <v>0</v>
      </c>
      <c r="S50" s="10">
        <v>0</v>
      </c>
    </row>
    <row r="51" spans="1:19" x14ac:dyDescent="0.25">
      <c r="A51" s="8" t="s">
        <v>50</v>
      </c>
      <c r="B51" s="9">
        <v>27730</v>
      </c>
      <c r="C51" s="10">
        <f t="shared" si="11"/>
        <v>9.9493451319865311E-3</v>
      </c>
      <c r="D51" s="9">
        <v>39530</v>
      </c>
      <c r="E51" s="10">
        <f t="shared" si="11"/>
        <v>1.0303946883453577E-2</v>
      </c>
      <c r="F51" s="9">
        <v>41730</v>
      </c>
      <c r="G51" s="10">
        <f t="shared" si="11"/>
        <v>6.3132111686578542E-3</v>
      </c>
      <c r="H51" s="9">
        <v>27730</v>
      </c>
      <c r="I51" s="10">
        <f t="shared" si="11"/>
        <v>3.8660830813558268E-3</v>
      </c>
      <c r="J51" s="9">
        <f t="shared" si="10"/>
        <v>136720</v>
      </c>
      <c r="K51" s="10">
        <f t="shared" si="11"/>
        <v>6.6999590828617913E-3</v>
      </c>
      <c r="L51" s="9">
        <v>43080</v>
      </c>
      <c r="M51" s="10">
        <f t="shared" si="12"/>
        <v>5.7571498060814737E-3</v>
      </c>
      <c r="N51" s="9">
        <v>33730</v>
      </c>
      <c r="O51" s="10">
        <f t="shared" si="13"/>
        <v>3.4627303905285403E-3</v>
      </c>
      <c r="P51" s="9">
        <v>37730</v>
      </c>
      <c r="Q51" s="10">
        <f t="shared" si="14"/>
        <v>3.9339870303235387E-3</v>
      </c>
      <c r="R51" s="9">
        <v>37730</v>
      </c>
      <c r="S51" s="10">
        <v>3.7542703955092517E-3</v>
      </c>
    </row>
    <row r="52" spans="1:19" x14ac:dyDescent="0.25">
      <c r="A52" s="8" t="s">
        <v>51</v>
      </c>
      <c r="B52" s="9">
        <v>112083.26</v>
      </c>
      <c r="C52" s="11">
        <f t="shared" si="11"/>
        <v>4.0214750712520037E-2</v>
      </c>
      <c r="D52" s="9">
        <v>179658.39</v>
      </c>
      <c r="E52" s="11">
        <f t="shared" si="11"/>
        <v>4.6830015373811977E-2</v>
      </c>
      <c r="F52" s="9">
        <v>178407.52</v>
      </c>
      <c r="G52" s="11">
        <f t="shared" si="11"/>
        <v>2.6990758395316304E-2</v>
      </c>
      <c r="H52" s="9">
        <v>180360.06</v>
      </c>
      <c r="I52" s="11">
        <f t="shared" si="11"/>
        <v>2.5145581554934071E-2</v>
      </c>
      <c r="J52" s="9">
        <f t="shared" si="10"/>
        <v>650509.23</v>
      </c>
      <c r="K52" s="11">
        <f t="shared" si="11"/>
        <v>3.1878183323756075E-2</v>
      </c>
      <c r="L52" s="15">
        <v>217399.7</v>
      </c>
      <c r="M52" s="11">
        <f t="shared" si="12"/>
        <v>2.9052986088606562E-2</v>
      </c>
      <c r="N52" s="15">
        <v>192695.24</v>
      </c>
      <c r="O52" s="11">
        <f t="shared" si="13"/>
        <v>1.9782142415007139E-2</v>
      </c>
      <c r="P52" s="15">
        <v>187792.15680000003</v>
      </c>
      <c r="Q52" s="11">
        <f t="shared" si="14"/>
        <v>1.9580490571102158E-2</v>
      </c>
      <c r="R52" s="15">
        <v>236305</v>
      </c>
      <c r="S52" s="11">
        <v>2.3513195489287403E-2</v>
      </c>
    </row>
    <row r="53" spans="1:19" x14ac:dyDescent="0.25">
      <c r="A53" s="8" t="s">
        <v>52</v>
      </c>
      <c r="B53" s="9">
        <v>38465.56</v>
      </c>
      <c r="C53" s="10">
        <f t="shared" si="11"/>
        <v>1.3801194811941428E-2</v>
      </c>
      <c r="D53" s="9">
        <v>84840.36</v>
      </c>
      <c r="E53" s="10">
        <f t="shared" si="11"/>
        <v>2.2114610751658981E-2</v>
      </c>
      <c r="F53" s="9">
        <v>55489.81</v>
      </c>
      <c r="G53" s="10">
        <f t="shared" si="11"/>
        <v>8.3948930802468791E-3</v>
      </c>
      <c r="H53" s="9">
        <v>90883.39</v>
      </c>
      <c r="I53" s="10">
        <f t="shared" si="11"/>
        <v>1.2670852378480467E-2</v>
      </c>
      <c r="J53" s="9">
        <f t="shared" si="10"/>
        <v>269679.12</v>
      </c>
      <c r="K53" s="10">
        <f t="shared" si="11"/>
        <v>1.3215616365580567E-2</v>
      </c>
      <c r="L53" s="15">
        <v>67852.33</v>
      </c>
      <c r="M53" s="10">
        <f t="shared" si="12"/>
        <v>9.0676886838829199E-3</v>
      </c>
      <c r="N53" s="15">
        <v>111333.58</v>
      </c>
      <c r="O53" s="10">
        <f t="shared" si="13"/>
        <v>1.1429533677804343E-2</v>
      </c>
      <c r="P53" s="15">
        <v>69473.3</v>
      </c>
      <c r="Q53" s="10">
        <f t="shared" si="14"/>
        <v>7.2437599033600922E-3</v>
      </c>
      <c r="R53" s="15">
        <v>0</v>
      </c>
      <c r="S53" s="10">
        <v>0</v>
      </c>
    </row>
    <row r="54" spans="1:19" x14ac:dyDescent="0.25">
      <c r="A54" s="8" t="s">
        <v>53</v>
      </c>
      <c r="B54" s="9">
        <v>988.82</v>
      </c>
      <c r="C54" s="10">
        <f t="shared" si="11"/>
        <v>3.5478223777176061E-4</v>
      </c>
      <c r="D54" s="9">
        <v>988.82</v>
      </c>
      <c r="E54" s="10">
        <f t="shared" si="11"/>
        <v>2.577472491094502E-4</v>
      </c>
      <c r="F54" s="9">
        <v>988.82</v>
      </c>
      <c r="G54" s="10">
        <f t="shared" si="11"/>
        <v>1.4959572172998465E-4</v>
      </c>
      <c r="H54" s="9">
        <v>1062.5700000000002</v>
      </c>
      <c r="I54" s="10">
        <f t="shared" si="11"/>
        <v>1.4814222501825683E-4</v>
      </c>
      <c r="J54" s="9">
        <f t="shared" si="10"/>
        <v>4029.03</v>
      </c>
      <c r="K54" s="10">
        <f t="shared" si="11"/>
        <v>1.9744248203351847E-4</v>
      </c>
      <c r="L54" s="9">
        <v>1062.5700000000002</v>
      </c>
      <c r="M54" s="10">
        <f t="shared" si="12"/>
        <v>1.4200034051643437E-4</v>
      </c>
      <c r="N54" s="9">
        <v>1062.5700000000002</v>
      </c>
      <c r="O54" s="10">
        <f t="shared" si="13"/>
        <v>1.0908370682075042E-4</v>
      </c>
      <c r="P54" s="9">
        <v>1062.5700000000002</v>
      </c>
      <c r="Q54" s="10">
        <f t="shared" si="14"/>
        <v>1.1079079244131679E-4</v>
      </c>
      <c r="R54" s="9">
        <v>1062.5700000000002</v>
      </c>
      <c r="S54" s="10">
        <v>1.0572952807199221E-4</v>
      </c>
    </row>
    <row r="55" spans="1:19" x14ac:dyDescent="0.25">
      <c r="A55" s="8" t="s">
        <v>54</v>
      </c>
      <c r="B55" s="9">
        <v>0</v>
      </c>
      <c r="C55" s="11">
        <f t="shared" si="11"/>
        <v>0</v>
      </c>
      <c r="D55" s="9">
        <v>0</v>
      </c>
      <c r="E55" s="11">
        <f t="shared" si="11"/>
        <v>0</v>
      </c>
      <c r="F55" s="9">
        <v>29210</v>
      </c>
      <c r="G55" s="11">
        <f t="shared" si="11"/>
        <v>4.4190965309488595E-3</v>
      </c>
      <c r="H55" s="9">
        <v>5720</v>
      </c>
      <c r="I55" s="11">
        <f t="shared" si="11"/>
        <v>7.9747548594862354E-4</v>
      </c>
      <c r="J55" s="9">
        <f t="shared" si="10"/>
        <v>34930</v>
      </c>
      <c r="K55" s="11">
        <f t="shared" si="11"/>
        <v>1.7117434959359448E-3</v>
      </c>
      <c r="L55" s="9">
        <v>17060</v>
      </c>
      <c r="M55" s="11">
        <f t="shared" si="12"/>
        <v>2.2798740875522271E-3</v>
      </c>
      <c r="N55" s="9">
        <v>0</v>
      </c>
      <c r="O55" s="11">
        <f t="shared" si="13"/>
        <v>0</v>
      </c>
      <c r="P55" s="9">
        <v>6470</v>
      </c>
      <c r="Q55" s="11">
        <f t="shared" si="14"/>
        <v>6.7460631026221285E-4</v>
      </c>
      <c r="R55" s="9">
        <v>20500</v>
      </c>
      <c r="S55" s="11">
        <v>2.0398235650129779E-3</v>
      </c>
    </row>
    <row r="56" spans="1:19" x14ac:dyDescent="0.25">
      <c r="A56" s="8" t="s">
        <v>55</v>
      </c>
      <c r="B56" s="9">
        <v>0</v>
      </c>
      <c r="C56" s="10">
        <f t="shared" si="11"/>
        <v>0</v>
      </c>
      <c r="D56" s="9">
        <v>0</v>
      </c>
      <c r="E56" s="10">
        <f t="shared" si="11"/>
        <v>0</v>
      </c>
      <c r="F56" s="9">
        <v>23209</v>
      </c>
      <c r="G56" s="10">
        <f t="shared" si="11"/>
        <v>3.5112225740086302E-3</v>
      </c>
      <c r="H56" s="9">
        <v>53801</v>
      </c>
      <c r="I56" s="10">
        <f>H56/H4</f>
        <v>9.4896398958494318E-2</v>
      </c>
      <c r="J56" s="9">
        <f t="shared" si="10"/>
        <v>77010</v>
      </c>
      <c r="K56" s="10">
        <f t="shared" si="11"/>
        <v>3.7738725056406272E-3</v>
      </c>
      <c r="L56" s="9">
        <v>179216.96000000002</v>
      </c>
      <c r="M56" s="10">
        <f>L56/L4</f>
        <v>0.11528883811170638</v>
      </c>
      <c r="N56" s="15">
        <v>262018.64</v>
      </c>
      <c r="O56" s="10">
        <f>N56/N4</f>
        <v>0.13378760354557884</v>
      </c>
      <c r="P56" s="15">
        <v>228277.18</v>
      </c>
      <c r="Q56" s="10">
        <f>P56/P4</f>
        <v>0.14209287690588751</v>
      </c>
      <c r="R56" s="15">
        <v>259429.46999999997</v>
      </c>
      <c r="S56" s="10">
        <v>0.14296614156641735</v>
      </c>
    </row>
    <row r="57" spans="1:19" x14ac:dyDescent="0.25">
      <c r="A57" s="8" t="s">
        <v>56</v>
      </c>
      <c r="B57" s="9">
        <v>0</v>
      </c>
      <c r="C57" s="10">
        <f t="shared" si="11"/>
        <v>0</v>
      </c>
      <c r="D57" s="9">
        <v>0</v>
      </c>
      <c r="E57" s="10">
        <f t="shared" si="11"/>
        <v>0</v>
      </c>
      <c r="F57" s="9">
        <v>0</v>
      </c>
      <c r="G57" s="10">
        <f t="shared" si="11"/>
        <v>0</v>
      </c>
      <c r="H57" s="9">
        <v>0</v>
      </c>
      <c r="I57" s="10">
        <f t="shared" si="11"/>
        <v>0</v>
      </c>
      <c r="J57" s="9">
        <f t="shared" si="10"/>
        <v>0</v>
      </c>
      <c r="K57" s="10">
        <f t="shared" si="11"/>
        <v>0</v>
      </c>
      <c r="L57" s="9">
        <v>0</v>
      </c>
      <c r="M57" s="10">
        <f t="shared" si="12"/>
        <v>0</v>
      </c>
      <c r="N57" s="9">
        <f>529622.8/3</f>
        <v>176540.93333333335</v>
      </c>
      <c r="O57" s="10">
        <f t="shared" si="13"/>
        <v>1.8123737178345877E-2</v>
      </c>
      <c r="P57" s="9">
        <f>529622.8/3</f>
        <v>176540.93333333335</v>
      </c>
      <c r="Q57" s="10">
        <f t="shared" ref="Q57" si="15">P57/P$13</f>
        <v>1.840736130544781E-2</v>
      </c>
      <c r="R57" s="9">
        <v>176540.93333333335</v>
      </c>
      <c r="S57" s="10">
        <v>1.7566456390376513E-2</v>
      </c>
    </row>
    <row r="58" spans="1:19" x14ac:dyDescent="0.25">
      <c r="A58" s="21" t="s">
        <v>57</v>
      </c>
      <c r="B58" s="22">
        <f>SUM(B40:B57)</f>
        <v>1540354.7000000002</v>
      </c>
      <c r="C58" s="23">
        <f>B58/B$13</f>
        <v>0.55266933054372791</v>
      </c>
      <c r="D58" s="22">
        <f>SUM(D40:D57)</f>
        <v>2822060.2399999998</v>
      </c>
      <c r="E58" s="23">
        <f>D58/D$13</f>
        <v>0.73560229736570326</v>
      </c>
      <c r="F58" s="22">
        <f>SUM(F40:F57)</f>
        <v>3140882.9499999997</v>
      </c>
      <c r="G58" s="23">
        <f>F58/F$13</f>
        <v>0.47517510949885039</v>
      </c>
      <c r="H58" s="22">
        <f>SUM(H40:H57)</f>
        <v>3069570.11</v>
      </c>
      <c r="I58" s="23">
        <f>H58/H$13</f>
        <v>0.42795575439259081</v>
      </c>
      <c r="J58" s="29">
        <f>SUM(J40:J57)</f>
        <v>10572868</v>
      </c>
      <c r="K58" s="23">
        <f>J58/J$13</f>
        <v>0.51812304701944689</v>
      </c>
      <c r="L58" s="22">
        <f>SUM(L40:L57)</f>
        <v>3601764.6149999998</v>
      </c>
      <c r="M58" s="23">
        <f>L58/L$13</f>
        <v>0.48133469022280323</v>
      </c>
      <c r="N58" s="22">
        <f>SUM(N40:N57)</f>
        <v>4027992.3916666666</v>
      </c>
      <c r="O58" s="23">
        <f>N58/N$13</f>
        <v>0.41351472479815909</v>
      </c>
      <c r="P58" s="22">
        <f>SUM(P40:P57)</f>
        <v>3978313.6801333334</v>
      </c>
      <c r="Q58" s="23">
        <f>P58/P$13</f>
        <v>0.41480610708198357</v>
      </c>
      <c r="R58" s="22">
        <v>3877595.3858333332</v>
      </c>
      <c r="S58" s="23">
        <v>0.38583465578577675</v>
      </c>
    </row>
    <row r="59" spans="1:19" ht="15.75" thickBot="1" x14ac:dyDescent="0.3">
      <c r="A59" s="19" t="s">
        <v>13</v>
      </c>
      <c r="B59" s="24"/>
      <c r="C59" s="30"/>
      <c r="D59" s="24"/>
      <c r="E59" s="30"/>
      <c r="F59" s="24"/>
      <c r="G59" s="30"/>
      <c r="H59" s="24"/>
      <c r="I59" s="30"/>
      <c r="J59" s="24"/>
      <c r="K59" s="30"/>
      <c r="L59" s="24"/>
      <c r="M59" s="30"/>
      <c r="N59" s="24"/>
      <c r="O59" s="30"/>
      <c r="P59" s="24"/>
      <c r="Q59" s="30"/>
      <c r="R59" s="24"/>
      <c r="S59" s="30"/>
    </row>
    <row r="60" spans="1:19" ht="15.75" thickBot="1" x14ac:dyDescent="0.3">
      <c r="A60" s="12" t="s">
        <v>58</v>
      </c>
      <c r="B60" s="13">
        <f>+B37-B58</f>
        <v>378013.54435999971</v>
      </c>
      <c r="C60" s="27">
        <f>B60/B7</f>
        <v>0.13101291538309648</v>
      </c>
      <c r="D60" s="13">
        <f>+D37-D58</f>
        <v>-243942.51435999991</v>
      </c>
      <c r="E60" s="27">
        <f>D60/D7</f>
        <v>-6.2045994638369718E-2</v>
      </c>
      <c r="F60" s="13">
        <f>+F37-F58</f>
        <v>1726092.85</v>
      </c>
      <c r="G60" s="27">
        <f>F60/F7</f>
        <v>0.25581572509051237</v>
      </c>
      <c r="H60" s="13">
        <f>+H37-H58</f>
        <v>2244525.7999999993</v>
      </c>
      <c r="I60" s="27">
        <f>H60/H13</f>
        <v>0.312929073964899</v>
      </c>
      <c r="J60" s="13">
        <f>+J37-J58</f>
        <v>4104689.6799999997</v>
      </c>
      <c r="K60" s="27">
        <f>J60/J13</f>
        <v>0.20115018215217276</v>
      </c>
      <c r="L60" s="13">
        <f>+L37-L58</f>
        <v>1604097.145</v>
      </c>
      <c r="M60" s="27">
        <f>L60/L13</f>
        <v>0.21436925643622554</v>
      </c>
      <c r="N60" s="13">
        <f>+N37-N58</f>
        <v>3050517.5499285711</v>
      </c>
      <c r="O60" s="27">
        <f>N60/N13</f>
        <v>0.31316690859704499</v>
      </c>
      <c r="P60" s="13">
        <f>+P37-P58</f>
        <v>2968142.2612714274</v>
      </c>
      <c r="Q60" s="27">
        <f>P60/P13</f>
        <v>0.30947874794585145</v>
      </c>
      <c r="R60" s="13">
        <v>3310946.3725000015</v>
      </c>
      <c r="S60" s="27">
        <v>0.32945104551803611</v>
      </c>
    </row>
    <row r="61" spans="1:19" x14ac:dyDescent="0.25">
      <c r="B61"/>
      <c r="L61" s="1"/>
      <c r="M61" s="1"/>
      <c r="N61" s="1"/>
      <c r="O61" s="1"/>
      <c r="P61" s="1"/>
      <c r="Q61" s="1"/>
      <c r="R61" s="53"/>
      <c r="S61" s="1"/>
    </row>
    <row r="62" spans="1:19" ht="45" x14ac:dyDescent="0.25">
      <c r="B62"/>
      <c r="L62" s="31" t="s">
        <v>59</v>
      </c>
      <c r="M62" s="32">
        <v>19824</v>
      </c>
      <c r="N62" s="31" t="s">
        <v>60</v>
      </c>
      <c r="O62" s="33">
        <v>266756</v>
      </c>
      <c r="P62" s="31" t="s">
        <v>95</v>
      </c>
      <c r="Q62" s="33">
        <v>9500</v>
      </c>
      <c r="R62" s="34"/>
      <c r="S62" s="33"/>
    </row>
    <row r="63" spans="1:19" ht="30" x14ac:dyDescent="0.25">
      <c r="B63"/>
      <c r="L63" s="31" t="s">
        <v>61</v>
      </c>
      <c r="M63" s="32">
        <v>45712</v>
      </c>
      <c r="N63" s="31" t="s">
        <v>62</v>
      </c>
      <c r="O63" s="33">
        <v>6232.4599999999991</v>
      </c>
      <c r="P63" s="34" t="s">
        <v>63</v>
      </c>
      <c r="Q63" s="33">
        <v>27940.5</v>
      </c>
      <c r="R63" s="34"/>
      <c r="S63" s="33"/>
    </row>
    <row r="64" spans="1:19" ht="45" x14ac:dyDescent="0.25">
      <c r="A64" s="35">
        <v>19551725.059999999</v>
      </c>
      <c r="B64" s="35">
        <v>2117530.44</v>
      </c>
      <c r="C64" s="35"/>
      <c r="D64" s="35">
        <v>2405434.02</v>
      </c>
      <c r="E64" s="35"/>
      <c r="F64" s="35">
        <v>1540293</v>
      </c>
      <c r="G64" s="35"/>
      <c r="H64" s="35">
        <v>1333383</v>
      </c>
      <c r="J64" s="35">
        <f>SUM(A64:H64)</f>
        <v>26948365.52</v>
      </c>
      <c r="L64" s="31" t="s">
        <v>64</v>
      </c>
      <c r="M64" s="32">
        <v>4344</v>
      </c>
      <c r="N64" s="31" t="s">
        <v>65</v>
      </c>
      <c r="O64" s="33">
        <v>155157.98000000001</v>
      </c>
      <c r="P64" s="34" t="s">
        <v>66</v>
      </c>
      <c r="Q64" s="33">
        <v>10620</v>
      </c>
      <c r="R64" s="34"/>
      <c r="S64" s="33"/>
    </row>
    <row r="65" spans="1:19" ht="30" x14ac:dyDescent="0.25">
      <c r="A65" s="35"/>
      <c r="B65" s="35"/>
      <c r="C65" s="35"/>
      <c r="D65" s="35"/>
      <c r="E65" s="35"/>
      <c r="F65" s="35"/>
      <c r="G65" s="35"/>
      <c r="H65" s="35"/>
      <c r="J65" s="35"/>
      <c r="L65" s="31" t="s">
        <v>67</v>
      </c>
      <c r="M65" s="32">
        <v>13909.84</v>
      </c>
      <c r="N65" s="31" t="s">
        <v>68</v>
      </c>
      <c r="O65" s="33">
        <v>40327.68</v>
      </c>
      <c r="P65" s="34" t="s">
        <v>79</v>
      </c>
      <c r="Q65" s="33">
        <v>21240</v>
      </c>
      <c r="R65" s="36"/>
      <c r="S65" s="33"/>
    </row>
    <row r="66" spans="1:19" ht="30" x14ac:dyDescent="0.25">
      <c r="A66" s="35"/>
      <c r="B66" s="35"/>
      <c r="C66" s="35"/>
      <c r="D66" s="35"/>
      <c r="E66" s="35"/>
      <c r="F66" s="35"/>
      <c r="G66" s="35"/>
      <c r="H66" s="35"/>
      <c r="J66" s="35"/>
      <c r="L66" s="31" t="s">
        <v>69</v>
      </c>
      <c r="M66" s="32">
        <v>11100</v>
      </c>
      <c r="N66" s="31" t="s">
        <v>70</v>
      </c>
      <c r="O66" s="33">
        <v>135700</v>
      </c>
      <c r="P66" s="36" t="s">
        <v>71</v>
      </c>
      <c r="Q66" s="33">
        <v>73639.316000000006</v>
      </c>
      <c r="R66" s="31"/>
      <c r="S66" s="33"/>
    </row>
    <row r="67" spans="1:19" ht="30" x14ac:dyDescent="0.25">
      <c r="A67" s="35"/>
      <c r="B67" s="35"/>
      <c r="C67" s="35"/>
      <c r="D67" s="35"/>
      <c r="E67" s="35"/>
      <c r="F67" s="35"/>
      <c r="G67" s="35"/>
      <c r="H67" s="35"/>
      <c r="J67" s="35"/>
      <c r="L67" s="37" t="s">
        <v>72</v>
      </c>
      <c r="M67" s="32">
        <v>29607.1</v>
      </c>
      <c r="N67" s="31" t="s">
        <v>73</v>
      </c>
      <c r="O67" s="33">
        <v>41300</v>
      </c>
      <c r="P67" s="31" t="s">
        <v>74</v>
      </c>
      <c r="Q67" s="33">
        <v>147490</v>
      </c>
      <c r="R67" s="31"/>
      <c r="S67" s="33"/>
    </row>
    <row r="68" spans="1:19" ht="45" x14ac:dyDescent="0.25">
      <c r="A68" s="35"/>
      <c r="B68" s="35"/>
      <c r="C68" s="35"/>
      <c r="D68" s="35"/>
      <c r="E68" s="35"/>
      <c r="F68" s="35"/>
      <c r="G68" s="35"/>
      <c r="H68" s="35"/>
      <c r="J68" s="35"/>
      <c r="L68" s="31" t="s">
        <v>75</v>
      </c>
      <c r="M68" s="38">
        <f>N57</f>
        <v>176540.93333333335</v>
      </c>
      <c r="N68" s="31" t="s">
        <v>76</v>
      </c>
      <c r="O68" s="33">
        <v>28320</v>
      </c>
      <c r="P68" s="31" t="s">
        <v>77</v>
      </c>
      <c r="Q68" s="33">
        <v>37511.800000000003</v>
      </c>
    </row>
    <row r="69" spans="1:19" ht="30" x14ac:dyDescent="0.25">
      <c r="A69" s="35"/>
      <c r="B69" s="35"/>
      <c r="C69" s="35"/>
      <c r="D69" s="35"/>
      <c r="E69" s="35"/>
      <c r="F69" s="35"/>
      <c r="G69" s="35"/>
      <c r="H69" s="35"/>
      <c r="J69" s="35"/>
      <c r="N69" s="31" t="s">
        <v>78</v>
      </c>
      <c r="O69" s="33">
        <v>511825</v>
      </c>
      <c r="P69" s="31"/>
      <c r="Q69" s="33"/>
      <c r="R69" s="31"/>
      <c r="S69" s="33"/>
    </row>
    <row r="70" spans="1:19" x14ac:dyDescent="0.25">
      <c r="A70" s="35"/>
      <c r="B70" s="35"/>
      <c r="C70" s="35"/>
      <c r="D70" s="35"/>
      <c r="E70" s="35"/>
      <c r="F70" s="35"/>
      <c r="G70" s="35"/>
      <c r="H70" s="35"/>
      <c r="J70" s="35"/>
      <c r="L70" s="35"/>
      <c r="M70" s="35"/>
    </row>
    <row r="71" spans="1:19" x14ac:dyDescent="0.25">
      <c r="A71" s="35"/>
      <c r="B71" s="35"/>
      <c r="C71" s="35"/>
      <c r="D71" s="35"/>
      <c r="E71" s="35"/>
      <c r="F71" s="35"/>
      <c r="G71" s="35"/>
      <c r="H71" s="35"/>
      <c r="J71" s="35"/>
      <c r="L71" s="35"/>
      <c r="M71" s="35"/>
    </row>
    <row r="72" spans="1:19" x14ac:dyDescent="0.25">
      <c r="A72" s="35"/>
      <c r="B72" s="35"/>
      <c r="C72" s="35"/>
      <c r="D72" s="35"/>
      <c r="E72" s="35"/>
      <c r="F72" s="35"/>
      <c r="G72" s="35"/>
      <c r="H72" s="35"/>
      <c r="J72" s="35"/>
      <c r="L72" s="35"/>
      <c r="M72" s="35"/>
      <c r="N72" s="35"/>
      <c r="O72" s="35"/>
      <c r="P72" s="35"/>
      <c r="Q72" s="35"/>
    </row>
    <row r="73" spans="1:19" x14ac:dyDescent="0.25">
      <c r="A73" s="35"/>
      <c r="B73" s="35"/>
      <c r="C73" s="35"/>
      <c r="D73" s="35"/>
      <c r="E73" s="35"/>
      <c r="F73" s="35"/>
      <c r="G73" s="35"/>
      <c r="H73" s="35"/>
      <c r="J73" s="35"/>
      <c r="L73" s="35"/>
      <c r="M73" s="35"/>
      <c r="N73" s="35"/>
      <c r="O73" s="35"/>
      <c r="P73" s="35"/>
      <c r="Q73" s="35"/>
    </row>
  </sheetData>
  <pageMargins left="0.7" right="0.7" top="0.75" bottom="0.75" header="0.3" footer="0.3"/>
  <pageSetup paperSize="9" scale="5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7"/>
  <sheetViews>
    <sheetView zoomScaleNormal="100" zoomScaleSheetLayoutView="100" workbookViewId="0">
      <pane xSplit="1" ySplit="6" topLeftCell="J41" activePane="bottomRight" state="frozen"/>
      <selection activeCell="J63" sqref="J63"/>
      <selection pane="topRight" activeCell="J63" sqref="J63"/>
      <selection pane="bottomLeft" activeCell="J63" sqref="J63"/>
      <selection pane="bottomRight" activeCell="P51" sqref="P51"/>
    </sheetView>
  </sheetViews>
  <sheetFormatPr defaultRowHeight="15" x14ac:dyDescent="0.25"/>
  <cols>
    <col min="1" max="1" width="40" bestFit="1" customWidth="1"/>
    <col min="2" max="2" width="13.7109375" style="1" hidden="1" customWidth="1"/>
    <col min="3" max="3" width="10.28515625" style="1" hidden="1" customWidth="1"/>
    <col min="4" max="4" width="13.7109375" style="1" hidden="1" customWidth="1"/>
    <col min="5" max="5" width="10.28515625" style="1" hidden="1" customWidth="1"/>
    <col min="6" max="6" width="13.7109375" hidden="1" customWidth="1"/>
    <col min="7" max="7" width="10.28515625" hidden="1" customWidth="1"/>
    <col min="8" max="8" width="13.7109375" hidden="1" customWidth="1"/>
    <col min="9" max="9" width="10.28515625" hidden="1" customWidth="1"/>
    <col min="10" max="10" width="13.7109375" customWidth="1"/>
    <col min="11" max="11" width="10.28515625" customWidth="1"/>
    <col min="12" max="12" width="13.7109375" customWidth="1"/>
    <col min="13" max="13" width="10.28515625" customWidth="1"/>
    <col min="14" max="14" width="13.7109375" hidden="1" customWidth="1"/>
    <col min="15" max="15" width="10.28515625" hidden="1" customWidth="1"/>
    <col min="16" max="16" width="13.85546875" customWidth="1"/>
    <col min="17" max="17" width="10.28515625" customWidth="1"/>
    <col min="18" max="18" width="11.5703125" bestFit="1" customWidth="1"/>
  </cols>
  <sheetData>
    <row r="1" spans="1:18" ht="45.75" thickBot="1" x14ac:dyDescent="0.3">
      <c r="A1" s="43" t="s">
        <v>0</v>
      </c>
      <c r="B1" s="44" t="s">
        <v>4</v>
      </c>
      <c r="C1" s="6" t="s">
        <v>2</v>
      </c>
      <c r="D1" s="44" t="s">
        <v>82</v>
      </c>
      <c r="E1" s="6" t="s">
        <v>2</v>
      </c>
      <c r="F1" s="7" t="s">
        <v>6</v>
      </c>
      <c r="G1" s="6" t="s">
        <v>2</v>
      </c>
      <c r="H1" s="40">
        <v>45748</v>
      </c>
      <c r="I1" s="41" t="s">
        <v>2</v>
      </c>
      <c r="J1" s="40">
        <v>45778</v>
      </c>
      <c r="K1" s="41" t="s">
        <v>2</v>
      </c>
      <c r="L1" s="40">
        <v>45809</v>
      </c>
      <c r="M1" s="41" t="s">
        <v>2</v>
      </c>
      <c r="N1" s="7" t="s">
        <v>6</v>
      </c>
      <c r="O1" s="6" t="s">
        <v>2</v>
      </c>
      <c r="P1" s="40">
        <v>45839</v>
      </c>
      <c r="Q1" s="40" t="s">
        <v>2</v>
      </c>
    </row>
    <row r="2" spans="1:18" x14ac:dyDescent="0.25">
      <c r="A2" s="8" t="s">
        <v>7</v>
      </c>
      <c r="B2" s="9">
        <v>6248276</v>
      </c>
      <c r="C2" s="10"/>
      <c r="D2" s="9">
        <v>6515941.46</v>
      </c>
      <c r="E2" s="10"/>
      <c r="F2" s="9">
        <f>B2+D2</f>
        <v>12764217.460000001</v>
      </c>
      <c r="G2" s="10"/>
      <c r="H2" s="9">
        <v>6628077.5</v>
      </c>
      <c r="I2" s="10"/>
      <c r="J2" s="9">
        <v>7783104.5</v>
      </c>
      <c r="K2" s="10"/>
      <c r="L2" s="9">
        <v>6869931</v>
      </c>
      <c r="M2" s="10"/>
      <c r="N2" s="9">
        <f>F2+H2</f>
        <v>19392294.960000001</v>
      </c>
      <c r="O2" s="10"/>
      <c r="P2" s="9">
        <v>7240951.5</v>
      </c>
      <c r="Q2" s="10"/>
      <c r="R2" s="38"/>
    </row>
    <row r="3" spans="1:18" x14ac:dyDescent="0.25">
      <c r="A3" s="8" t="s">
        <v>8</v>
      </c>
      <c r="B3" s="9">
        <v>19600</v>
      </c>
      <c r="C3" s="10"/>
      <c r="D3" s="9">
        <v>299615.8</v>
      </c>
      <c r="E3" s="10"/>
      <c r="F3" s="9">
        <f t="shared" ref="F3:F5" si="0">B3+D3</f>
        <v>319215.8</v>
      </c>
      <c r="G3" s="10"/>
      <c r="H3" s="9">
        <v>388600</v>
      </c>
      <c r="I3" s="10"/>
      <c r="J3" s="9">
        <v>441750</v>
      </c>
      <c r="K3" s="10"/>
      <c r="L3" s="9">
        <v>0</v>
      </c>
      <c r="M3" s="10"/>
      <c r="N3" s="9">
        <f t="shared" ref="N3:N5" si="1">F3+H3</f>
        <v>707815.8</v>
      </c>
      <c r="O3" s="10"/>
      <c r="P3" s="9">
        <v>0</v>
      </c>
      <c r="Q3" s="10"/>
      <c r="R3" s="38"/>
    </row>
    <row r="4" spans="1:18" x14ac:dyDescent="0.25">
      <c r="A4" s="8" t="s">
        <v>9</v>
      </c>
      <c r="B4" s="9">
        <v>0</v>
      </c>
      <c r="C4" s="10"/>
      <c r="D4" s="9">
        <v>319577</v>
      </c>
      <c r="E4" s="10"/>
      <c r="F4" s="9"/>
      <c r="G4" s="10"/>
      <c r="H4" s="9">
        <v>1050517.25</v>
      </c>
      <c r="I4" s="10"/>
      <c r="J4" s="9">
        <v>1506280.25</v>
      </c>
      <c r="K4" s="10"/>
      <c r="L4" s="9">
        <v>1479077.75</v>
      </c>
      <c r="M4" s="10"/>
      <c r="N4" s="9"/>
      <c r="O4" s="10"/>
      <c r="P4" s="9">
        <v>1646158.75</v>
      </c>
      <c r="Q4" s="10"/>
      <c r="R4" s="38"/>
    </row>
    <row r="5" spans="1:18" ht="15.75" thickBot="1" x14ac:dyDescent="0.3">
      <c r="A5" s="8" t="s">
        <v>11</v>
      </c>
      <c r="B5" s="9">
        <v>526527.51</v>
      </c>
      <c r="C5" s="11">
        <f>+B5/(B$2+B$3)</f>
        <v>8.4004136329435999E-2</v>
      </c>
      <c r="D5" s="9">
        <v>608639.29</v>
      </c>
      <c r="E5" s="11">
        <f>+D5/(D$2+D$3)</f>
        <v>8.9301471146322683E-2</v>
      </c>
      <c r="F5" s="9">
        <f t="shared" si="0"/>
        <v>1135166.8</v>
      </c>
      <c r="G5" s="11">
        <f>+F5/(F$2+F$3)</f>
        <v>8.6763678725716969E-2</v>
      </c>
      <c r="H5" s="9">
        <v>614089</v>
      </c>
      <c r="I5" s="11">
        <f>+H5/(H$2+H$3)</f>
        <v>8.7518487204235912E-2</v>
      </c>
      <c r="J5" s="9">
        <v>721115.74000000011</v>
      </c>
      <c r="K5" s="11">
        <f>+J5/(J$2+J$3)</f>
        <v>8.7675197172180988E-2</v>
      </c>
      <c r="L5" s="9">
        <v>622086.54999999993</v>
      </c>
      <c r="M5" s="11">
        <f>+L5/(L$2+L$3)</f>
        <v>9.0552081236332641E-2</v>
      </c>
      <c r="N5" s="9">
        <f t="shared" si="1"/>
        <v>1749255.8</v>
      </c>
      <c r="O5" s="11">
        <f>+N5/(N$2+N$3)</f>
        <v>8.7027172182607415E-2</v>
      </c>
      <c r="P5" s="9">
        <v>663179.76</v>
      </c>
      <c r="Q5" s="11">
        <v>9.1587377708578777E-2</v>
      </c>
      <c r="R5" s="38"/>
    </row>
    <row r="6" spans="1:18" ht="15.75" thickBot="1" x14ac:dyDescent="0.3">
      <c r="A6" s="12" t="s">
        <v>12</v>
      </c>
      <c r="B6" s="13">
        <f>SUM(B2:B5)</f>
        <v>6794403.5099999998</v>
      </c>
      <c r="C6" s="14"/>
      <c r="D6" s="13">
        <f>SUM(D2:D5)</f>
        <v>7743773.5499999998</v>
      </c>
      <c r="E6" s="14"/>
      <c r="F6" s="13">
        <f>SUM(F2:F5)</f>
        <v>14218600.060000002</v>
      </c>
      <c r="G6" s="14"/>
      <c r="H6" s="13">
        <f>SUM(H2:H5)</f>
        <v>8681283.75</v>
      </c>
      <c r="I6" s="14"/>
      <c r="J6" s="13">
        <f>SUM(J2:J5)</f>
        <v>10452250.49</v>
      </c>
      <c r="K6" s="14"/>
      <c r="L6" s="13">
        <f>SUM(L2:L5)</f>
        <v>8971095.3000000007</v>
      </c>
      <c r="M6" s="14"/>
      <c r="N6" s="13">
        <f>SUM(N2:N5)</f>
        <v>21849366.560000002</v>
      </c>
      <c r="O6" s="14"/>
      <c r="P6" s="13">
        <v>9550290.0099999998</v>
      </c>
      <c r="Q6" s="14"/>
      <c r="R6" s="38"/>
    </row>
    <row r="7" spans="1:18" x14ac:dyDescent="0.25">
      <c r="A7" s="8" t="s">
        <v>13</v>
      </c>
      <c r="B7" s="9"/>
      <c r="C7" s="10"/>
      <c r="D7" s="9"/>
      <c r="E7" s="10"/>
      <c r="F7" s="9"/>
      <c r="G7" s="10"/>
      <c r="H7" s="9"/>
      <c r="I7" s="10"/>
      <c r="J7" s="9"/>
      <c r="K7" s="10"/>
      <c r="L7" s="9"/>
      <c r="M7" s="10"/>
      <c r="N7" s="9"/>
      <c r="O7" s="10"/>
      <c r="P7" s="9"/>
      <c r="Q7" s="10"/>
      <c r="R7" s="38"/>
    </row>
    <row r="8" spans="1:18" x14ac:dyDescent="0.25">
      <c r="A8" s="8" t="s">
        <v>14</v>
      </c>
      <c r="B8" s="9">
        <v>66581</v>
      </c>
      <c r="C8" s="11">
        <f>+B8/(B$2+B$3)</f>
        <v>1.0622577728085239E-2</v>
      </c>
      <c r="D8" s="9">
        <v>96928.75</v>
      </c>
      <c r="E8" s="11">
        <f>+D8/(D$2)</f>
        <v>1.487563241551897E-2</v>
      </c>
      <c r="F8" s="9">
        <f t="shared" ref="F8" si="2">B8+D8</f>
        <v>163509.75</v>
      </c>
      <c r="G8" s="11">
        <f>+F8/(F$2+F$3)</f>
        <v>1.2497465057577706E-2</v>
      </c>
      <c r="H8" s="9">
        <v>29986</v>
      </c>
      <c r="I8" s="11">
        <f>+H8/(H$2)</f>
        <v>4.5240871127412135E-3</v>
      </c>
      <c r="J8" s="9">
        <v>53412.75</v>
      </c>
      <c r="K8" s="11">
        <f>+J8/(J$2)</f>
        <v>6.8626535850829194E-3</v>
      </c>
      <c r="L8" s="9">
        <v>95984</v>
      </c>
      <c r="M8" s="11">
        <f>+L8/(L$2)</f>
        <v>1.3971610486335306E-2</v>
      </c>
      <c r="N8" s="9">
        <f t="shared" ref="N8" si="3">F8+H8</f>
        <v>193495.75</v>
      </c>
      <c r="O8" s="11">
        <f>+N8/(N$2+N$3)</f>
        <v>9.6266011819727895E-3</v>
      </c>
      <c r="P8" s="9">
        <v>69868.25</v>
      </c>
      <c r="Q8" s="11">
        <v>9.6490426707042578E-3</v>
      </c>
      <c r="R8" s="38"/>
    </row>
    <row r="9" spans="1:18" x14ac:dyDescent="0.25">
      <c r="A9" s="8" t="s">
        <v>15</v>
      </c>
      <c r="B9" s="16">
        <v>0</v>
      </c>
      <c r="C9" s="10"/>
      <c r="D9" s="16">
        <v>0</v>
      </c>
      <c r="E9" s="10"/>
      <c r="F9" s="16">
        <v>0</v>
      </c>
      <c r="G9" s="10"/>
      <c r="H9" s="16">
        <v>0</v>
      </c>
      <c r="I9" s="10"/>
      <c r="J9" s="16">
        <v>0</v>
      </c>
      <c r="K9" s="10"/>
      <c r="L9" s="16">
        <v>0</v>
      </c>
      <c r="M9" s="10"/>
      <c r="N9" s="16">
        <v>0</v>
      </c>
      <c r="O9" s="10"/>
      <c r="P9" s="16">
        <v>0</v>
      </c>
      <c r="Q9" s="10"/>
      <c r="R9" s="38"/>
    </row>
    <row r="10" spans="1:18" x14ac:dyDescent="0.25">
      <c r="A10" s="8" t="s">
        <v>16</v>
      </c>
      <c r="B10" s="9">
        <f>B8-B9</f>
        <v>66581</v>
      </c>
      <c r="C10" s="11">
        <f>+B10/(B$2+B$3)</f>
        <v>1.0622577728085239E-2</v>
      </c>
      <c r="D10" s="9">
        <f>D8-D9</f>
        <v>96928.75</v>
      </c>
      <c r="E10" s="11">
        <f>+D10/(D$2+D$3)</f>
        <v>1.4221691096173111E-2</v>
      </c>
      <c r="F10" s="9">
        <f>SUM(F8:F9)</f>
        <v>163509.75</v>
      </c>
      <c r="G10" s="11">
        <f>+F10/(F$2+F$3)</f>
        <v>1.2497465057577706E-2</v>
      </c>
      <c r="H10" s="9">
        <f>H8-H9</f>
        <v>29986</v>
      </c>
      <c r="I10" s="11">
        <f>+H10/(H$2+H$3)</f>
        <v>4.2735325943083465E-3</v>
      </c>
      <c r="J10" s="9">
        <f>J8-J9</f>
        <v>53412.75</v>
      </c>
      <c r="K10" s="11">
        <f>+J10/(J$2+J$3)</f>
        <v>6.4940662476156872E-3</v>
      </c>
      <c r="L10" s="9">
        <f>L8-L9</f>
        <v>95984</v>
      </c>
      <c r="M10" s="11">
        <f>+L10/(L$2+L$3)</f>
        <v>1.3971610486335306E-2</v>
      </c>
      <c r="N10" s="9">
        <f>SUM(N8:N9)</f>
        <v>193495.75</v>
      </c>
      <c r="O10" s="11">
        <f>+N10/(N$2+N$3)</f>
        <v>9.6266011819727895E-3</v>
      </c>
      <c r="P10" s="9">
        <v>69868.25</v>
      </c>
      <c r="Q10" s="11">
        <v>9.6490426707042578E-3</v>
      </c>
      <c r="R10" s="38"/>
    </row>
    <row r="11" spans="1:18" ht="15.75" thickBot="1" x14ac:dyDescent="0.3">
      <c r="A11" s="8" t="s">
        <v>13</v>
      </c>
      <c r="B11" s="9"/>
      <c r="C11" s="10"/>
      <c r="D11" s="9"/>
      <c r="E11" s="10"/>
      <c r="F11" s="9"/>
      <c r="G11" s="10"/>
      <c r="H11" s="9"/>
      <c r="I11" s="10"/>
      <c r="J11" s="9"/>
      <c r="K11" s="10"/>
      <c r="L11" s="9"/>
      <c r="M11" s="10"/>
      <c r="N11" s="9"/>
      <c r="O11" s="10"/>
      <c r="P11" s="9"/>
      <c r="Q11" s="10"/>
      <c r="R11" s="38"/>
    </row>
    <row r="12" spans="1:18" ht="15.75" thickBot="1" x14ac:dyDescent="0.3">
      <c r="A12" s="12" t="s">
        <v>17</v>
      </c>
      <c r="B12" s="13">
        <f>+B6-B10</f>
        <v>6727822.5099999998</v>
      </c>
      <c r="C12" s="14"/>
      <c r="D12" s="13">
        <f>+D6-D10</f>
        <v>7646844.7999999998</v>
      </c>
      <c r="E12" s="14"/>
      <c r="F12" s="13">
        <f>+F6-F10</f>
        <v>14055090.310000002</v>
      </c>
      <c r="G12" s="14"/>
      <c r="H12" s="13">
        <f>+H6-H10</f>
        <v>8651297.75</v>
      </c>
      <c r="I12" s="14"/>
      <c r="J12" s="13">
        <f>+J6-J10</f>
        <v>10398837.74</v>
      </c>
      <c r="K12" s="14"/>
      <c r="L12" s="13">
        <f>+L6-L10</f>
        <v>8875111.3000000007</v>
      </c>
      <c r="M12" s="14"/>
      <c r="N12" s="13">
        <f>+N6-N10</f>
        <v>21655870.810000002</v>
      </c>
      <c r="O12" s="14"/>
      <c r="P12" s="13">
        <v>9480421.7599999998</v>
      </c>
      <c r="Q12" s="14"/>
      <c r="R12" s="38"/>
    </row>
    <row r="13" spans="1:18" x14ac:dyDescent="0.25">
      <c r="A13" t="s">
        <v>13</v>
      </c>
      <c r="B13" s="17"/>
      <c r="C13" s="10"/>
      <c r="D13" s="17"/>
      <c r="E13" s="10"/>
      <c r="F13" s="18"/>
      <c r="G13" s="10"/>
      <c r="H13" s="17"/>
      <c r="I13" s="10"/>
      <c r="J13" s="17"/>
      <c r="K13" s="10"/>
      <c r="L13" s="17"/>
      <c r="M13" s="10"/>
      <c r="N13" s="18"/>
      <c r="O13" s="10"/>
      <c r="P13" s="17"/>
      <c r="Q13" s="10"/>
      <c r="R13" s="38"/>
    </row>
    <row r="14" spans="1:18" x14ac:dyDescent="0.25">
      <c r="A14" s="19" t="s">
        <v>98</v>
      </c>
      <c r="B14" s="17"/>
      <c r="C14" s="10"/>
      <c r="D14" s="17"/>
      <c r="E14" s="10"/>
      <c r="F14" s="18"/>
      <c r="G14" s="10"/>
      <c r="H14" s="17"/>
      <c r="I14" s="10"/>
      <c r="J14" s="17"/>
      <c r="K14" s="10"/>
      <c r="L14" s="17"/>
      <c r="M14" s="10"/>
      <c r="N14" s="18"/>
      <c r="O14" s="10"/>
      <c r="P14" s="17"/>
      <c r="Q14" s="10"/>
      <c r="R14" s="38"/>
    </row>
    <row r="15" spans="1:18" x14ac:dyDescent="0.25">
      <c r="A15" s="8" t="s">
        <v>18</v>
      </c>
      <c r="B15" s="9">
        <v>223781</v>
      </c>
      <c r="C15" s="11">
        <f t="shared" ref="C15:C21" si="4">+B15/(B$2+B$3)</f>
        <v>3.5702844153266591E-2</v>
      </c>
      <c r="D15" s="9">
        <v>117666</v>
      </c>
      <c r="E15" s="10">
        <f t="shared" ref="E15:E21" si="5">+D15/(D$2+D$3)</f>
        <v>1.7264325646645658E-2</v>
      </c>
      <c r="F15" s="9">
        <f t="shared" ref="F15:F20" si="6">B15+D15</f>
        <v>341447</v>
      </c>
      <c r="G15" s="11">
        <f t="shared" ref="G15:G21" si="7">+F15/(F$2+F$3)</f>
        <v>2.6097660546326656E-2</v>
      </c>
      <c r="H15" s="15">
        <v>144894.25</v>
      </c>
      <c r="I15" s="10">
        <f>+H15/(H$2+H$3+H$4)</f>
        <v>1.7960921297951807E-2</v>
      </c>
      <c r="J15" s="15">
        <v>164179.93</v>
      </c>
      <c r="K15" s="10">
        <f>+J15/(J$2+J$3+J$4)</f>
        <v>1.6871612018320884E-2</v>
      </c>
      <c r="L15" s="15">
        <v>190958</v>
      </c>
      <c r="M15" s="10">
        <f>+L15/(L$2+L$3+L$4)</f>
        <v>2.2871936743388849E-2</v>
      </c>
      <c r="N15" s="9">
        <f t="shared" ref="N15:N20" si="8">F15+H15</f>
        <v>486341.25</v>
      </c>
      <c r="O15" s="11">
        <f t="shared" ref="O15:O21" si="9">+N15/(N$2+N$3)</f>
        <v>2.4195948759040568E-2</v>
      </c>
      <c r="P15" s="15">
        <v>132800</v>
      </c>
      <c r="Q15" s="10">
        <v>1.4942990045611284E-2</v>
      </c>
      <c r="R15" s="38"/>
    </row>
    <row r="16" spans="1:18" x14ac:dyDescent="0.25">
      <c r="A16" s="8" t="s">
        <v>19</v>
      </c>
      <c r="B16" s="9">
        <v>603912.67000000004</v>
      </c>
      <c r="C16" s="11">
        <f t="shared" si="4"/>
        <v>9.6350449498362772E-2</v>
      </c>
      <c r="D16" s="9">
        <v>479203.51</v>
      </c>
      <c r="E16" s="10">
        <f t="shared" si="5"/>
        <v>7.0310246355409542E-2</v>
      </c>
      <c r="F16" s="9">
        <f t="shared" si="6"/>
        <v>1083116.1800000002</v>
      </c>
      <c r="G16" s="11">
        <f t="shared" si="7"/>
        <v>8.278531777369269E-2</v>
      </c>
      <c r="H16" s="15">
        <v>723730.51</v>
      </c>
      <c r="I16" s="10">
        <f t="shared" ref="I16:K20" si="10">+H16/(H$2+H$3+H$4)</f>
        <v>8.9712785228099279E-2</v>
      </c>
      <c r="J16" s="15">
        <v>653494.41</v>
      </c>
      <c r="K16" s="10">
        <f t="shared" si="10"/>
        <v>6.7155005740723098E-2</v>
      </c>
      <c r="L16" s="15">
        <v>721491.76000000036</v>
      </c>
      <c r="M16" s="10">
        <f t="shared" ref="M16:M20" si="11">+L16/(L$2+L$3+L$4)</f>
        <v>8.6416457522577206E-2</v>
      </c>
      <c r="N16" s="9">
        <f t="shared" si="8"/>
        <v>1806846.6900000002</v>
      </c>
      <c r="O16" s="11">
        <f t="shared" si="9"/>
        <v>8.9892374802018254E-2</v>
      </c>
      <c r="P16" s="15">
        <v>481496.49000000005</v>
      </c>
      <c r="Q16" s="10">
        <v>5.4179196212852207E-2</v>
      </c>
      <c r="R16" s="38"/>
    </row>
    <row r="17" spans="1:19" x14ac:dyDescent="0.25">
      <c r="A17" s="8" t="s">
        <v>20</v>
      </c>
      <c r="B17" s="9">
        <v>450476</v>
      </c>
      <c r="C17" s="11">
        <f t="shared" si="4"/>
        <v>7.1870598588740425E-2</v>
      </c>
      <c r="D17" s="9">
        <v>527122.57999999996</v>
      </c>
      <c r="E17" s="11">
        <f t="shared" si="5"/>
        <v>7.7341083038601016E-2</v>
      </c>
      <c r="F17" s="9">
        <f t="shared" si="6"/>
        <v>977598.58</v>
      </c>
      <c r="G17" s="11">
        <f t="shared" si="7"/>
        <v>7.4720339881184969E-2</v>
      </c>
      <c r="H17" s="15">
        <v>597744.98</v>
      </c>
      <c r="I17" s="10">
        <f t="shared" si="10"/>
        <v>7.4095766685191272E-2</v>
      </c>
      <c r="J17" s="15">
        <v>684868.58999999985</v>
      </c>
      <c r="K17" s="10">
        <f t="shared" si="10"/>
        <v>7.0379108664588144E-2</v>
      </c>
      <c r="L17" s="15">
        <v>656120.16999999981</v>
      </c>
      <c r="M17" s="10">
        <f t="shared" si="11"/>
        <v>7.858659508531475E-2</v>
      </c>
      <c r="N17" s="9">
        <f t="shared" si="8"/>
        <v>1575343.56</v>
      </c>
      <c r="O17" s="11">
        <f t="shared" si="9"/>
        <v>7.837486961191252E-2</v>
      </c>
      <c r="P17" s="15">
        <v>815622.33999999973</v>
      </c>
      <c r="Q17" s="10">
        <v>9.1775877316251336E-2</v>
      </c>
      <c r="R17" s="38"/>
    </row>
    <row r="18" spans="1:19" x14ac:dyDescent="0.25">
      <c r="A18" s="8" t="s">
        <v>21</v>
      </c>
      <c r="B18" s="9">
        <v>432745</v>
      </c>
      <c r="C18" s="11">
        <f t="shared" si="4"/>
        <v>6.9041729606648256E-2</v>
      </c>
      <c r="D18" s="9">
        <v>408498.45</v>
      </c>
      <c r="E18" s="11">
        <f t="shared" si="5"/>
        <v>5.9936177544490328E-2</v>
      </c>
      <c r="F18" s="9">
        <f t="shared" si="6"/>
        <v>841243.45</v>
      </c>
      <c r="G18" s="11">
        <f t="shared" si="7"/>
        <v>6.4298371328260967E-2</v>
      </c>
      <c r="H18" s="15">
        <v>468010.69</v>
      </c>
      <c r="I18" s="10">
        <f t="shared" si="10"/>
        <v>5.8014056249230873E-2</v>
      </c>
      <c r="J18" s="15">
        <v>611059.82000000018</v>
      </c>
      <c r="K18" s="10">
        <f t="shared" si="10"/>
        <v>6.2794302586345357E-2</v>
      </c>
      <c r="L18" s="15">
        <v>501883.06000000006</v>
      </c>
      <c r="M18" s="10">
        <f t="shared" si="11"/>
        <v>6.0112891844795353E-2</v>
      </c>
      <c r="N18" s="9">
        <f t="shared" si="8"/>
        <v>1309254.1399999999</v>
      </c>
      <c r="O18" s="11">
        <f t="shared" si="9"/>
        <v>6.5136662958368688E-2</v>
      </c>
      <c r="P18" s="15">
        <v>513479.56999999983</v>
      </c>
      <c r="Q18" s="10">
        <v>5.7778012824809932E-2</v>
      </c>
      <c r="R18" s="38"/>
    </row>
    <row r="19" spans="1:19" x14ac:dyDescent="0.25">
      <c r="A19" s="8" t="s">
        <v>22</v>
      </c>
      <c r="B19" s="9">
        <v>267737.07</v>
      </c>
      <c r="C19" s="11">
        <f t="shared" si="4"/>
        <v>4.2715757299601968E-2</v>
      </c>
      <c r="D19" s="9">
        <v>302370.63</v>
      </c>
      <c r="E19" s="11">
        <f t="shared" si="5"/>
        <v>4.4364769961598126E-2</v>
      </c>
      <c r="F19" s="9">
        <f t="shared" si="6"/>
        <v>570107.69999999995</v>
      </c>
      <c r="G19" s="11">
        <f t="shared" si="7"/>
        <v>4.3574778016638109E-2</v>
      </c>
      <c r="H19" s="15">
        <v>359480.23</v>
      </c>
      <c r="I19" s="10">
        <f t="shared" si="10"/>
        <v>4.4560747712208137E-2</v>
      </c>
      <c r="J19" s="15">
        <v>371846.34000000008</v>
      </c>
      <c r="K19" s="10">
        <f t="shared" si="10"/>
        <v>3.8212022498198384E-2</v>
      </c>
      <c r="L19" s="15">
        <v>366048.02999999991</v>
      </c>
      <c r="M19" s="10">
        <f t="shared" si="11"/>
        <v>4.3843292175253727E-2</v>
      </c>
      <c r="N19" s="9">
        <f t="shared" si="8"/>
        <v>929587.92999999993</v>
      </c>
      <c r="O19" s="11">
        <f t="shared" si="9"/>
        <v>4.624790087475119E-2</v>
      </c>
      <c r="P19" s="15">
        <v>387718.02999999997</v>
      </c>
      <c r="Q19" s="10">
        <v>4.362700800296699E-2</v>
      </c>
      <c r="R19" s="38"/>
    </row>
    <row r="20" spans="1:19" x14ac:dyDescent="0.25">
      <c r="A20" s="20" t="s">
        <v>23</v>
      </c>
      <c r="B20" s="9">
        <v>82020</v>
      </c>
      <c r="C20" s="11">
        <f t="shared" si="4"/>
        <v>1.3085772596649966E-2</v>
      </c>
      <c r="D20" s="9">
        <v>97409.91</v>
      </c>
      <c r="E20" s="11">
        <f t="shared" si="5"/>
        <v>1.4292288404895596E-2</v>
      </c>
      <c r="F20" s="9">
        <f t="shared" si="6"/>
        <v>179429.91</v>
      </c>
      <c r="G20" s="11">
        <f t="shared" si="7"/>
        <v>1.3714283279800212E-2</v>
      </c>
      <c r="H20" s="15">
        <v>152339.07</v>
      </c>
      <c r="I20" s="10">
        <f t="shared" si="10"/>
        <v>1.8883772453863221E-2</v>
      </c>
      <c r="J20" s="15">
        <v>141928.81</v>
      </c>
      <c r="K20" s="10">
        <f t="shared" si="10"/>
        <v>1.4585021546433728E-2</v>
      </c>
      <c r="L20" s="15">
        <v>143838.74</v>
      </c>
      <c r="M20" s="10">
        <f t="shared" si="11"/>
        <v>1.7228241616108021E-2</v>
      </c>
      <c r="N20" s="9">
        <f t="shared" si="8"/>
        <v>331768.98</v>
      </c>
      <c r="O20" s="11">
        <f t="shared" si="9"/>
        <v>1.6505828448479653E-2</v>
      </c>
      <c r="P20" s="15">
        <v>169534.03</v>
      </c>
      <c r="Q20" s="10">
        <v>1.9076395502126239E-2</v>
      </c>
      <c r="R20" s="38"/>
    </row>
    <row r="21" spans="1:19" x14ac:dyDescent="0.25">
      <c r="A21" s="21" t="s">
        <v>24</v>
      </c>
      <c r="B21" s="22">
        <f>SUM(B15:B20)</f>
        <v>2060671.74</v>
      </c>
      <c r="C21" s="23">
        <f t="shared" si="4"/>
        <v>0.32876715174326998</v>
      </c>
      <c r="D21" s="22">
        <f>SUM(D15:D20)</f>
        <v>1932271.0799999998</v>
      </c>
      <c r="E21" s="23">
        <f t="shared" si="5"/>
        <v>0.28350889095164022</v>
      </c>
      <c r="F21" s="22">
        <f>SUM(F15:F20)</f>
        <v>3992942.8200000003</v>
      </c>
      <c r="G21" s="23">
        <f t="shared" si="7"/>
        <v>0.30519075082590363</v>
      </c>
      <c r="H21" s="22">
        <f>SUM(H15:H20)</f>
        <v>2446199.73</v>
      </c>
      <c r="I21" s="23">
        <f>+H21/(H$2+H$3+H$4)</f>
        <v>0.30322804962654459</v>
      </c>
      <c r="J21" s="22">
        <f>SUM(J15:J20)</f>
        <v>2627377.9</v>
      </c>
      <c r="K21" s="23">
        <f>+J21/(J$2+J$3+J$4)</f>
        <v>0.26999707305460957</v>
      </c>
      <c r="L21" s="22">
        <f>SUM(L15:L20)</f>
        <v>2580339.7599999998</v>
      </c>
      <c r="M21" s="23">
        <f>+L21/(L$2+L$3+L$4)</f>
        <v>0.30905941498743783</v>
      </c>
      <c r="N21" s="22">
        <f>SUM(N15:N20)</f>
        <v>6439142.5500000007</v>
      </c>
      <c r="O21" s="23">
        <f t="shared" si="9"/>
        <v>0.32035358545457093</v>
      </c>
      <c r="P21" s="22">
        <v>2500650.459999999</v>
      </c>
      <c r="Q21" s="23">
        <v>0.28137947990461792</v>
      </c>
      <c r="R21" s="38"/>
      <c r="S21" s="46"/>
    </row>
    <row r="22" spans="1:19" x14ac:dyDescent="0.25">
      <c r="A22" s="19" t="s">
        <v>25</v>
      </c>
      <c r="B22" s="24">
        <v>330221</v>
      </c>
      <c r="C22" s="47"/>
      <c r="D22" s="24">
        <f>B23</f>
        <v>290565</v>
      </c>
      <c r="E22" s="47"/>
      <c r="F22" s="48">
        <f>B22</f>
        <v>330221</v>
      </c>
      <c r="G22" s="47"/>
      <c r="H22" s="24">
        <f>F23</f>
        <v>222249.53</v>
      </c>
      <c r="I22" s="47"/>
      <c r="J22" s="24">
        <f>H23</f>
        <v>284862.88</v>
      </c>
      <c r="K22" s="47"/>
      <c r="L22" s="24">
        <f>J23</f>
        <v>219300.77</v>
      </c>
      <c r="M22" s="47"/>
      <c r="N22" s="48">
        <f>F22</f>
        <v>330221</v>
      </c>
      <c r="O22" s="47"/>
      <c r="P22" s="24">
        <v>391074.93000000005</v>
      </c>
      <c r="Q22" s="47"/>
      <c r="R22" s="38"/>
    </row>
    <row r="23" spans="1:19" s="26" customFormat="1" x14ac:dyDescent="0.25">
      <c r="A23" s="25" t="s">
        <v>26</v>
      </c>
      <c r="B23" s="24">
        <v>290565</v>
      </c>
      <c r="C23" s="49"/>
      <c r="D23" s="24">
        <v>222249.53</v>
      </c>
      <c r="E23" s="49"/>
      <c r="F23" s="24">
        <f>$D$23</f>
        <v>222249.53</v>
      </c>
      <c r="G23" s="49"/>
      <c r="H23" s="24">
        <v>284862.88</v>
      </c>
      <c r="I23" s="49"/>
      <c r="J23" s="24">
        <v>219300.77</v>
      </c>
      <c r="K23" s="49"/>
      <c r="L23" s="24">
        <v>391074.93000000005</v>
      </c>
      <c r="M23" s="49"/>
      <c r="N23" s="24">
        <f>$D$23</f>
        <v>222249.53</v>
      </c>
      <c r="O23" s="49"/>
      <c r="P23" s="24">
        <v>217622.02</v>
      </c>
      <c r="Q23" s="49"/>
      <c r="R23" s="38"/>
    </row>
    <row r="24" spans="1:19" x14ac:dyDescent="0.25">
      <c r="A24" s="21" t="s">
        <v>27</v>
      </c>
      <c r="B24" s="22">
        <f>B21+B22-B23</f>
        <v>2100327.7400000002</v>
      </c>
      <c r="C24" s="23">
        <f>+B24/(B$2+B$3)</f>
        <v>0.33509401589948495</v>
      </c>
      <c r="D24" s="22">
        <f>D21+D22-D23</f>
        <v>2000586.55</v>
      </c>
      <c r="E24" s="23">
        <f>+D24/(D$2+D$3)</f>
        <v>0.29353235160113672</v>
      </c>
      <c r="F24" s="22">
        <f>F21+F22-F23</f>
        <v>4100914.2900000005</v>
      </c>
      <c r="G24" s="23">
        <f>+F24/(F$2+F$3)</f>
        <v>0.31344328422859247</v>
      </c>
      <c r="H24" s="22">
        <f>H21+H22-H23</f>
        <v>2383586.38</v>
      </c>
      <c r="I24" s="23">
        <f>+H24/(H$2+H$3+H$4)</f>
        <v>0.29546657219351247</v>
      </c>
      <c r="J24" s="22">
        <f>J21+J22-J23</f>
        <v>2692940.01</v>
      </c>
      <c r="K24" s="23">
        <f>+J24/(J$2+J$3+J$4)</f>
        <v>0.27673442812000931</v>
      </c>
      <c r="L24" s="22">
        <f>L21+L22-L23</f>
        <v>2408565.5999999996</v>
      </c>
      <c r="M24" s="23">
        <f>+L24/(L$2+L$3+L$4)</f>
        <v>0.28848521688278261</v>
      </c>
      <c r="N24" s="22">
        <f>N21+N22-N23</f>
        <v>6547114.0200000005</v>
      </c>
      <c r="O24" s="23">
        <f>+N24/(N$2+N$3)</f>
        <v>0.32572527077955266</v>
      </c>
      <c r="P24" s="22">
        <v>2674103.3699999992</v>
      </c>
      <c r="Q24" s="23">
        <v>0.30089683764190944</v>
      </c>
      <c r="R24" s="38"/>
    </row>
    <row r="25" spans="1:19" ht="15.75" thickBot="1" x14ac:dyDescent="0.3">
      <c r="A25" s="8" t="s">
        <v>13</v>
      </c>
      <c r="B25" s="9"/>
      <c r="C25" s="50"/>
      <c r="D25" s="9"/>
      <c r="E25" s="50"/>
      <c r="F25" s="9"/>
      <c r="G25" s="50"/>
      <c r="H25" s="9"/>
      <c r="I25" s="50"/>
      <c r="J25" s="9"/>
      <c r="K25" s="50"/>
      <c r="L25" s="9"/>
      <c r="M25" s="50"/>
      <c r="N25" s="9"/>
      <c r="O25" s="50"/>
      <c r="P25" s="9"/>
      <c r="Q25" s="50"/>
      <c r="R25" s="38"/>
    </row>
    <row r="26" spans="1:19" ht="15.75" thickBot="1" x14ac:dyDescent="0.3">
      <c r="A26" s="12" t="s">
        <v>37</v>
      </c>
      <c r="B26" s="13">
        <f>+B12-B24</f>
        <v>4627494.7699999996</v>
      </c>
      <c r="C26" s="27">
        <f>B26/B12</f>
        <v>0.68781463291010625</v>
      </c>
      <c r="D26" s="13">
        <f>+D12-D24</f>
        <v>5646258.25</v>
      </c>
      <c r="E26" s="27">
        <f>D26/D12</f>
        <v>0.73837751355957948</v>
      </c>
      <c r="F26" s="13">
        <f>+F12-F24</f>
        <v>9954176.0200000014</v>
      </c>
      <c r="G26" s="27">
        <f>F26/F12</f>
        <v>0.70822568908843953</v>
      </c>
      <c r="H26" s="13">
        <f>+H12-H24</f>
        <v>6267711.3700000001</v>
      </c>
      <c r="I26" s="27">
        <f>H26/H12</f>
        <v>0.72448221655531397</v>
      </c>
      <c r="J26" s="13">
        <f>+J12-J24</f>
        <v>7705897.7300000004</v>
      </c>
      <c r="K26" s="27">
        <f>J26/J12</f>
        <v>0.74103451969046685</v>
      </c>
      <c r="L26" s="13">
        <f>+L12-L24</f>
        <v>6466545.7000000011</v>
      </c>
      <c r="M26" s="27">
        <f>L26/L12</f>
        <v>0.72861573014864622</v>
      </c>
      <c r="N26" s="13">
        <f>+N12-N24</f>
        <v>15108756.790000003</v>
      </c>
      <c r="O26" s="27">
        <f>N26/N12</f>
        <v>0.69767486713225368</v>
      </c>
      <c r="P26" s="13">
        <v>6806318.3900000006</v>
      </c>
      <c r="Q26" s="27">
        <v>0.71793413439867904</v>
      </c>
      <c r="R26" s="38"/>
    </row>
    <row r="27" spans="1:19" x14ac:dyDescent="0.25">
      <c r="A27" s="8" t="s">
        <v>13</v>
      </c>
      <c r="B27" s="17"/>
      <c r="C27" s="10"/>
      <c r="D27" s="17"/>
      <c r="E27" s="10"/>
      <c r="F27" s="18"/>
      <c r="G27" s="10"/>
      <c r="H27" s="17"/>
      <c r="I27" s="10"/>
      <c r="J27" s="17"/>
      <c r="K27" s="10"/>
      <c r="L27" s="17"/>
      <c r="M27" s="10"/>
      <c r="N27" s="18"/>
      <c r="O27" s="10"/>
      <c r="P27" s="17"/>
      <c r="Q27" s="10"/>
      <c r="R27" s="38"/>
    </row>
    <row r="28" spans="1:19" x14ac:dyDescent="0.25">
      <c r="A28" s="19" t="s">
        <v>38</v>
      </c>
      <c r="B28" s="17"/>
      <c r="C28" s="10"/>
      <c r="D28" s="17"/>
      <c r="E28" s="10"/>
      <c r="F28" s="18"/>
      <c r="G28" s="10"/>
      <c r="H28" s="17"/>
      <c r="I28" s="10"/>
      <c r="J28" s="17"/>
      <c r="K28" s="10"/>
      <c r="L28" s="17"/>
      <c r="M28" s="10"/>
      <c r="N28" s="18"/>
      <c r="O28" s="10"/>
      <c r="P28" s="17"/>
      <c r="Q28" s="10"/>
      <c r="R28" s="38"/>
    </row>
    <row r="29" spans="1:19" x14ac:dyDescent="0.25">
      <c r="A29" s="8" t="s">
        <v>39</v>
      </c>
      <c r="B29" s="9">
        <v>68268.09</v>
      </c>
      <c r="C29" s="11">
        <f>B29/B$12</f>
        <v>1.0147130055605465E-2</v>
      </c>
      <c r="D29" s="9">
        <v>80106.23</v>
      </c>
      <c r="E29" s="11">
        <f>D29/D$12</f>
        <v>1.0475723268242608E-2</v>
      </c>
      <c r="F29" s="9">
        <f t="shared" ref="F29:F46" si="12">B29+D29</f>
        <v>148374.32</v>
      </c>
      <c r="G29" s="11">
        <f>F29/F$12</f>
        <v>1.0556625160525204E-2</v>
      </c>
      <c r="H29" s="9">
        <v>75075.040000000008</v>
      </c>
      <c r="I29" s="11">
        <f>H29/H$12</f>
        <v>8.6778934409002407E-3</v>
      </c>
      <c r="J29" s="15">
        <v>88178.61</v>
      </c>
      <c r="K29" s="11">
        <f>J29/J$12</f>
        <v>8.4796601509429838E-3</v>
      </c>
      <c r="L29" s="15">
        <v>87659.97</v>
      </c>
      <c r="M29" s="11">
        <f>L29/L$12</f>
        <v>9.8770558516826697E-3</v>
      </c>
      <c r="N29" s="9">
        <f t="shared" ref="N29:N31" si="13">F29+H29</f>
        <v>223449.36000000002</v>
      </c>
      <c r="O29" s="11">
        <f>N29/N$12</f>
        <v>1.0318188631639698E-2</v>
      </c>
      <c r="P29" s="15">
        <v>94137.19</v>
      </c>
      <c r="Q29" s="11">
        <v>9.9296415690265667E-3</v>
      </c>
      <c r="R29" s="38"/>
    </row>
    <row r="30" spans="1:19" x14ac:dyDescent="0.25">
      <c r="A30" s="8" t="s">
        <v>40</v>
      </c>
      <c r="B30" s="9">
        <v>21999</v>
      </c>
      <c r="C30" s="11">
        <f t="shared" ref="C30:G45" si="14">B30/B$12</f>
        <v>3.2698543945387168E-3</v>
      </c>
      <c r="D30" s="9">
        <v>28764</v>
      </c>
      <c r="E30" s="11">
        <f t="shared" si="14"/>
        <v>3.7615514309902042E-3</v>
      </c>
      <c r="F30" s="9">
        <f t="shared" si="12"/>
        <v>50763</v>
      </c>
      <c r="G30" s="11">
        <f t="shared" si="14"/>
        <v>3.6117163874701558E-3</v>
      </c>
      <c r="H30" s="9">
        <v>16363</v>
      </c>
      <c r="I30" s="11">
        <f t="shared" ref="I30:I45" si="15">H30/H$12</f>
        <v>1.8913925370329556E-3</v>
      </c>
      <c r="J30" s="9">
        <v>23191</v>
      </c>
      <c r="K30" s="11">
        <f t="shared" ref="K30:K45" si="16">J30/J$12</f>
        <v>2.2301530786266502E-3</v>
      </c>
      <c r="L30" s="9">
        <v>5670</v>
      </c>
      <c r="M30" s="11">
        <f t="shared" ref="M30:M42" si="17">L30/L$12</f>
        <v>6.3886522752678036E-4</v>
      </c>
      <c r="N30" s="9">
        <f t="shared" si="13"/>
        <v>67126</v>
      </c>
      <c r="O30" s="11">
        <f t="shared" ref="O30:O45" si="18">N30/N$12</f>
        <v>3.0996675492265735E-3</v>
      </c>
      <c r="P30" s="9">
        <v>13249</v>
      </c>
      <c r="Q30" s="11">
        <v>1.3975116651350329E-3</v>
      </c>
      <c r="R30" s="38"/>
    </row>
    <row r="31" spans="1:19" x14ac:dyDescent="0.25">
      <c r="A31" s="8" t="s">
        <v>41</v>
      </c>
      <c r="B31" s="9">
        <v>1035227</v>
      </c>
      <c r="C31" s="11">
        <f t="shared" si="14"/>
        <v>0.15387251944611721</v>
      </c>
      <c r="D31" s="9">
        <v>1019425</v>
      </c>
      <c r="E31" s="11">
        <f t="shared" si="14"/>
        <v>0.13331315420446352</v>
      </c>
      <c r="F31" s="9">
        <f t="shared" si="12"/>
        <v>2054652</v>
      </c>
      <c r="G31" s="11">
        <f t="shared" si="14"/>
        <v>0.14618561351670173</v>
      </c>
      <c r="H31" s="9">
        <v>1041592</v>
      </c>
      <c r="I31" s="11">
        <f t="shared" si="15"/>
        <v>0.12039719705636071</v>
      </c>
      <c r="J31" s="9">
        <v>1120031.8416666668</v>
      </c>
      <c r="K31" s="11">
        <f t="shared" si="16"/>
        <v>0.10770740631507024</v>
      </c>
      <c r="L31" s="9">
        <v>1135002.166666667</v>
      </c>
      <c r="M31" s="11">
        <f t="shared" si="17"/>
        <v>0.1278859642770527</v>
      </c>
      <c r="N31" s="9">
        <f t="shared" si="13"/>
        <v>3096244</v>
      </c>
      <c r="O31" s="11">
        <f t="shared" si="18"/>
        <v>0.14297480933300782</v>
      </c>
      <c r="P31" s="9">
        <v>1226691.5</v>
      </c>
      <c r="Q31" s="11">
        <v>0.12939208097003482</v>
      </c>
      <c r="R31" s="38"/>
    </row>
    <row r="32" spans="1:19" x14ac:dyDescent="0.25">
      <c r="A32" s="8" t="s">
        <v>42</v>
      </c>
      <c r="B32" s="9">
        <v>30748.63</v>
      </c>
      <c r="C32" s="11">
        <f>B32/B$12</f>
        <v>4.5703687863787E-3</v>
      </c>
      <c r="D32" s="9">
        <v>32255.57</v>
      </c>
      <c r="E32" s="11">
        <f t="shared" si="14"/>
        <v>4.218154133323067E-3</v>
      </c>
      <c r="F32" s="9">
        <f>B32+D32</f>
        <v>63004.2</v>
      </c>
      <c r="G32" s="11">
        <f t="shared" si="14"/>
        <v>4.4826606311574807E-3</v>
      </c>
      <c r="H32" s="9">
        <v>29296.89</v>
      </c>
      <c r="I32" s="11">
        <f t="shared" si="15"/>
        <v>3.3864156392028003E-3</v>
      </c>
      <c r="J32" s="9">
        <v>31757.324999999997</v>
      </c>
      <c r="K32" s="11">
        <f t="shared" si="16"/>
        <v>3.0539302366304638E-3</v>
      </c>
      <c r="L32" s="9">
        <v>31161.98</v>
      </c>
      <c r="M32" s="11">
        <f t="shared" si="17"/>
        <v>3.511164981108462E-3</v>
      </c>
      <c r="N32" s="9">
        <f>F32+H32</f>
        <v>92301.09</v>
      </c>
      <c r="O32" s="11">
        <f t="shared" si="18"/>
        <v>4.2621740224539134E-3</v>
      </c>
      <c r="P32" s="9">
        <v>33776.342499999999</v>
      </c>
      <c r="Q32" s="11">
        <v>3.5627468223523424E-3</v>
      </c>
      <c r="R32" s="38"/>
    </row>
    <row r="33" spans="1:18" x14ac:dyDescent="0.25">
      <c r="A33" s="8" t="s">
        <v>43</v>
      </c>
      <c r="B33" s="9">
        <v>94360</v>
      </c>
      <c r="C33" s="11">
        <f t="shared" si="14"/>
        <v>1.4025340273133929E-2</v>
      </c>
      <c r="D33" s="9">
        <v>129158</v>
      </c>
      <c r="E33" s="11">
        <f t="shared" si="14"/>
        <v>1.6890365030031732E-2</v>
      </c>
      <c r="F33" s="9">
        <f t="shared" si="12"/>
        <v>223518</v>
      </c>
      <c r="G33" s="11">
        <f t="shared" si="14"/>
        <v>1.5902992799766646E-2</v>
      </c>
      <c r="H33" s="9">
        <v>97217</v>
      </c>
      <c r="I33" s="11">
        <f t="shared" si="15"/>
        <v>1.1237273621752298E-2</v>
      </c>
      <c r="J33" s="15">
        <v>102880</v>
      </c>
      <c r="K33" s="11">
        <f t="shared" si="16"/>
        <v>9.8934133383256351E-3</v>
      </c>
      <c r="L33" s="15">
        <v>103838</v>
      </c>
      <c r="M33" s="11">
        <f t="shared" si="17"/>
        <v>1.1699909611274395E-2</v>
      </c>
      <c r="N33" s="9">
        <f t="shared" ref="N33" si="19">F33+H33</f>
        <v>320735</v>
      </c>
      <c r="O33" s="11">
        <f t="shared" si="18"/>
        <v>1.4810533495235603E-2</v>
      </c>
      <c r="P33" s="15">
        <v>106185</v>
      </c>
      <c r="Q33" s="11">
        <v>1.1200451065164426E-2</v>
      </c>
      <c r="R33" s="38"/>
    </row>
    <row r="34" spans="1:18" x14ac:dyDescent="0.25">
      <c r="A34" s="8" t="s">
        <v>44</v>
      </c>
      <c r="B34" s="9">
        <v>263263.75</v>
      </c>
      <c r="C34" s="11">
        <f>B34/B$12</f>
        <v>3.9130602748317748E-2</v>
      </c>
      <c r="D34" s="9">
        <v>304319.65000000002</v>
      </c>
      <c r="E34" s="11">
        <f t="shared" si="14"/>
        <v>3.9796760357945285E-2</v>
      </c>
      <c r="F34" s="9">
        <f>B34+D34</f>
        <v>567583.4</v>
      </c>
      <c r="G34" s="11">
        <f t="shared" si="14"/>
        <v>4.0382764356638269E-2</v>
      </c>
      <c r="H34" s="15">
        <v>320844.53999999998</v>
      </c>
      <c r="I34" s="11">
        <f t="shared" si="15"/>
        <v>3.7086290319854033E-2</v>
      </c>
      <c r="J34" s="15">
        <v>360557.87000000005</v>
      </c>
      <c r="K34" s="11">
        <f t="shared" si="16"/>
        <v>3.4672900858245342E-2</v>
      </c>
      <c r="L34" s="28">
        <v>311043.27499999997</v>
      </c>
      <c r="M34" s="11">
        <f t="shared" si="17"/>
        <v>3.5046690062354481E-2</v>
      </c>
      <c r="N34" s="9">
        <f>F34+H34</f>
        <v>888427.94</v>
      </c>
      <c r="O34" s="11">
        <f t="shared" si="18"/>
        <v>4.1024807905196393E-2</v>
      </c>
      <c r="P34" s="28">
        <v>331589.88</v>
      </c>
      <c r="Q34" s="11">
        <v>3.4976279367554215E-2</v>
      </c>
      <c r="R34" s="38"/>
    </row>
    <row r="35" spans="1:18" x14ac:dyDescent="0.25">
      <c r="A35" s="8" t="s">
        <v>45</v>
      </c>
      <c r="B35" s="9">
        <v>826000</v>
      </c>
      <c r="C35" s="11">
        <f t="shared" si="14"/>
        <v>0.12277375016541571</v>
      </c>
      <c r="D35" s="9">
        <v>826000</v>
      </c>
      <c r="E35" s="11">
        <f t="shared" si="14"/>
        <v>0.10801840780134572</v>
      </c>
      <c r="F35" s="9">
        <f t="shared" si="12"/>
        <v>1652000</v>
      </c>
      <c r="G35" s="11">
        <f t="shared" si="14"/>
        <v>0.11753748738452607</v>
      </c>
      <c r="H35" s="9">
        <v>826000</v>
      </c>
      <c r="I35" s="11">
        <f t="shared" si="15"/>
        <v>9.5477005169542342E-2</v>
      </c>
      <c r="J35" s="9">
        <v>826000</v>
      </c>
      <c r="K35" s="11">
        <f t="shared" si="16"/>
        <v>7.9431953902186769E-2</v>
      </c>
      <c r="L35" s="15">
        <v>826000</v>
      </c>
      <c r="M35" s="11">
        <f t="shared" si="17"/>
        <v>9.3069255368098874E-2</v>
      </c>
      <c r="N35" s="9">
        <f t="shared" ref="N35:N46" si="20">F35+H35</f>
        <v>2478000</v>
      </c>
      <c r="O35" s="11">
        <f t="shared" si="18"/>
        <v>0.11442624597001831</v>
      </c>
      <c r="P35" s="15">
        <v>826000</v>
      </c>
      <c r="Q35" s="11">
        <v>8.7126925458641202E-2</v>
      </c>
      <c r="R35" s="38"/>
    </row>
    <row r="36" spans="1:18" x14ac:dyDescent="0.25">
      <c r="A36" s="8" t="s">
        <v>46</v>
      </c>
      <c r="B36" s="9">
        <v>36485.5</v>
      </c>
      <c r="C36" s="11">
        <f t="shared" si="14"/>
        <v>5.4230770722279355E-3</v>
      </c>
      <c r="D36" s="9">
        <v>36485.5</v>
      </c>
      <c r="E36" s="11">
        <f t="shared" si="14"/>
        <v>4.7713143073075054E-3</v>
      </c>
      <c r="F36" s="9">
        <f t="shared" si="12"/>
        <v>72971</v>
      </c>
      <c r="G36" s="11">
        <f t="shared" si="14"/>
        <v>5.1917844987507582E-3</v>
      </c>
      <c r="H36" s="9">
        <v>36485.51</v>
      </c>
      <c r="I36" s="11">
        <f t="shared" si="15"/>
        <v>4.2173453109968385E-3</v>
      </c>
      <c r="J36" s="9">
        <v>36485.505600000004</v>
      </c>
      <c r="K36" s="11">
        <f t="shared" si="16"/>
        <v>3.508613800141861E-3</v>
      </c>
      <c r="L36" s="15">
        <v>36485.505600000004</v>
      </c>
      <c r="M36" s="11">
        <f t="shared" si="17"/>
        <v>4.1109913292016968E-3</v>
      </c>
      <c r="N36" s="9">
        <f t="shared" si="20"/>
        <v>109456.51000000001</v>
      </c>
      <c r="O36" s="11">
        <f t="shared" si="18"/>
        <v>5.0543573592735152E-3</v>
      </c>
      <c r="P36" s="15">
        <v>36485.5</v>
      </c>
      <c r="Q36" s="11">
        <v>3.8485102164906217E-3</v>
      </c>
      <c r="R36" s="38"/>
    </row>
    <row r="37" spans="1:18" x14ac:dyDescent="0.25">
      <c r="A37" s="8" t="s">
        <v>47</v>
      </c>
      <c r="B37" s="9">
        <v>102370.75</v>
      </c>
      <c r="C37" s="11">
        <f t="shared" si="14"/>
        <v>1.5216030126811417E-2</v>
      </c>
      <c r="D37" s="9">
        <v>145027.79999999999</v>
      </c>
      <c r="E37" s="11">
        <f t="shared" si="14"/>
        <v>1.8965704652460058E-2</v>
      </c>
      <c r="F37" s="9">
        <f t="shared" si="12"/>
        <v>247398.55</v>
      </c>
      <c r="G37" s="11">
        <f t="shared" si="14"/>
        <v>1.760206050216407E-2</v>
      </c>
      <c r="H37" s="9">
        <v>190672.15</v>
      </c>
      <c r="I37" s="11">
        <f t="shared" si="15"/>
        <v>2.2039716526922219E-2</v>
      </c>
      <c r="J37" s="9">
        <v>224858.35</v>
      </c>
      <c r="K37" s="11">
        <f t="shared" si="16"/>
        <v>2.1623411733319345E-2</v>
      </c>
      <c r="L37" s="15">
        <v>211605.55</v>
      </c>
      <c r="M37" s="11">
        <f t="shared" si="17"/>
        <v>2.3842579867139242E-2</v>
      </c>
      <c r="N37" s="9">
        <f t="shared" si="20"/>
        <v>438070.69999999995</v>
      </c>
      <c r="O37" s="11">
        <f t="shared" si="18"/>
        <v>2.0228727066367271E-2</v>
      </c>
      <c r="P37" s="28">
        <v>211605.55</v>
      </c>
      <c r="Q37" s="11">
        <v>2.2320267532063891E-2</v>
      </c>
      <c r="R37" s="38"/>
    </row>
    <row r="38" spans="1:18" x14ac:dyDescent="0.25">
      <c r="A38" s="8" t="s">
        <v>48</v>
      </c>
      <c r="B38" s="9">
        <v>100300</v>
      </c>
      <c r="C38" s="11">
        <f t="shared" si="14"/>
        <v>1.4908241091514765E-2</v>
      </c>
      <c r="D38" s="9">
        <v>97025</v>
      </c>
      <c r="E38" s="11">
        <f t="shared" si="14"/>
        <v>1.2688239729934103E-2</v>
      </c>
      <c r="F38" s="9">
        <f t="shared" si="12"/>
        <v>197325</v>
      </c>
      <c r="G38" s="11">
        <f t="shared" si="14"/>
        <v>1.4039397517040924E-2</v>
      </c>
      <c r="H38" s="9">
        <v>100565.08</v>
      </c>
      <c r="I38" s="11">
        <f t="shared" si="15"/>
        <v>1.1624276831762032E-2</v>
      </c>
      <c r="J38" s="15">
        <v>161783.9</v>
      </c>
      <c r="K38" s="11">
        <f t="shared" si="16"/>
        <v>1.5557882913941879E-2</v>
      </c>
      <c r="L38" s="15">
        <v>142762.25</v>
      </c>
      <c r="M38" s="11">
        <f t="shared" si="17"/>
        <v>1.6085685595852751E-2</v>
      </c>
      <c r="N38" s="9">
        <f t="shared" si="20"/>
        <v>297890.08</v>
      </c>
      <c r="O38" s="11">
        <f t="shared" si="18"/>
        <v>1.3755626943546585E-2</v>
      </c>
      <c r="P38" s="15">
        <v>143105.68</v>
      </c>
      <c r="Q38" s="11">
        <v>1.5094864302745956E-2</v>
      </c>
      <c r="R38" s="38"/>
    </row>
    <row r="39" spans="1:18" x14ac:dyDescent="0.25">
      <c r="A39" s="8" t="s">
        <v>49</v>
      </c>
      <c r="B39" s="9">
        <v>182348</v>
      </c>
      <c r="C39" s="11">
        <f t="shared" si="14"/>
        <v>2.710356875927751E-2</v>
      </c>
      <c r="D39" s="9">
        <v>135796</v>
      </c>
      <c r="E39" s="11">
        <f t="shared" si="14"/>
        <v>1.7758435479166518E-2</v>
      </c>
      <c r="F39" s="9">
        <f t="shared" si="12"/>
        <v>318144</v>
      </c>
      <c r="G39" s="11">
        <f t="shared" si="14"/>
        <v>2.2635500233936238E-2</v>
      </c>
      <c r="H39" s="9">
        <v>182146.5</v>
      </c>
      <c r="I39" s="11">
        <f t="shared" si="15"/>
        <v>2.1054240099411675E-2</v>
      </c>
      <c r="J39" s="9">
        <v>251636.636</v>
      </c>
      <c r="K39" s="11">
        <f t="shared" si="16"/>
        <v>2.419853471047621E-2</v>
      </c>
      <c r="L39" s="15">
        <v>103278.59999999999</v>
      </c>
      <c r="M39" s="11">
        <f t="shared" si="17"/>
        <v>1.1636879415810817E-2</v>
      </c>
      <c r="N39" s="9">
        <f t="shared" si="20"/>
        <v>500290.5</v>
      </c>
      <c r="O39" s="11">
        <f t="shared" si="18"/>
        <v>2.3101841731018341E-2</v>
      </c>
      <c r="P39" s="15">
        <v>231384.2</v>
      </c>
      <c r="Q39" s="11">
        <v>2.4406530200614198E-2</v>
      </c>
      <c r="R39" s="38"/>
    </row>
    <row r="40" spans="1:18" x14ac:dyDescent="0.25">
      <c r="A40" s="8" t="s">
        <v>50</v>
      </c>
      <c r="B40" s="9">
        <v>40474</v>
      </c>
      <c r="C40" s="11">
        <f t="shared" si="14"/>
        <v>6.0159137581053696E-3</v>
      </c>
      <c r="D40" s="9">
        <v>32730</v>
      </c>
      <c r="E40" s="11">
        <f t="shared" si="14"/>
        <v>4.2801967159056247E-3</v>
      </c>
      <c r="F40" s="9">
        <f t="shared" si="12"/>
        <v>73204</v>
      </c>
      <c r="G40" s="11">
        <f t="shared" si="14"/>
        <v>5.208362122576784E-3</v>
      </c>
      <c r="H40" s="9">
        <v>33730</v>
      </c>
      <c r="I40" s="11">
        <f t="shared" si="15"/>
        <v>3.8988370270807058E-3</v>
      </c>
      <c r="J40" s="9">
        <v>33730</v>
      </c>
      <c r="K40" s="11">
        <f t="shared" si="16"/>
        <v>3.2436317253277959E-3</v>
      </c>
      <c r="L40" s="15">
        <v>50230</v>
      </c>
      <c r="M40" s="11">
        <f t="shared" si="17"/>
        <v>5.6596473330987971E-3</v>
      </c>
      <c r="N40" s="9">
        <f t="shared" si="20"/>
        <v>106934</v>
      </c>
      <c r="O40" s="11">
        <f t="shared" si="18"/>
        <v>4.9378757815003787E-3</v>
      </c>
      <c r="P40" s="15">
        <v>37730</v>
      </c>
      <c r="Q40" s="11">
        <v>3.9797807476447122E-3</v>
      </c>
      <c r="R40" s="38"/>
    </row>
    <row r="41" spans="1:18" x14ac:dyDescent="0.25">
      <c r="A41" s="8" t="s">
        <v>51</v>
      </c>
      <c r="B41" s="9">
        <v>148054</v>
      </c>
      <c r="C41" s="11">
        <f t="shared" si="14"/>
        <v>2.2006228579891596E-2</v>
      </c>
      <c r="D41" s="9">
        <v>171458.91000000003</v>
      </c>
      <c r="E41" s="11">
        <f t="shared" si="14"/>
        <v>2.2422177314230313E-2</v>
      </c>
      <c r="F41" s="9">
        <f t="shared" si="12"/>
        <v>319512.91000000003</v>
      </c>
      <c r="G41" s="11">
        <f t="shared" si="14"/>
        <v>2.2732896264115145E-2</v>
      </c>
      <c r="H41" s="15">
        <v>247257.81</v>
      </c>
      <c r="I41" s="11">
        <f t="shared" si="15"/>
        <v>2.8580430028546874E-2</v>
      </c>
      <c r="J41" s="15">
        <v>171343.98899999997</v>
      </c>
      <c r="K41" s="11">
        <f t="shared" si="16"/>
        <v>1.647722498264503E-2</v>
      </c>
      <c r="L41" s="15">
        <v>221587.57440000001</v>
      </c>
      <c r="M41" s="11">
        <f t="shared" si="17"/>
        <v>2.4967300905848921E-2</v>
      </c>
      <c r="N41" s="9">
        <f t="shared" si="20"/>
        <v>566770.72</v>
      </c>
      <c r="O41" s="11">
        <f t="shared" si="18"/>
        <v>2.6171689191010643E-2</v>
      </c>
      <c r="P41" s="15">
        <v>231569.91999999998</v>
      </c>
      <c r="Q41" s="11">
        <v>2.442612004637228E-2</v>
      </c>
      <c r="R41" s="38"/>
    </row>
    <row r="42" spans="1:18" x14ac:dyDescent="0.25">
      <c r="A42" s="8" t="s">
        <v>52</v>
      </c>
      <c r="B42" s="9">
        <v>145557</v>
      </c>
      <c r="C42" s="11">
        <f t="shared" si="14"/>
        <v>2.1635083235868539E-2</v>
      </c>
      <c r="D42" s="9">
        <v>167679</v>
      </c>
      <c r="E42" s="11">
        <f t="shared" si="14"/>
        <v>2.1927867556563983E-2</v>
      </c>
      <c r="F42" s="9">
        <f t="shared" si="12"/>
        <v>313236</v>
      </c>
      <c r="G42" s="11">
        <f t="shared" si="14"/>
        <v>2.228630290458802E-2</v>
      </c>
      <c r="H42" s="9">
        <v>160342</v>
      </c>
      <c r="I42" s="11">
        <f t="shared" si="15"/>
        <v>1.8533866783165567E-2</v>
      </c>
      <c r="J42" s="9">
        <v>152032.5</v>
      </c>
      <c r="K42" s="11">
        <f t="shared" si="16"/>
        <v>1.4620143500767808E-2</v>
      </c>
      <c r="L42" s="15">
        <v>156838.5</v>
      </c>
      <c r="M42" s="11">
        <f t="shared" si="17"/>
        <v>1.7671722043643551E-2</v>
      </c>
      <c r="N42" s="9">
        <f t="shared" si="20"/>
        <v>473578</v>
      </c>
      <c r="O42" s="11">
        <f t="shared" si="18"/>
        <v>2.1868342499592144E-2</v>
      </c>
      <c r="P42" s="15">
        <v>173159.94960000002</v>
      </c>
      <c r="Q42" s="11">
        <v>1.8265004868306622E-2</v>
      </c>
      <c r="R42" s="38"/>
    </row>
    <row r="43" spans="1:18" x14ac:dyDescent="0.25">
      <c r="A43" s="8" t="s">
        <v>55</v>
      </c>
      <c r="B43" s="9"/>
      <c r="C43" s="11"/>
      <c r="D43" s="9">
        <v>14705.66</v>
      </c>
      <c r="E43" s="11">
        <f>D43/D4</f>
        <v>4.6016014919722008E-2</v>
      </c>
      <c r="F43" s="9"/>
      <c r="G43" s="11"/>
      <c r="H43" s="9">
        <v>117358.87</v>
      </c>
      <c r="I43" s="11">
        <f>H43/H4</f>
        <v>0.11171531928676087</v>
      </c>
      <c r="J43" s="9">
        <v>197429.18</v>
      </c>
      <c r="K43" s="11">
        <f>J43/J4</f>
        <v>0.1310706822319419</v>
      </c>
      <c r="L43" s="15">
        <v>194022.62</v>
      </c>
      <c r="M43" s="11">
        <f>L43/L4</f>
        <v>0.13117810743890915</v>
      </c>
      <c r="N43" s="9"/>
      <c r="O43" s="11"/>
      <c r="P43" s="15">
        <v>234625.82999999996</v>
      </c>
      <c r="Q43" s="11">
        <v>0.14252928522233957</v>
      </c>
      <c r="R43" s="38"/>
    </row>
    <row r="44" spans="1:18" x14ac:dyDescent="0.25">
      <c r="A44" s="8" t="s">
        <v>53</v>
      </c>
      <c r="B44" s="9">
        <v>4530</v>
      </c>
      <c r="C44" s="11">
        <f t="shared" si="14"/>
        <v>6.7332335139144446E-4</v>
      </c>
      <c r="D44" s="9">
        <v>4603.75</v>
      </c>
      <c r="E44" s="11">
        <f t="shared" si="14"/>
        <v>6.020456960235417E-4</v>
      </c>
      <c r="F44" s="9">
        <f t="shared" si="12"/>
        <v>9133.75</v>
      </c>
      <c r="G44" s="11">
        <f t="shared" si="14"/>
        <v>6.4985352627022698E-4</v>
      </c>
      <c r="H44" s="9">
        <v>4130</v>
      </c>
      <c r="I44" s="11">
        <f t="shared" si="15"/>
        <v>4.773850258477117E-4</v>
      </c>
      <c r="J44" s="9">
        <v>4130</v>
      </c>
      <c r="K44" s="11">
        <f t="shared" si="16"/>
        <v>3.9715976951093382E-4</v>
      </c>
      <c r="L44" s="15">
        <v>2360</v>
      </c>
      <c r="M44" s="11">
        <f t="shared" ref="M44:M45" si="21">L44/L$12</f>
        <v>2.6591215819456821E-4</v>
      </c>
      <c r="N44" s="9">
        <f t="shared" si="20"/>
        <v>13263.75</v>
      </c>
      <c r="O44" s="11">
        <f t="shared" si="18"/>
        <v>6.1247825665247397E-4</v>
      </c>
      <c r="P44" s="15">
        <v>2000</v>
      </c>
      <c r="Q44" s="11">
        <v>2.1096107859235158E-4</v>
      </c>
      <c r="R44" s="38"/>
    </row>
    <row r="45" spans="1:18" x14ac:dyDescent="0.25">
      <c r="A45" s="8" t="s">
        <v>54</v>
      </c>
      <c r="B45" s="9">
        <v>122991</v>
      </c>
      <c r="C45" s="11">
        <f t="shared" si="14"/>
        <v>1.8280951945029836E-2</v>
      </c>
      <c r="D45" s="9">
        <v>15485</v>
      </c>
      <c r="E45" s="11">
        <f t="shared" si="14"/>
        <v>2.0250182140482309E-3</v>
      </c>
      <c r="F45" s="9">
        <f t="shared" si="12"/>
        <v>138476</v>
      </c>
      <c r="G45" s="11">
        <f t="shared" si="14"/>
        <v>9.8523735490675737E-3</v>
      </c>
      <c r="H45" s="9">
        <v>86504</v>
      </c>
      <c r="I45" s="11">
        <f t="shared" si="15"/>
        <v>9.9989622944141529E-3</v>
      </c>
      <c r="J45" s="9">
        <v>90184</v>
      </c>
      <c r="K45" s="11">
        <f t="shared" si="16"/>
        <v>8.6725076643036445E-3</v>
      </c>
      <c r="L45" s="9">
        <v>13653</v>
      </c>
      <c r="M45" s="11">
        <f t="shared" si="21"/>
        <v>1.5383469050128981E-3</v>
      </c>
      <c r="N45" s="9">
        <f t="shared" si="20"/>
        <v>224980</v>
      </c>
      <c r="O45" s="11">
        <f t="shared" si="18"/>
        <v>1.0388868772532171E-2</v>
      </c>
      <c r="P45" s="9">
        <v>0</v>
      </c>
      <c r="Q45" s="11">
        <v>0</v>
      </c>
      <c r="R45" s="38"/>
    </row>
    <row r="46" spans="1:18" x14ac:dyDescent="0.25">
      <c r="A46" s="8" t="s">
        <v>56</v>
      </c>
      <c r="B46" s="9">
        <v>0</v>
      </c>
      <c r="C46" s="11">
        <f>B46/B$12</f>
        <v>0</v>
      </c>
      <c r="D46" s="9">
        <v>0</v>
      </c>
      <c r="E46" s="11">
        <f>D46/D$12</f>
        <v>0</v>
      </c>
      <c r="F46" s="9">
        <f t="shared" si="12"/>
        <v>0</v>
      </c>
      <c r="G46" s="11">
        <f>F46/F$12</f>
        <v>0</v>
      </c>
      <c r="H46" s="9">
        <v>0</v>
      </c>
      <c r="I46" s="11">
        <f>H46/H$12</f>
        <v>0</v>
      </c>
      <c r="J46" s="9">
        <v>0</v>
      </c>
      <c r="K46" s="11">
        <f>J46/J$12</f>
        <v>0</v>
      </c>
      <c r="L46" s="9">
        <v>0</v>
      </c>
      <c r="M46" s="11">
        <f>L46/L$12</f>
        <v>0</v>
      </c>
      <c r="N46" s="9">
        <f t="shared" si="20"/>
        <v>0</v>
      </c>
      <c r="O46" s="11">
        <f>N46/N$12</f>
        <v>0</v>
      </c>
      <c r="P46" s="9">
        <v>0</v>
      </c>
      <c r="Q46" s="11">
        <v>0</v>
      </c>
      <c r="R46" s="38"/>
    </row>
    <row r="47" spans="1:18" x14ac:dyDescent="0.25">
      <c r="A47" s="21" t="s">
        <v>57</v>
      </c>
      <c r="B47" s="22">
        <f>SUM(B29:B46)</f>
        <v>3222976.7199999997</v>
      </c>
      <c r="C47" s="23">
        <f>B47/B$12</f>
        <v>0.47905198378962582</v>
      </c>
      <c r="D47" s="22">
        <f>SUM(D29:D46)</f>
        <v>3241025.0700000003</v>
      </c>
      <c r="E47" s="23">
        <f>D47/D$12</f>
        <v>0.42383821756131368</v>
      </c>
      <c r="F47" s="29">
        <f>SUM(F29:F46)</f>
        <v>6449296.1299999999</v>
      </c>
      <c r="G47" s="23">
        <f>F47/F$12</f>
        <v>0.45885839135529533</v>
      </c>
      <c r="H47" s="22">
        <f>SUM(H29:H46)</f>
        <v>3565580.3899999997</v>
      </c>
      <c r="I47" s="23">
        <f>H47/H$12</f>
        <v>0.41214399192306145</v>
      </c>
      <c r="J47" s="22">
        <f>SUM(J29:J46)</f>
        <v>3876210.7072666669</v>
      </c>
      <c r="K47" s="23">
        <f>J47/J$12</f>
        <v>0.37275422544160852</v>
      </c>
      <c r="L47" s="22">
        <f>SUM(L29:L46)</f>
        <v>3633198.9916666662</v>
      </c>
      <c r="M47" s="23">
        <f>L47/L$12</f>
        <v>0.40936940043407299</v>
      </c>
      <c r="N47" s="29">
        <f>SUM(N29:N46)</f>
        <v>9897517.6500000004</v>
      </c>
      <c r="O47" s="23">
        <f>N47/N$12</f>
        <v>0.45703623450827185</v>
      </c>
      <c r="P47" s="22">
        <v>3933295.5421000002</v>
      </c>
      <c r="Q47" s="23">
        <v>0.41488613499195209</v>
      </c>
      <c r="R47" s="38"/>
    </row>
    <row r="48" spans="1:18" ht="15.75" thickBot="1" x14ac:dyDescent="0.3">
      <c r="A48" s="19" t="s">
        <v>13</v>
      </c>
      <c r="B48" s="24"/>
      <c r="C48" s="51"/>
      <c r="D48" s="24"/>
      <c r="E48" s="51"/>
      <c r="F48" s="24"/>
      <c r="G48" s="51"/>
      <c r="H48" s="24"/>
      <c r="I48" s="51"/>
      <c r="J48" s="24"/>
      <c r="K48" s="51"/>
      <c r="L48" s="24"/>
      <c r="M48" s="51"/>
      <c r="N48" s="24"/>
      <c r="O48" s="51"/>
      <c r="P48" s="24"/>
      <c r="Q48" s="51"/>
      <c r="R48" s="38"/>
    </row>
    <row r="49" spans="1:17" ht="15.75" thickBot="1" x14ac:dyDescent="0.3">
      <c r="A49" s="12" t="s">
        <v>58</v>
      </c>
      <c r="B49" s="13">
        <f>+B26-B47</f>
        <v>1404518.0499999998</v>
      </c>
      <c r="C49" s="27">
        <f>B49/B6</f>
        <v>0.20671690280579169</v>
      </c>
      <c r="D49" s="13">
        <f>+D26-D47</f>
        <v>2405233.1799999997</v>
      </c>
      <c r="E49" s="27">
        <f>D49/D6</f>
        <v>0.31060221021055034</v>
      </c>
      <c r="F49" s="13">
        <f>+F26-F47</f>
        <v>3504879.8900000015</v>
      </c>
      <c r="G49" s="27">
        <f>F49/F6</f>
        <v>0.24649964660444926</v>
      </c>
      <c r="H49" s="13">
        <f>+H26-H47</f>
        <v>2702130.9800000004</v>
      </c>
      <c r="I49" s="27">
        <f>H49/H6</f>
        <v>0.31125937796930098</v>
      </c>
      <c r="J49" s="13">
        <f>+J26-J47</f>
        <v>3829687.0227333335</v>
      </c>
      <c r="K49" s="27">
        <f>J49/J6</f>
        <v>0.36639832028492969</v>
      </c>
      <c r="L49" s="13">
        <f>+L26-L47</f>
        <v>2833346.7083333349</v>
      </c>
      <c r="M49" s="27">
        <f>L49/L6</f>
        <v>0.31583063311492576</v>
      </c>
      <c r="N49" s="13">
        <f>+N26-N47</f>
        <v>5211239.1400000025</v>
      </c>
      <c r="O49" s="27">
        <f>N49/N6</f>
        <v>0.23850756156658126</v>
      </c>
      <c r="P49" s="13">
        <v>2873022.8479000004</v>
      </c>
      <c r="Q49" s="27">
        <v>0.30083095328955362</v>
      </c>
    </row>
    <row r="50" spans="1:17" ht="30" x14ac:dyDescent="0.25">
      <c r="D50" s="52" t="s">
        <v>83</v>
      </c>
      <c r="E50" s="53">
        <v>354000</v>
      </c>
      <c r="H50" s="45" t="s">
        <v>84</v>
      </c>
      <c r="I50" s="53">
        <v>8000</v>
      </c>
      <c r="J50" s="34" t="s">
        <v>85</v>
      </c>
      <c r="K50" s="33">
        <v>33936</v>
      </c>
      <c r="L50" s="34" t="s">
        <v>63</v>
      </c>
      <c r="M50" s="33">
        <v>25179</v>
      </c>
      <c r="P50" s="34" t="s">
        <v>85</v>
      </c>
      <c r="Q50" s="87">
        <v>143008</v>
      </c>
    </row>
    <row r="51" spans="1:17" ht="30" x14ac:dyDescent="0.25">
      <c r="H51" s="45" t="s">
        <v>86</v>
      </c>
      <c r="I51" s="53">
        <v>5000</v>
      </c>
      <c r="J51" s="34" t="s">
        <v>80</v>
      </c>
      <c r="K51" s="33">
        <v>68440</v>
      </c>
      <c r="L51" s="34" t="s">
        <v>85</v>
      </c>
      <c r="M51" s="33">
        <v>10926.720000000001</v>
      </c>
      <c r="P51" s="34" t="s">
        <v>119</v>
      </c>
      <c r="Q51" s="87">
        <v>118000</v>
      </c>
    </row>
    <row r="52" spans="1:17" ht="30" x14ac:dyDescent="0.25">
      <c r="H52" s="45"/>
      <c r="J52" s="34" t="s">
        <v>87</v>
      </c>
      <c r="K52" s="33">
        <v>35016.520000000004</v>
      </c>
      <c r="L52" s="34" t="s">
        <v>81</v>
      </c>
      <c r="M52" s="53">
        <v>44490</v>
      </c>
      <c r="P52" s="34" t="s">
        <v>71</v>
      </c>
      <c r="Q52" s="87">
        <v>24623.086000000003</v>
      </c>
    </row>
    <row r="53" spans="1:17" x14ac:dyDescent="0.25">
      <c r="H53" s="45"/>
      <c r="J53" s="34" t="s">
        <v>88</v>
      </c>
      <c r="K53" s="33">
        <v>354000</v>
      </c>
      <c r="L53" s="34"/>
      <c r="M53" s="86"/>
      <c r="P53" s="34"/>
      <c r="Q53" s="86"/>
    </row>
    <row r="54" spans="1:17" x14ac:dyDescent="0.25">
      <c r="H54" s="45"/>
      <c r="J54" s="34" t="s">
        <v>89</v>
      </c>
      <c r="K54" s="33">
        <v>213700</v>
      </c>
      <c r="L54" s="34"/>
      <c r="M54" s="54"/>
      <c r="P54" s="34"/>
      <c r="Q54" s="54"/>
    </row>
    <row r="55" spans="1:17" x14ac:dyDescent="0.25">
      <c r="H55" s="45"/>
      <c r="J55" s="34" t="s">
        <v>90</v>
      </c>
      <c r="K55" s="54">
        <v>98225</v>
      </c>
    </row>
    <row r="56" spans="1:17" x14ac:dyDescent="0.25">
      <c r="H56" s="45"/>
      <c r="J56" s="34" t="s">
        <v>91</v>
      </c>
      <c r="K56" s="54">
        <v>100000</v>
      </c>
    </row>
    <row r="57" spans="1:17" x14ac:dyDescent="0.25">
      <c r="H57" s="45"/>
      <c r="J57" s="34" t="s">
        <v>92</v>
      </c>
      <c r="K57" s="54">
        <v>654900</v>
      </c>
    </row>
    <row r="58" spans="1:17" x14ac:dyDescent="0.25">
      <c r="H58" s="45"/>
      <c r="J58" s="34" t="s">
        <v>79</v>
      </c>
      <c r="K58" s="54">
        <v>354000</v>
      </c>
    </row>
    <row r="59" spans="1:17" x14ac:dyDescent="0.25">
      <c r="H59" s="45"/>
      <c r="J59" s="34" t="s">
        <v>93</v>
      </c>
      <c r="K59" s="54">
        <v>353850</v>
      </c>
    </row>
    <row r="60" spans="1:17" x14ac:dyDescent="0.25">
      <c r="H60" s="45"/>
      <c r="J60" s="34" t="s">
        <v>94</v>
      </c>
      <c r="K60" s="54">
        <v>295000</v>
      </c>
    </row>
    <row r="61" spans="1:17" x14ac:dyDescent="0.25">
      <c r="H61" s="45"/>
    </row>
    <row r="62" spans="1:17" x14ac:dyDescent="0.25">
      <c r="H62" s="45"/>
    </row>
    <row r="63" spans="1:17" x14ac:dyDescent="0.25">
      <c r="H63" s="45"/>
    </row>
    <row r="64" spans="1:17" x14ac:dyDescent="0.25">
      <c r="H64" s="45"/>
    </row>
    <row r="65" spans="8:8" x14ac:dyDescent="0.25">
      <c r="H65" s="45"/>
    </row>
    <row r="66" spans="8:8" x14ac:dyDescent="0.25">
      <c r="H66" s="45"/>
    </row>
    <row r="67" spans="8:8" x14ac:dyDescent="0.25">
      <c r="H67" s="45"/>
    </row>
    <row r="68" spans="8:8" x14ac:dyDescent="0.25">
      <c r="H68" s="45"/>
    </row>
    <row r="69" spans="8:8" x14ac:dyDescent="0.25">
      <c r="H69" s="45"/>
    </row>
    <row r="70" spans="8:8" x14ac:dyDescent="0.25">
      <c r="H70" s="45"/>
    </row>
    <row r="71" spans="8:8" x14ac:dyDescent="0.25">
      <c r="H71" s="45"/>
    </row>
    <row r="72" spans="8:8" x14ac:dyDescent="0.25">
      <c r="H72" s="45"/>
    </row>
    <row r="73" spans="8:8" x14ac:dyDescent="0.25">
      <c r="H73" s="45"/>
    </row>
    <row r="74" spans="8:8" x14ac:dyDescent="0.25">
      <c r="H74" s="45"/>
    </row>
    <row r="75" spans="8:8" x14ac:dyDescent="0.25">
      <c r="H75" s="45"/>
    </row>
    <row r="76" spans="8:8" x14ac:dyDescent="0.25">
      <c r="H76" s="45"/>
    </row>
    <row r="77" spans="8:8" x14ac:dyDescent="0.25">
      <c r="H77" s="45"/>
    </row>
  </sheetData>
  <pageMargins left="0.7" right="0.7" top="0.75" bottom="0.75" header="0.3" footer="0.3"/>
  <pageSetup paperSize="9" scale="53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P&amp;L (Niko)</vt:lpstr>
      <vt:lpstr>P&amp;L (GK)</vt:lpstr>
      <vt:lpstr>P&amp;L (MG)</vt:lpstr>
      <vt:lpstr>'P&amp;L (GK)'!Print_Area</vt:lpstr>
      <vt:lpstr>'P&amp;L (MG)'!Print_Area</vt:lpstr>
    </vt:vector>
  </TitlesOfParts>
  <Company>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Murarka</dc:creator>
  <cp:lastModifiedBy>ADMIN</cp:lastModifiedBy>
  <dcterms:created xsi:type="dcterms:W3CDTF">2025-07-18T08:27:14Z</dcterms:created>
  <dcterms:modified xsi:type="dcterms:W3CDTF">2025-08-11T20:51:35Z</dcterms:modified>
</cp:coreProperties>
</file>