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corawent/Dropbox/Caltech 2020-2021/Career/Rewiring America/"/>
    </mc:Choice>
  </mc:AlternateContent>
  <xr:revisionPtr revIDLastSave="0" documentId="13_ncr:1_{70561EF7-629E-F345-9742-DC35973EA164}" xr6:coauthVersionLast="47" xr6:coauthVersionMax="47" xr10:uidLastSave="{00000000-0000-0000-0000-000000000000}"/>
  <bookViews>
    <workbookView xWindow="-38400" yWindow="500" windowWidth="38400" windowHeight="19880" activeTab="1" xr2:uid="{4BA7D75B-BD4B-47C0-8BEF-50D174D9FA1C}"/>
  </bookViews>
  <sheets>
    <sheet name="Main" sheetId="1" r:id="rId1"/>
    <sheet name="Results" sheetId="10" r:id="rId2"/>
    <sheet name="Cash flow analysis" sheetId="9" r:id="rId3"/>
    <sheet name="Process and cost assumptions" sheetId="3" r:id="rId4"/>
    <sheet name="Equipment reference" sheetId="8" r:id="rId5"/>
    <sheet name="Carbonate acidity" sheetId="4" r:id="rId6"/>
    <sheet name="Eisaman" sheetId="16" r:id="rId7"/>
  </sheets>
  <externalReferences>
    <externalReference r:id="rId8"/>
  </externalReferences>
  <definedNames>
    <definedName name="acid_concH">Main!$B$13</definedName>
    <definedName name="acid_pH">Main!$B$12</definedName>
    <definedName name="adiabatic_const">'Equipment reference'!$B$40</definedName>
    <definedName name="adiabatic_N2">'Equipment reference'!$B$41</definedName>
    <definedName name="also_calc">Results!$B$54</definedName>
    <definedName name="anal_period">Main!$B$77</definedName>
    <definedName name="anal_year">Main!$B$70</definedName>
    <definedName name="avg_prod">Main!$B$7</definedName>
    <definedName name="bar_to_fthead">'Equipment reference'!$B$53</definedName>
    <definedName name="bar_to_pa">'Equipment reference'!$B$51</definedName>
    <definedName name="baseline_cap">Main!$B$37</definedName>
    <definedName name="basis_year">Main!$B$69</definedName>
    <definedName name="breakdown_param">Results!$B$87</definedName>
    <definedName name="breakdown_table">Results!$A$89:$F$97</definedName>
    <definedName name="cap_co2">'Process and cost assumptions'!$G$105</definedName>
    <definedName name="cap_co2_scaled">Main!$E$59</definedName>
    <definedName name="cap_ed">'Process and cost assumptions'!$G$87</definedName>
    <definedName name="cap_ed_scaled">Main!$E$58</definedName>
    <definedName name="cap_factor">Main!$B$8</definedName>
    <definedName name="cap_intake">'Process and cost assumptions'!$G$8</definedName>
    <definedName name="cap_intake_scaled">Main!$E$54</definedName>
    <definedName name="cap_micro">'Process and cost assumptions'!$G$43</definedName>
    <definedName name="cap_micro_scaled">Main!$E$56</definedName>
    <definedName name="cap_nano">'Process and cost assumptions'!$G$65</definedName>
    <definedName name="cap_nano_scaled">Main!$E$57</definedName>
    <definedName name="cap_o2n2">'Process and cost assumptions'!#REF!</definedName>
    <definedName name="cap_screening">'Process and cost assumptions'!$G$29</definedName>
    <definedName name="cap_screening_scaled">Main!$E$55</definedName>
    <definedName name="cashflow_table">Results!$A$5:$I$23</definedName>
    <definedName name="CEPCI_inflator">Main!$B$46</definedName>
    <definedName name="chem_inflator">Main!$B$49</definedName>
    <definedName name="co2_per_DIC">Main!$B$16</definedName>
    <definedName name="construct_period">Main!$B$67</definedName>
    <definedName name="cost_factors">'Equipment reference'!$A$109:$C$117</definedName>
    <definedName name="CPI_inflator">Main!$B$47</definedName>
    <definedName name="ctf">Main!$B$29</definedName>
    <definedName name="ctf_calc">Main!$B$30</definedName>
    <definedName name="ctn">Main!$B$31</definedName>
    <definedName name="ctn_calc">Main!$B$32</definedName>
    <definedName name="current_density">Main!$B$34</definedName>
    <definedName name="day_to_min">'Equipment reference'!$B$48</definedName>
    <definedName name="debt_financing">Main!$B$80</definedName>
    <definedName name="debt_interest_rate">Main!$B$82</definedName>
    <definedName name="decom_prct">Main!$B$87</definedName>
    <definedName name="density">'Equipment reference'!$B$6</definedName>
    <definedName name="depr_cap">Main!#REF!</definedName>
    <definedName name="depr_cap_infl">Main!$E$108</definedName>
    <definedName name="depr_length">'Cash flow analysis'!$B$67</definedName>
    <definedName name="design_cap">Main!$B$6</definedName>
    <definedName name="DIC_concentration">'Equipment reference'!$B$4</definedName>
    <definedName name="direct_cap">Main!$E$102</definedName>
    <definedName name="elec_cost">Main!$B$43</definedName>
    <definedName name="elec_usage">Main!#REF!</definedName>
    <definedName name="energy_co2">'Process and cost assumptions'!$G$106</definedName>
    <definedName name="energy_ed">'Process and cost assumptions'!$G$88</definedName>
    <definedName name="energy_intake">'Process and cost assumptions'!$G$9</definedName>
    <definedName name="energy_micro">'Process and cost assumptions'!$G$44</definedName>
    <definedName name="energy_nano">'Process and cost assumptions'!$G$66</definedName>
    <definedName name="energy_o2n2">'Process and cost assumptions'!#REF!</definedName>
    <definedName name="energy_screening">'Process and cost assumptions'!$G$30</definedName>
    <definedName name="energy_total">Main!$B$134</definedName>
    <definedName name="equity_financing">Main!$B$81</definedName>
    <definedName name="extraction_efficiency">Main!$B$27</definedName>
    <definedName name="extraction_efficiency_calc">Main!$B$28</definedName>
    <definedName name="extraction_efficiency_eq">Main!#REF!</definedName>
    <definedName name="faraday">'Equipment reference'!$B$42</definedName>
    <definedName name="fraction_oceanwater">Main!$B$17</definedName>
    <definedName name="ft3_min">'[1]Equipment reference'!$B$20</definedName>
    <definedName name="ft3_to_m3">'Equipment reference'!$B$56</definedName>
    <definedName name="g_const">'Equipment reference'!#REF!</definedName>
    <definedName name="gal_min">'Equipment reference'!$B$12</definedName>
    <definedName name="gal_to_m3">'Equipment reference'!$B$55</definedName>
    <definedName name="gas_const">'Equipment reference'!$B$38</definedName>
    <definedName name="H2_cost">'Cash flow analysis'!$B$5</definedName>
    <definedName name="H2_cost_infl">'Cash flow analysis'!$B$7</definedName>
    <definedName name="how">Main!$B$4</definedName>
    <definedName name="hr_to_s">'Equipment reference'!$B$47</definedName>
    <definedName name="hyield">'Equipment reference'!$B$31</definedName>
    <definedName name="inflation_factor">Main!$B$96</definedName>
    <definedName name="inflation_rate">Main!$B$89</definedName>
    <definedName name="intake_motor_eff">'Process and cost assumptions'!#REF!</definedName>
    <definedName name="intake_pressure">'Process and cost assumptions'!#REF!</definedName>
    <definedName name="intake_pump_eff">'Process and cost assumptions'!#REF!</definedName>
    <definedName name="kg_s">'Equipment reference'!$B$23</definedName>
    <definedName name="kWh_to_Ws">'Equipment reference'!$B$49</definedName>
    <definedName name="l_s">'Equipment reference'!$B$14</definedName>
    <definedName name="l_to_m3">'Equipment reference'!$B$46</definedName>
    <definedName name="labor_baseline_cap">Main!$B$38</definedName>
    <definedName name="labor_inflator">Main!$B$48</definedName>
    <definedName name="labor_scale_ratio">Main!$B$41</definedName>
    <definedName name="lfr">Main!$B$22</definedName>
    <definedName name="lfr_gfr">Main!$B$25</definedName>
    <definedName name="lfr_multiplier">'Process and cost assumptions'!$E$122</definedName>
    <definedName name="LOW_to_kgCO2">'Equipment reference'!$B$27</definedName>
    <definedName name="LOW_to_kgCO2_eq">'Equipment reference'!#REF!</definedName>
    <definedName name="m3_day">'Equipment reference'!$B$10</definedName>
    <definedName name="m3_h">'Equipment reference'!$B$11</definedName>
    <definedName name="m3co2_h">'Equipment reference'!$B$20</definedName>
    <definedName name="m3OW_to_kgCO2">'Equipment reference'!$B$29</definedName>
    <definedName name="m3OW_to_kgCO2_eq">'Equipment reference'!#REF!</definedName>
    <definedName name="MACRS_table">'Cash flow analysis'!$A$139:$G$160</definedName>
    <definedName name="mc_efficiency">Main!$B$11</definedName>
    <definedName name="mc_types">'Equipment reference'!$A$128:$K$130</definedName>
    <definedName name="MGD">'Equipment reference'!$B$13</definedName>
    <definedName name="micro_motor_eff">'Process and cost assumptions'!#REF!</definedName>
    <definedName name="micro_pressure">'Process and cost assumptions'!#REF!</definedName>
    <definedName name="micro_pump_eff">'Process and cost assumptions'!#REF!</definedName>
    <definedName name="micro_recovery">'Process and cost assumptions'!#REF!</definedName>
    <definedName name="min_n_MCs">'Process and cost assumptions'!$B$122</definedName>
    <definedName name="min_n_VPs">'Process and cost assumptions'!$A$122</definedName>
    <definedName name="mol_s">'Equipment reference'!$B$21</definedName>
    <definedName name="molar_mass">'Equipment reference'!$B$5</definedName>
    <definedName name="molh_to_kgco2">'Equipment reference'!$B$34</definedName>
    <definedName name="molh_to_molco2eq">'Equipment reference'!$B$32</definedName>
    <definedName name="molh_to_molco2ex">'Equipment reference'!$B$33</definedName>
    <definedName name="motor_types">'Equipment reference'!$A$89:$F$95</definedName>
    <definedName name="multiplier">Main!$B$18</definedName>
    <definedName name="n_MCs">'Process and cost assumptions'!$D$115</definedName>
    <definedName name="n_VPs">'Process and cost assumptions'!$D$117</definedName>
    <definedName name="nano_motor_eff">'Process and cost assumptions'!#REF!</definedName>
    <definedName name="nano_pressure">'Process and cost assumptions'!#REF!</definedName>
    <definedName name="nano_pump_eff">'Process and cost assumptions'!#REF!</definedName>
    <definedName name="nano_recovery">'Process and cost assumptions'!#REF!</definedName>
    <definedName name="nominal_irr">Main!$B$95</definedName>
    <definedName name="non_depr_cap">Main!$E$111</definedName>
    <definedName name="OW_pH">Main!$B$10</definedName>
    <definedName name="param_to_vary">Results!$B$53</definedName>
    <definedName name="param1">Results!$B$115</definedName>
    <definedName name="param2">Results!$B$116</definedName>
    <definedName name="plant_life">Main!$B$76</definedName>
    <definedName name="pressure_ss">Main!$B$21</definedName>
    <definedName name="process_table">Results!$A$31:$G$39</definedName>
    <definedName name="pump_materials">'Equipment reference'!$A$74:$B$83</definedName>
    <definedName name="pump_types">'Equipment reference'!$A$62:$J$68</definedName>
    <definedName name="r_const">'Equipment reference'!$B$38</definedName>
    <definedName name="real_irr">Main!$B$94</definedName>
    <definedName name="recovery_period">'Cash flow analysis'!$A$139:$G$139</definedName>
    <definedName name="recovery_year">'Cash flow analysis'!$A$139:$A$160</definedName>
    <definedName name="ref_year">Main!$B$69</definedName>
    <definedName name="salvage">Main!$B$88</definedName>
    <definedName name="scale_factor">Main!$B$63</definedName>
    <definedName name="scale_ratio">Main!$B$40</definedName>
    <definedName name="scaling_factor_exponent">Main!$B$39</definedName>
    <definedName name="secondary">Results!$B$117</definedName>
    <definedName name="startup_perct_revs">Main!$B$85</definedName>
    <definedName name="startup_time">Main!$B$75</definedName>
    <definedName name="startup_year">Main!$B$68</definedName>
    <definedName name="sweep_table">Results!$A$56:$C$72</definedName>
    <definedName name="sweep_table_2D">Results!$A$120:$AA$139</definedName>
    <definedName name="table_costindex">Main!$A$147:$E$174</definedName>
    <definedName name="tax_rate">Main!$B$92</definedName>
    <definedName name="temp">'Equipment reference'!$B$39</definedName>
    <definedName name="test_cell">Results!$P$59</definedName>
    <definedName name="tons_to_kg">'Equipment reference'!$B$50</definedName>
    <definedName name="torr_to_pa">'Equipment reference'!$B$52</definedName>
    <definedName name="total_cap">Main!#REF!</definedName>
    <definedName name="total_capital">Main!$E$112</definedName>
    <definedName name="vacuum_pump_types">'Equipment reference'!$A$101:$G$106</definedName>
    <definedName name="vol_mol">'Equipment reference'!$B$54</definedName>
    <definedName name="voltage">Main!$B$35</definedName>
    <definedName name="when">Main!$B$3</definedName>
    <definedName name="working_cap_perct">Main!$B$93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7" i="3" l="1"/>
  <c r="B136" i="8"/>
  <c r="D6" i="1" a="1"/>
  <c r="D6" i="1" s="1"/>
  <c r="C54" i="1"/>
  <c r="C122" i="3" l="1"/>
  <c r="B122" i="3"/>
  <c r="I130" i="8"/>
  <c r="I129" i="8"/>
  <c r="A122" i="3"/>
  <c r="D122" i="3" s="1"/>
  <c r="B115" i="3" s="1"/>
  <c r="B25" i="1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6" i="4"/>
  <c r="A131" i="3" a="1"/>
  <c r="A131" i="3" s="1"/>
  <c r="A130" i="3" a="1"/>
  <c r="A130" i="3" s="1"/>
  <c r="B10" i="8" l="1"/>
  <c r="B43" i="1"/>
  <c r="A167" i="16" l="1"/>
  <c r="B167" i="16"/>
  <c r="C167" i="16"/>
  <c r="A169" i="16"/>
  <c r="A170" i="16"/>
  <c r="A171" i="16"/>
  <c r="A172" i="16"/>
  <c r="A173" i="16"/>
  <c r="A154" i="16"/>
  <c r="B156" i="16"/>
  <c r="C156" i="16"/>
  <c r="D156" i="16"/>
  <c r="E156" i="16"/>
  <c r="F156" i="16"/>
  <c r="G156" i="16"/>
  <c r="A157" i="16"/>
  <c r="G157" i="16"/>
  <c r="A158" i="16"/>
  <c r="G158" i="16"/>
  <c r="A159" i="16"/>
  <c r="A160" i="16"/>
  <c r="G160" i="16"/>
  <c r="A161" i="16"/>
  <c r="A162" i="16"/>
  <c r="A163" i="16"/>
  <c r="E163" i="16"/>
  <c r="F163" i="16"/>
  <c r="A164" i="16"/>
  <c r="C165" i="16"/>
  <c r="B120" i="16"/>
  <c r="B121" i="16"/>
  <c r="B123" i="16"/>
  <c r="C126" i="16"/>
  <c r="D126" i="16"/>
  <c r="B122" i="16"/>
  <c r="B119" i="16"/>
  <c r="B126" i="16" s="1"/>
  <c r="E126" i="16" s="1"/>
  <c r="F109" i="16"/>
  <c r="D66" i="16"/>
  <c r="C66" i="16"/>
  <c r="B66" i="16"/>
  <c r="D68" i="16"/>
  <c r="D67" i="16" s="1"/>
  <c r="E68" i="16"/>
  <c r="E150" i="16"/>
  <c r="D150" i="16"/>
  <c r="C150" i="16"/>
  <c r="B150" i="16"/>
  <c r="F151" i="16" s="1"/>
  <c r="D133" i="16"/>
  <c r="B133" i="16"/>
  <c r="G133" i="16" s="1"/>
  <c r="D110" i="16"/>
  <c r="F110" i="16" s="1"/>
  <c r="D108" i="16"/>
  <c r="F108" i="16" s="1"/>
  <c r="D107" i="16"/>
  <c r="F107" i="16" s="1"/>
  <c r="D106" i="16"/>
  <c r="F106" i="16" s="1"/>
  <c r="D105" i="16"/>
  <c r="F105" i="16" s="1"/>
  <c r="D104" i="16"/>
  <c r="F104" i="16" s="1"/>
  <c r="D103" i="16"/>
  <c r="F103" i="16" s="1"/>
  <c r="D96" i="16"/>
  <c r="F96" i="16" s="1"/>
  <c r="D95" i="16"/>
  <c r="F95" i="16" s="1"/>
  <c r="D94" i="16"/>
  <c r="F94" i="16" s="1"/>
  <c r="D93" i="16"/>
  <c r="F93" i="16" s="1"/>
  <c r="D92" i="16"/>
  <c r="F92" i="16" s="1"/>
  <c r="D91" i="16"/>
  <c r="F91" i="16" s="1"/>
  <c r="D90" i="16"/>
  <c r="F90" i="16" s="1"/>
  <c r="D89" i="16"/>
  <c r="F89" i="16" s="1"/>
  <c r="F88" i="16"/>
  <c r="D88" i="16"/>
  <c r="B77" i="16"/>
  <c r="B76" i="16"/>
  <c r="C75" i="16"/>
  <c r="E60" i="16"/>
  <c r="D60" i="16"/>
  <c r="C60" i="16"/>
  <c r="B60" i="16"/>
  <c r="F38" i="16"/>
  <c r="B38" i="16"/>
  <c r="F61" i="16" l="1"/>
  <c r="F97" i="16"/>
  <c r="G92" i="16"/>
  <c r="E127" i="16"/>
  <c r="C68" i="16"/>
  <c r="C67" i="16" s="1"/>
  <c r="F111" i="16"/>
  <c r="B68" i="16" l="1"/>
  <c r="B67" i="16" l="1"/>
  <c r="F69" i="16"/>
  <c r="H127" i="3" l="1"/>
  <c r="D127" i="3"/>
  <c r="N87" i="4"/>
  <c r="N10" i="4"/>
  <c r="O10" i="4" s="1"/>
  <c r="I102" i="8" l="1" a="1"/>
  <c r="I102" i="8" s="1"/>
  <c r="C103" i="8" l="1"/>
  <c r="C104" i="8"/>
  <c r="C105" i="8"/>
  <c r="C106" i="8"/>
  <c r="J102" i="8"/>
  <c r="B52" i="8" l="1"/>
  <c r="B13" i="1"/>
  <c r="B164" i="10" l="1"/>
  <c r="C164" i="10"/>
  <c r="B165" i="10"/>
  <c r="C165" i="10"/>
  <c r="B166" i="10"/>
  <c r="C166" i="10"/>
  <c r="B167" i="10"/>
  <c r="C167" i="10"/>
  <c r="B168" i="10"/>
  <c r="C168" i="10"/>
  <c r="B169" i="10"/>
  <c r="C169" i="10"/>
  <c r="B170" i="10"/>
  <c r="C170" i="10"/>
  <c r="B204" i="10"/>
  <c r="C204" i="10"/>
  <c r="B205" i="10"/>
  <c r="C205" i="10"/>
  <c r="B206" i="10"/>
  <c r="C206" i="10"/>
  <c r="B207" i="10"/>
  <c r="C207" i="10"/>
  <c r="B208" i="10"/>
  <c r="C208" i="10"/>
  <c r="B209" i="10"/>
  <c r="C209" i="10"/>
  <c r="B210" i="10"/>
  <c r="C210" i="10"/>
  <c r="C115" i="3"/>
  <c r="N11" i="4" l="1"/>
  <c r="O11" i="4" s="1"/>
  <c r="N12" i="4"/>
  <c r="O12" i="4" s="1"/>
  <c r="N13" i="4"/>
  <c r="O13" i="4" s="1"/>
  <c r="N14" i="4"/>
  <c r="O14" i="4" s="1"/>
  <c r="N15" i="4"/>
  <c r="O15" i="4" s="1"/>
  <c r="N16" i="4"/>
  <c r="O16" i="4" s="1"/>
  <c r="N17" i="4"/>
  <c r="O17" i="4" s="1"/>
  <c r="N18" i="4"/>
  <c r="O18" i="4" s="1"/>
  <c r="N19" i="4"/>
  <c r="O19" i="4" s="1"/>
  <c r="N20" i="4"/>
  <c r="O20" i="4" s="1"/>
  <c r="N21" i="4"/>
  <c r="O21" i="4" s="1"/>
  <c r="N22" i="4"/>
  <c r="O22" i="4" s="1"/>
  <c r="N23" i="4"/>
  <c r="O23" i="4" s="1"/>
  <c r="N24" i="4"/>
  <c r="O24" i="4" s="1"/>
  <c r="N25" i="4"/>
  <c r="O25" i="4" s="1"/>
  <c r="N26" i="4"/>
  <c r="O26" i="4" s="1"/>
  <c r="N27" i="4"/>
  <c r="O27" i="4" s="1"/>
  <c r="N28" i="4"/>
  <c r="O28" i="4" s="1"/>
  <c r="N29" i="4"/>
  <c r="O29" i="4" s="1"/>
  <c r="N30" i="4"/>
  <c r="O30" i="4" s="1"/>
  <c r="N31" i="4"/>
  <c r="O31" i="4" s="1"/>
  <c r="N32" i="4"/>
  <c r="O32" i="4" s="1"/>
  <c r="N33" i="4"/>
  <c r="O33" i="4" s="1"/>
  <c r="N34" i="4"/>
  <c r="O34" i="4" s="1"/>
  <c r="N35" i="4"/>
  <c r="O35" i="4" s="1"/>
  <c r="N36" i="4"/>
  <c r="O36" i="4" s="1"/>
  <c r="N37" i="4"/>
  <c r="O37" i="4" s="1"/>
  <c r="N38" i="4"/>
  <c r="O38" i="4" s="1"/>
  <c r="N39" i="4"/>
  <c r="O39" i="4" s="1"/>
  <c r="N40" i="4"/>
  <c r="O40" i="4" s="1"/>
  <c r="N41" i="4"/>
  <c r="O41" i="4" s="1"/>
  <c r="N42" i="4"/>
  <c r="O42" i="4" s="1"/>
  <c r="N43" i="4"/>
  <c r="O43" i="4" s="1"/>
  <c r="N44" i="4"/>
  <c r="O44" i="4" s="1"/>
  <c r="N45" i="4"/>
  <c r="O45" i="4" s="1"/>
  <c r="N46" i="4"/>
  <c r="O46" i="4" s="1"/>
  <c r="N47" i="4"/>
  <c r="O47" i="4" s="1"/>
  <c r="N48" i="4"/>
  <c r="O48" i="4" s="1"/>
  <c r="N49" i="4"/>
  <c r="O49" i="4" s="1"/>
  <c r="N50" i="4"/>
  <c r="O50" i="4" s="1"/>
  <c r="N51" i="4"/>
  <c r="O51" i="4" s="1"/>
  <c r="N52" i="4"/>
  <c r="O52" i="4" s="1"/>
  <c r="N53" i="4"/>
  <c r="O53" i="4" s="1"/>
  <c r="N54" i="4"/>
  <c r="O54" i="4" s="1"/>
  <c r="N55" i="4"/>
  <c r="O55" i="4" s="1"/>
  <c r="N56" i="4"/>
  <c r="O56" i="4" s="1"/>
  <c r="N57" i="4"/>
  <c r="O57" i="4" s="1"/>
  <c r="N58" i="4"/>
  <c r="O58" i="4" s="1"/>
  <c r="N59" i="4"/>
  <c r="O59" i="4" s="1"/>
  <c r="N60" i="4"/>
  <c r="O60" i="4" s="1"/>
  <c r="N61" i="4"/>
  <c r="O61" i="4" s="1"/>
  <c r="N62" i="4"/>
  <c r="O62" i="4" s="1"/>
  <c r="N63" i="4"/>
  <c r="O63" i="4" s="1"/>
  <c r="N64" i="4"/>
  <c r="O64" i="4" s="1"/>
  <c r="N65" i="4"/>
  <c r="O65" i="4" s="1"/>
  <c r="N66" i="4"/>
  <c r="O66" i="4" s="1"/>
  <c r="N67" i="4"/>
  <c r="O67" i="4" s="1"/>
  <c r="N68" i="4"/>
  <c r="O68" i="4" s="1"/>
  <c r="N69" i="4"/>
  <c r="O69" i="4" s="1"/>
  <c r="N70" i="4"/>
  <c r="O70" i="4" s="1"/>
  <c r="N71" i="4"/>
  <c r="O71" i="4" s="1"/>
  <c r="N72" i="4"/>
  <c r="O72" i="4" s="1"/>
  <c r="N73" i="4"/>
  <c r="O73" i="4" s="1"/>
  <c r="N74" i="4"/>
  <c r="O74" i="4" s="1"/>
  <c r="N75" i="4"/>
  <c r="O75" i="4" s="1"/>
  <c r="N76" i="4"/>
  <c r="O76" i="4" s="1"/>
  <c r="N77" i="4"/>
  <c r="O77" i="4" s="1"/>
  <c r="N78" i="4"/>
  <c r="O78" i="4" s="1"/>
  <c r="N79" i="4"/>
  <c r="O79" i="4" s="1"/>
  <c r="N80" i="4"/>
  <c r="O80" i="4" s="1"/>
  <c r="N81" i="4"/>
  <c r="O81" i="4" s="1"/>
  <c r="N82" i="4"/>
  <c r="O82" i="4" s="1"/>
  <c r="N83" i="4"/>
  <c r="O83" i="4" s="1"/>
  <c r="N84" i="4"/>
  <c r="O84" i="4" s="1"/>
  <c r="N85" i="4"/>
  <c r="O85" i="4" s="1"/>
  <c r="N86" i="4"/>
  <c r="O86" i="4" s="1"/>
  <c r="D10" i="4"/>
  <c r="B48" i="8"/>
  <c r="B42" i="16" l="1"/>
  <c r="F42" i="16"/>
  <c r="V142" i="10"/>
  <c r="U142" i="10"/>
  <c r="A143" i="10" a="1"/>
  <c r="A143" i="10" s="1"/>
  <c r="C142" i="10" l="1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B142" i="10"/>
  <c r="C75" i="3"/>
  <c r="B55" i="8"/>
  <c r="B75" i="3" l="1"/>
  <c r="F52" i="3" l="1"/>
  <c r="G129" i="8"/>
  <c r="H130" i="8"/>
  <c r="J130" i="8" s="1"/>
  <c r="E130" i="8"/>
  <c r="E129" i="8"/>
  <c r="P46" i="4"/>
  <c r="H45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6" i="4"/>
  <c r="C97" i="10" l="1"/>
  <c r="D97" i="10"/>
  <c r="E97" i="10"/>
  <c r="B97" i="10"/>
  <c r="C171" i="9" l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C189" i="9" s="1"/>
  <c r="C190" i="9" s="1"/>
  <c r="C191" i="9" s="1"/>
  <c r="C192" i="9" s="1"/>
  <c r="C193" i="9" s="1"/>
  <c r="C194" i="9" s="1"/>
  <c r="C195" i="9" s="1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C209" i="9" s="1"/>
  <c r="B170" i="9"/>
  <c r="A170" i="9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D209" i="9" s="1"/>
  <c r="A169" i="9"/>
  <c r="D169" i="9" s="1"/>
  <c r="D170" i="9" l="1"/>
  <c r="D178" i="9"/>
  <c r="D186" i="9"/>
  <c r="D194" i="9"/>
  <c r="D202" i="9"/>
  <c r="D171" i="9"/>
  <c r="D179" i="9"/>
  <c r="D187" i="9"/>
  <c r="D195" i="9"/>
  <c r="D203" i="9"/>
  <c r="D172" i="9"/>
  <c r="D180" i="9"/>
  <c r="D188" i="9"/>
  <c r="D196" i="9"/>
  <c r="D204" i="9"/>
  <c r="D173" i="9"/>
  <c r="D181" i="9"/>
  <c r="D189" i="9"/>
  <c r="D197" i="9"/>
  <c r="D205" i="9"/>
  <c r="D174" i="9"/>
  <c r="D182" i="9"/>
  <c r="D190" i="9"/>
  <c r="D198" i="9"/>
  <c r="D206" i="9"/>
  <c r="D175" i="9"/>
  <c r="D183" i="9"/>
  <c r="D191" i="9"/>
  <c r="D199" i="9"/>
  <c r="D207" i="9"/>
  <c r="D176" i="9"/>
  <c r="D184" i="9"/>
  <c r="D192" i="9"/>
  <c r="D200" i="9"/>
  <c r="D208" i="9"/>
  <c r="D177" i="9"/>
  <c r="D185" i="9"/>
  <c r="D193" i="9"/>
  <c r="D201" i="9"/>
  <c r="F121" i="8" l="1"/>
  <c r="F117" i="8"/>
  <c r="F17" i="3"/>
  <c r="F38" i="3"/>
  <c r="F53" i="3"/>
  <c r="F122" i="8" l="1"/>
  <c r="F117" i="3"/>
  <c r="F116" i="3"/>
  <c r="F115" i="3"/>
  <c r="F95" i="3"/>
  <c r="F75" i="3"/>
  <c r="F74" i="3"/>
  <c r="F73" i="3"/>
  <c r="F51" i="3"/>
  <c r="F16" i="3"/>
  <c r="F15" i="3"/>
  <c r="C22" i="3"/>
  <c r="E133" i="1"/>
  <c r="E103" i="1"/>
  <c r="G162" i="9" l="1"/>
  <c r="F162" i="9"/>
  <c r="E162" i="9"/>
  <c r="D162" i="9"/>
  <c r="C162" i="9"/>
  <c r="B162" i="9"/>
  <c r="B73" i="9"/>
  <c r="B67" i="9"/>
  <c r="B66" i="9"/>
  <c r="C21" i="9"/>
  <c r="T20" i="9"/>
  <c r="L20" i="9" a="1"/>
  <c r="L20" i="9" s="1"/>
  <c r="J20" i="9"/>
  <c r="B20" i="9"/>
  <c r="A20" i="9"/>
  <c r="T19" i="9"/>
  <c r="L19" i="9" a="1"/>
  <c r="L19" i="9" s="1"/>
  <c r="A19" i="9"/>
  <c r="F14" i="9"/>
  <c r="B127" i="3"/>
  <c r="C116" i="3"/>
  <c r="G96" i="3"/>
  <c r="H83" i="3"/>
  <c r="G80" i="3"/>
  <c r="F80" i="3"/>
  <c r="C80" i="3"/>
  <c r="H61" i="3"/>
  <c r="G58" i="3"/>
  <c r="F58" i="3"/>
  <c r="C58" i="3"/>
  <c r="G20" i="9" l="1" a="1"/>
  <c r="G20" i="9" s="1"/>
  <c r="H73" i="9"/>
  <c r="A21" i="9"/>
  <c r="A22" i="9" s="1"/>
  <c r="U73" i="9"/>
  <c r="T73" i="9"/>
  <c r="D20" i="9"/>
  <c r="D19" i="9"/>
  <c r="T21" i="9"/>
  <c r="V73" i="9"/>
  <c r="N73" i="9"/>
  <c r="F73" i="9"/>
  <c r="W73" i="9"/>
  <c r="M73" i="9"/>
  <c r="D73" i="9"/>
  <c r="S73" i="9"/>
  <c r="I73" i="9"/>
  <c r="R73" i="9"/>
  <c r="G73" i="9"/>
  <c r="Q73" i="9"/>
  <c r="E73" i="9"/>
  <c r="P73" i="9"/>
  <c r="C73" i="9"/>
  <c r="O73" i="9"/>
  <c r="L73" i="9"/>
  <c r="J21" i="9"/>
  <c r="C22" i="9"/>
  <c r="J73" i="9"/>
  <c r="L21" i="9" a="1"/>
  <c r="L21" i="9" s="1"/>
  <c r="K73" i="9"/>
  <c r="C83" i="3"/>
  <c r="C61" i="3"/>
  <c r="E127" i="3" l="1"/>
  <c r="G21" i="9" a="1"/>
  <c r="G21" i="9" s="1"/>
  <c r="D21" i="9"/>
  <c r="D22" i="9"/>
  <c r="A23" i="9"/>
  <c r="G22" i="9" a="1"/>
  <c r="G22" i="9" s="1"/>
  <c r="T22" i="9"/>
  <c r="J22" i="9"/>
  <c r="C23" i="9"/>
  <c r="L22" i="9" a="1"/>
  <c r="L22" i="9" s="1"/>
  <c r="C117" i="3" l="1"/>
  <c r="H137" i="3"/>
  <c r="L23" i="9" a="1"/>
  <c r="L23" i="9" s="1"/>
  <c r="T23" i="9"/>
  <c r="J23" i="9"/>
  <c r="C24" i="9"/>
  <c r="G23" i="9" a="1"/>
  <c r="G23" i="9" s="1"/>
  <c r="D23" i="9"/>
  <c r="A24" i="9"/>
  <c r="J24" i="9" l="1"/>
  <c r="C25" i="9"/>
  <c r="L24" i="9" a="1"/>
  <c r="L24" i="9" s="1"/>
  <c r="T24" i="9"/>
  <c r="A25" i="9"/>
  <c r="G24" i="9" a="1"/>
  <c r="G24" i="9" s="1"/>
  <c r="D24" i="9"/>
  <c r="D25" i="9" l="1"/>
  <c r="G25" i="9" a="1"/>
  <c r="G25" i="9" s="1"/>
  <c r="A26" i="9"/>
  <c r="L25" i="9" a="1"/>
  <c r="L25" i="9" s="1"/>
  <c r="J25" i="9"/>
  <c r="T25" i="9"/>
  <c r="C26" i="9"/>
  <c r="L26" i="9" l="1" a="1"/>
  <c r="L26" i="9" s="1"/>
  <c r="C27" i="9"/>
  <c r="J26" i="9"/>
  <c r="T26" i="9"/>
  <c r="A27" i="9"/>
  <c r="D26" i="9"/>
  <c r="G26" i="9" a="1"/>
  <c r="G26" i="9" s="1"/>
  <c r="C28" i="9" l="1"/>
  <c r="L27" i="9" a="1"/>
  <c r="L27" i="9" s="1"/>
  <c r="J27" i="9"/>
  <c r="T27" i="9"/>
  <c r="A28" i="9"/>
  <c r="G27" i="9" a="1"/>
  <c r="G27" i="9" s="1"/>
  <c r="D27" i="9"/>
  <c r="D28" i="9" l="1"/>
  <c r="G28" i="9" a="1"/>
  <c r="G28" i="9" s="1"/>
  <c r="A29" i="9"/>
  <c r="T28" i="9"/>
  <c r="L28" i="9" a="1"/>
  <c r="L28" i="9" s="1"/>
  <c r="C29" i="9"/>
  <c r="J28" i="9"/>
  <c r="C30" i="9" l="1"/>
  <c r="J29" i="9"/>
  <c r="L29" i="9" a="1"/>
  <c r="L29" i="9" s="1"/>
  <c r="T29" i="9"/>
  <c r="G29" i="9" a="1"/>
  <c r="G29" i="9" s="1"/>
  <c r="A30" i="9"/>
  <c r="D29" i="9"/>
  <c r="A31" i="9" l="1"/>
  <c r="D30" i="9"/>
  <c r="G30" i="9" a="1"/>
  <c r="G30" i="9" s="1"/>
  <c r="T30" i="9"/>
  <c r="J30" i="9"/>
  <c r="C31" i="9"/>
  <c r="L30" i="9" a="1"/>
  <c r="L30" i="9" s="1"/>
  <c r="L31" i="9" l="1" a="1"/>
  <c r="L31" i="9" s="1"/>
  <c r="T31" i="9"/>
  <c r="C32" i="9"/>
  <c r="J31" i="9"/>
  <c r="G31" i="9" a="1"/>
  <c r="G31" i="9" s="1"/>
  <c r="D31" i="9"/>
  <c r="A32" i="9"/>
  <c r="A33" i="9" l="1"/>
  <c r="G32" i="9" a="1"/>
  <c r="G32" i="9" s="1"/>
  <c r="D32" i="9"/>
  <c r="J32" i="9"/>
  <c r="C33" i="9"/>
  <c r="T32" i="9"/>
  <c r="L32" i="9" a="1"/>
  <c r="L32" i="9" s="1"/>
  <c r="D33" i="9" l="1"/>
  <c r="A34" i="9"/>
  <c r="G33" i="9" a="1"/>
  <c r="G33" i="9" s="1"/>
  <c r="L33" i="9" a="1"/>
  <c r="L33" i="9" s="1"/>
  <c r="J33" i="9"/>
  <c r="C34" i="9"/>
  <c r="T33" i="9"/>
  <c r="A35" i="9" l="1"/>
  <c r="D34" i="9"/>
  <c r="G34" i="9" a="1"/>
  <c r="G34" i="9" s="1"/>
  <c r="L34" i="9" a="1"/>
  <c r="L34" i="9" s="1"/>
  <c r="T34" i="9"/>
  <c r="J34" i="9"/>
  <c r="C35" i="9"/>
  <c r="C36" i="9" l="1"/>
  <c r="J35" i="9"/>
  <c r="T35" i="9"/>
  <c r="L35" i="9" a="1"/>
  <c r="L35" i="9" s="1"/>
  <c r="A36" i="9"/>
  <c r="G35" i="9" a="1"/>
  <c r="G35" i="9" s="1"/>
  <c r="D35" i="9"/>
  <c r="D36" i="9" l="1"/>
  <c r="G36" i="9" a="1"/>
  <c r="G36" i="9" s="1"/>
  <c r="A37" i="9"/>
  <c r="T36" i="9"/>
  <c r="J36" i="9"/>
  <c r="L36" i="9" a="1"/>
  <c r="L36" i="9" s="1"/>
  <c r="C37" i="9"/>
  <c r="C38" i="9" l="1"/>
  <c r="L37" i="9" a="1"/>
  <c r="L37" i="9" s="1"/>
  <c r="J37" i="9"/>
  <c r="T37" i="9"/>
  <c r="G37" i="9" a="1"/>
  <c r="G37" i="9" s="1"/>
  <c r="D37" i="9"/>
  <c r="A38" i="9"/>
  <c r="T38" i="9" l="1"/>
  <c r="J38" i="9"/>
  <c r="C39" i="9"/>
  <c r="L38" i="9" a="1"/>
  <c r="L38" i="9" s="1"/>
  <c r="A39" i="9"/>
  <c r="G38" i="9" a="1"/>
  <c r="G38" i="9" s="1"/>
  <c r="D38" i="9"/>
  <c r="L39" i="9" l="1" a="1"/>
  <c r="L39" i="9" s="1"/>
  <c r="T39" i="9"/>
  <c r="J39" i="9"/>
  <c r="C40" i="9"/>
  <c r="A40" i="9"/>
  <c r="G39" i="9" a="1"/>
  <c r="G39" i="9" s="1"/>
  <c r="D39" i="9"/>
  <c r="G40" i="9" l="1" a="1"/>
  <c r="G40" i="9" s="1"/>
  <c r="A41" i="9"/>
  <c r="D40" i="9"/>
  <c r="C41" i="9"/>
  <c r="T40" i="9"/>
  <c r="L40" i="9" a="1"/>
  <c r="L40" i="9" s="1"/>
  <c r="J40" i="9"/>
  <c r="C42" i="9" l="1"/>
  <c r="L41" i="9" a="1"/>
  <c r="L41" i="9" s="1"/>
  <c r="J41" i="9"/>
  <c r="T41" i="9"/>
  <c r="G41" i="9" a="1"/>
  <c r="G41" i="9" s="1"/>
  <c r="A42" i="9"/>
  <c r="D41" i="9"/>
  <c r="C43" i="9" l="1"/>
  <c r="L42" i="9" a="1"/>
  <c r="L42" i="9" s="1"/>
  <c r="T42" i="9"/>
  <c r="J42" i="9"/>
  <c r="A43" i="9"/>
  <c r="G42" i="9" a="1"/>
  <c r="G42" i="9" s="1"/>
  <c r="D42" i="9"/>
  <c r="G43" i="9" l="1" a="1"/>
  <c r="G43" i="9" s="1"/>
  <c r="A44" i="9"/>
  <c r="D43" i="9"/>
  <c r="T43" i="9"/>
  <c r="L43" i="9" a="1"/>
  <c r="L43" i="9" s="1"/>
  <c r="J43" i="9"/>
  <c r="C44" i="9"/>
  <c r="G44" i="9" l="1" a="1"/>
  <c r="G44" i="9" s="1"/>
  <c r="A45" i="9"/>
  <c r="D44" i="9"/>
  <c r="J44" i="9"/>
  <c r="C45" i="9"/>
  <c r="T44" i="9"/>
  <c r="L44" i="9" a="1"/>
  <c r="L44" i="9" s="1"/>
  <c r="J45" i="9" l="1"/>
  <c r="C46" i="9"/>
  <c r="L45" i="9" a="1"/>
  <c r="L45" i="9" s="1"/>
  <c r="T45" i="9"/>
  <c r="G45" i="9" a="1"/>
  <c r="G45" i="9" s="1"/>
  <c r="A46" i="9"/>
  <c r="D45" i="9"/>
  <c r="D46" i="9" l="1"/>
  <c r="G46" i="9" a="1"/>
  <c r="G46" i="9" s="1"/>
  <c r="A47" i="9"/>
  <c r="L46" i="9" a="1"/>
  <c r="L46" i="9" s="1"/>
  <c r="T46" i="9"/>
  <c r="J46" i="9"/>
  <c r="C47" i="9"/>
  <c r="T47" i="9" l="1"/>
  <c r="J47" i="9"/>
  <c r="C48" i="9"/>
  <c r="L47" i="9" a="1"/>
  <c r="L47" i="9" s="1"/>
  <c r="A48" i="9"/>
  <c r="G47" i="9" a="1"/>
  <c r="G47" i="9" s="1"/>
  <c r="D47" i="9"/>
  <c r="C49" i="9" l="1"/>
  <c r="L48" i="9" a="1"/>
  <c r="L48" i="9" s="1"/>
  <c r="T48" i="9"/>
  <c r="J48" i="9"/>
  <c r="G48" i="9" a="1"/>
  <c r="G48" i="9" s="1"/>
  <c r="A49" i="9"/>
  <c r="D48" i="9"/>
  <c r="A50" i="9" l="1"/>
  <c r="D49" i="9"/>
  <c r="G49" i="9" a="1"/>
  <c r="G49" i="9" s="1"/>
  <c r="L49" i="9" a="1"/>
  <c r="L49" i="9" s="1"/>
  <c r="T49" i="9"/>
  <c r="J49" i="9"/>
  <c r="C50" i="9"/>
  <c r="G50" i="9" l="1" a="1"/>
  <c r="G50" i="9" s="1"/>
  <c r="D50" i="9"/>
  <c r="A51" i="9"/>
  <c r="C51" i="9"/>
  <c r="T50" i="9"/>
  <c r="J50" i="9"/>
  <c r="L50" i="9" a="1"/>
  <c r="L50" i="9" s="1"/>
  <c r="G51" i="9" l="1" a="1"/>
  <c r="G51" i="9" s="1"/>
  <c r="A52" i="9"/>
  <c r="D51" i="9"/>
  <c r="T51" i="9"/>
  <c r="C52" i="9"/>
  <c r="J51" i="9"/>
  <c r="L51" i="9" a="1"/>
  <c r="L51" i="9" s="1"/>
  <c r="C53" i="9" l="1"/>
  <c r="L52" i="9" a="1"/>
  <c r="L52" i="9" s="1"/>
  <c r="T52" i="9"/>
  <c r="J52" i="9"/>
  <c r="G52" i="9" a="1"/>
  <c r="G52" i="9" s="1"/>
  <c r="A53" i="9"/>
  <c r="D52" i="9"/>
  <c r="J53" i="9" l="1"/>
  <c r="L53" i="9" a="1"/>
  <c r="L53" i="9" s="1"/>
  <c r="T53" i="9"/>
  <c r="C54" i="9"/>
  <c r="G53" i="9" a="1"/>
  <c r="G53" i="9" s="1"/>
  <c r="A54" i="9"/>
  <c r="D53" i="9"/>
  <c r="L54" i="9" l="1" a="1"/>
  <c r="L54" i="9" s="1"/>
  <c r="J54" i="9"/>
  <c r="C55" i="9"/>
  <c r="T54" i="9"/>
  <c r="D54" i="9"/>
  <c r="G54" i="9" a="1"/>
  <c r="G54" i="9" s="1"/>
  <c r="A55" i="9"/>
  <c r="C56" i="9" l="1"/>
  <c r="L55" i="9" a="1"/>
  <c r="L55" i="9" s="1"/>
  <c r="T55" i="9"/>
  <c r="J55" i="9"/>
  <c r="A56" i="9"/>
  <c r="G55" i="9" a="1"/>
  <c r="G55" i="9" s="1"/>
  <c r="D55" i="9"/>
  <c r="L56" i="9" l="1" a="1"/>
  <c r="L56" i="9" s="1"/>
  <c r="T56" i="9"/>
  <c r="J56" i="9"/>
  <c r="C57" i="9"/>
  <c r="D56" i="9"/>
  <c r="A57" i="9"/>
  <c r="G56" i="9" a="1"/>
  <c r="G56" i="9" s="1"/>
  <c r="G57" i="9" l="1" a="1"/>
  <c r="G57" i="9" s="1"/>
  <c r="A58" i="9"/>
  <c r="D57" i="9"/>
  <c r="C58" i="9"/>
  <c r="T57" i="9"/>
  <c r="J57" i="9"/>
  <c r="L57" i="9" a="1"/>
  <c r="L57" i="9" s="1"/>
  <c r="G58" i="9" l="1" a="1"/>
  <c r="G58" i="9" s="1"/>
  <c r="D58" i="9"/>
  <c r="A59" i="9"/>
  <c r="J58" i="9"/>
  <c r="L58" i="9" a="1"/>
  <c r="L58" i="9" s="1"/>
  <c r="T58" i="9"/>
  <c r="C59" i="9"/>
  <c r="D59" i="9" l="1"/>
  <c r="G59" i="9" a="1"/>
  <c r="G59" i="9" s="1"/>
  <c r="J59" i="9"/>
  <c r="H25" i="3" l="1"/>
  <c r="G22" i="3"/>
  <c r="F22" i="3"/>
  <c r="B47" i="8"/>
  <c r="F127" i="3" s="1"/>
  <c r="B46" i="8"/>
  <c r="B5" i="8"/>
  <c r="B39" i="16" l="1"/>
  <c r="F39" i="16"/>
  <c r="B40" i="16"/>
  <c r="B41" i="16"/>
  <c r="F41" i="16"/>
  <c r="F40" i="16"/>
  <c r="B49" i="8"/>
  <c r="J88" i="3" s="1"/>
  <c r="B53" i="8"/>
  <c r="B108" i="3" s="1"/>
  <c r="H129" i="8"/>
  <c r="F130" i="8"/>
  <c r="R7" i="4"/>
  <c r="R15" i="4"/>
  <c r="R23" i="4"/>
  <c r="R31" i="4"/>
  <c r="R39" i="4"/>
  <c r="R47" i="4"/>
  <c r="R55" i="4"/>
  <c r="R63" i="4"/>
  <c r="R71" i="4"/>
  <c r="R79" i="4"/>
  <c r="R87" i="4"/>
  <c r="R95" i="4"/>
  <c r="R103" i="4"/>
  <c r="R111" i="4"/>
  <c r="R119" i="4"/>
  <c r="R127" i="4"/>
  <c r="R135" i="4"/>
  <c r="R143" i="4"/>
  <c r="R51" i="4"/>
  <c r="R115" i="4"/>
  <c r="R45" i="4"/>
  <c r="R101" i="4"/>
  <c r="R78" i="4"/>
  <c r="R8" i="4"/>
  <c r="R16" i="4"/>
  <c r="R24" i="4"/>
  <c r="R32" i="4"/>
  <c r="R40" i="4"/>
  <c r="R48" i="4"/>
  <c r="R56" i="4"/>
  <c r="R64" i="4"/>
  <c r="R72" i="4"/>
  <c r="R80" i="4"/>
  <c r="R88" i="4"/>
  <c r="R96" i="4"/>
  <c r="R104" i="4"/>
  <c r="R112" i="4"/>
  <c r="R120" i="4"/>
  <c r="R128" i="4"/>
  <c r="R136" i="4"/>
  <c r="R144" i="4"/>
  <c r="R19" i="4"/>
  <c r="R131" i="4"/>
  <c r="R21" i="4"/>
  <c r="R117" i="4"/>
  <c r="R134" i="4"/>
  <c r="R9" i="4"/>
  <c r="R17" i="4"/>
  <c r="R25" i="4"/>
  <c r="R33" i="4"/>
  <c r="R41" i="4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35" i="4"/>
  <c r="R99" i="4"/>
  <c r="R123" i="4"/>
  <c r="R37" i="4"/>
  <c r="R77" i="4"/>
  <c r="R133" i="4"/>
  <c r="R102" i="4"/>
  <c r="R10" i="4"/>
  <c r="R18" i="4"/>
  <c r="R26" i="4"/>
  <c r="R34" i="4"/>
  <c r="R42" i="4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43" i="4"/>
  <c r="R91" i="4"/>
  <c r="R139" i="4"/>
  <c r="R29" i="4"/>
  <c r="R85" i="4"/>
  <c r="R141" i="4"/>
  <c r="R94" i="4"/>
  <c r="R11" i="4"/>
  <c r="R27" i="4"/>
  <c r="R59" i="4"/>
  <c r="R67" i="4"/>
  <c r="R75" i="4"/>
  <c r="R83" i="4"/>
  <c r="R107" i="4"/>
  <c r="R6" i="4"/>
  <c r="R53" i="4"/>
  <c r="R125" i="4"/>
  <c r="R110" i="4"/>
  <c r="R12" i="4"/>
  <c r="R20" i="4"/>
  <c r="R28" i="4"/>
  <c r="R36" i="4"/>
  <c r="R44" i="4"/>
  <c r="R52" i="4"/>
  <c r="R60" i="4"/>
  <c r="R68" i="4"/>
  <c r="R76" i="4"/>
  <c r="R84" i="4"/>
  <c r="R92" i="4"/>
  <c r="R100" i="4"/>
  <c r="R108" i="4"/>
  <c r="R116" i="4"/>
  <c r="R124" i="4"/>
  <c r="R132" i="4"/>
  <c r="R140" i="4"/>
  <c r="R61" i="4"/>
  <c r="R109" i="4"/>
  <c r="R86" i="4"/>
  <c r="R13" i="4"/>
  <c r="R69" i="4"/>
  <c r="R93" i="4"/>
  <c r="R118" i="4"/>
  <c r="R14" i="4"/>
  <c r="R22" i="4"/>
  <c r="R30" i="4"/>
  <c r="R38" i="4"/>
  <c r="R46" i="4"/>
  <c r="R54" i="4"/>
  <c r="R62" i="4"/>
  <c r="R70" i="4"/>
  <c r="R126" i="4"/>
  <c r="R142" i="4"/>
  <c r="B46" i="3"/>
  <c r="C25" i="3"/>
  <c r="B11" i="3" l="1"/>
  <c r="B22" i="3" s="1"/>
  <c r="B32" i="3"/>
  <c r="G130" i="8"/>
  <c r="B68" i="3"/>
  <c r="D80" i="3" s="1"/>
  <c r="E80" i="3" s="1"/>
  <c r="H80" i="3" s="1"/>
  <c r="C73" i="3" s="1"/>
  <c r="B90" i="3"/>
  <c r="J129" i="8"/>
  <c r="B80" i="3"/>
  <c r="B58" i="3"/>
  <c r="D58" i="3"/>
  <c r="E58" i="3" s="1"/>
  <c r="H58" i="3" s="1"/>
  <c r="C51" i="3" s="1"/>
  <c r="D61" i="3"/>
  <c r="D25" i="3"/>
  <c r="B25" i="3" s="1"/>
  <c r="D22" i="3"/>
  <c r="E22" i="3" s="1"/>
  <c r="H22" i="3" s="1"/>
  <c r="C15" i="3" s="1"/>
  <c r="D83" i="3" l="1"/>
  <c r="E61" i="3"/>
  <c r="F61" i="3" s="1"/>
  <c r="G61" i="3" s="1"/>
  <c r="I61" i="3" s="1"/>
  <c r="C52" i="3" s="1"/>
  <c r="B61" i="3"/>
  <c r="E83" i="3"/>
  <c r="B83" i="3"/>
  <c r="E25" i="3"/>
  <c r="F83" i="3" l="1"/>
  <c r="G83" i="3" s="1"/>
  <c r="I83" i="3" s="1"/>
  <c r="C74" i="3" s="1"/>
  <c r="F25" i="3"/>
  <c r="G25" i="3" s="1"/>
  <c r="I25" i="3" s="1"/>
  <c r="C16" i="3" s="1"/>
  <c r="C117" i="1" l="1"/>
  <c r="B48" i="1"/>
  <c r="B6" i="1" l="1"/>
  <c r="B49" i="1" l="1"/>
  <c r="B47" i="1"/>
  <c r="B46" i="1"/>
  <c r="B96" i="1"/>
  <c r="B7" i="1"/>
  <c r="D7" i="1"/>
  <c r="D146" i="4"/>
  <c r="E146" i="4" s="1"/>
  <c r="D145" i="4"/>
  <c r="E145" i="4" s="1"/>
  <c r="D144" i="4"/>
  <c r="E144" i="4" s="1"/>
  <c r="D143" i="4"/>
  <c r="E143" i="4" s="1"/>
  <c r="D142" i="4"/>
  <c r="E142" i="4" s="1"/>
  <c r="D141" i="4"/>
  <c r="E141" i="4" s="1"/>
  <c r="D140" i="4"/>
  <c r="E140" i="4" s="1"/>
  <c r="D139" i="4"/>
  <c r="E139" i="4" s="1"/>
  <c r="D138" i="4"/>
  <c r="E138" i="4" s="1"/>
  <c r="D137" i="4"/>
  <c r="E137" i="4" s="1"/>
  <c r="D136" i="4"/>
  <c r="E136" i="4" s="1"/>
  <c r="D135" i="4"/>
  <c r="E135" i="4" s="1"/>
  <c r="D134" i="4"/>
  <c r="E134" i="4" s="1"/>
  <c r="D133" i="4"/>
  <c r="E133" i="4" s="1"/>
  <c r="D132" i="4"/>
  <c r="E132" i="4" s="1"/>
  <c r="D131" i="4"/>
  <c r="E131" i="4" s="1"/>
  <c r="D130" i="4"/>
  <c r="E130" i="4" s="1"/>
  <c r="D129" i="4"/>
  <c r="E129" i="4" s="1"/>
  <c r="D128" i="4"/>
  <c r="E128" i="4" s="1"/>
  <c r="D127" i="4"/>
  <c r="E127" i="4" s="1"/>
  <c r="D126" i="4"/>
  <c r="E126" i="4" s="1"/>
  <c r="D125" i="4"/>
  <c r="E125" i="4" s="1"/>
  <c r="D124" i="4"/>
  <c r="E124" i="4" s="1"/>
  <c r="D123" i="4"/>
  <c r="E123" i="4" s="1"/>
  <c r="D122" i="4"/>
  <c r="E122" i="4" s="1"/>
  <c r="D121" i="4"/>
  <c r="E121" i="4" s="1"/>
  <c r="D120" i="4"/>
  <c r="E120" i="4" s="1"/>
  <c r="D119" i="4"/>
  <c r="E119" i="4" s="1"/>
  <c r="D118" i="4"/>
  <c r="E118" i="4" s="1"/>
  <c r="D117" i="4"/>
  <c r="E117" i="4" s="1"/>
  <c r="D116" i="4"/>
  <c r="E116" i="4" s="1"/>
  <c r="D115" i="4"/>
  <c r="E115" i="4" s="1"/>
  <c r="D114" i="4"/>
  <c r="E114" i="4" s="1"/>
  <c r="D113" i="4"/>
  <c r="E113" i="4" s="1"/>
  <c r="D112" i="4"/>
  <c r="E112" i="4" s="1"/>
  <c r="D111" i="4"/>
  <c r="E111" i="4" s="1"/>
  <c r="E110" i="4"/>
  <c r="D110" i="4"/>
  <c r="E109" i="4"/>
  <c r="D109" i="4"/>
  <c r="D108" i="4"/>
  <c r="E108" i="4" s="1"/>
  <c r="D107" i="4"/>
  <c r="E107" i="4" s="1"/>
  <c r="D106" i="4"/>
  <c r="E106" i="4" s="1"/>
  <c r="D105" i="4"/>
  <c r="E105" i="4" s="1"/>
  <c r="D104" i="4"/>
  <c r="E104" i="4" s="1"/>
  <c r="D103" i="4"/>
  <c r="E103" i="4" s="1"/>
  <c r="D102" i="4"/>
  <c r="E102" i="4" s="1"/>
  <c r="D101" i="4"/>
  <c r="E101" i="4" s="1"/>
  <c r="D100" i="4"/>
  <c r="E100" i="4" s="1"/>
  <c r="D99" i="4"/>
  <c r="E99" i="4" s="1"/>
  <c r="D98" i="4"/>
  <c r="E98" i="4" s="1"/>
  <c r="D97" i="4"/>
  <c r="E97" i="4" s="1"/>
  <c r="D96" i="4"/>
  <c r="E96" i="4" s="1"/>
  <c r="D95" i="4"/>
  <c r="E95" i="4" s="1"/>
  <c r="D94" i="4"/>
  <c r="E94" i="4" s="1"/>
  <c r="D93" i="4"/>
  <c r="E93" i="4" s="1"/>
  <c r="D92" i="4"/>
  <c r="E92" i="4" s="1"/>
  <c r="D91" i="4"/>
  <c r="E91" i="4" s="1"/>
  <c r="D90" i="4"/>
  <c r="E90" i="4" s="1"/>
  <c r="D89" i="4"/>
  <c r="E89" i="4" s="1"/>
  <c r="D88" i="4"/>
  <c r="E88" i="4" s="1"/>
  <c r="D87" i="4"/>
  <c r="D86" i="4"/>
  <c r="E86" i="4" s="1"/>
  <c r="D85" i="4"/>
  <c r="E85" i="4" s="1"/>
  <c r="D84" i="4"/>
  <c r="D83" i="4"/>
  <c r="E83" i="4" s="1"/>
  <c r="D82" i="4"/>
  <c r="E82" i="4" s="1"/>
  <c r="D81" i="4"/>
  <c r="E81" i="4" s="1"/>
  <c r="D80" i="4"/>
  <c r="D79" i="4"/>
  <c r="E79" i="4" s="1"/>
  <c r="D78" i="4"/>
  <c r="E78" i="4" s="1"/>
  <c r="D77" i="4"/>
  <c r="E77" i="4" s="1"/>
  <c r="D76" i="4"/>
  <c r="D75" i="4"/>
  <c r="E75" i="4" s="1"/>
  <c r="D74" i="4"/>
  <c r="E74" i="4" s="1"/>
  <c r="D73" i="4"/>
  <c r="E73" i="4" s="1"/>
  <c r="D72" i="4"/>
  <c r="D71" i="4"/>
  <c r="E71" i="4" s="1"/>
  <c r="D70" i="4"/>
  <c r="E70" i="4" s="1"/>
  <c r="D69" i="4"/>
  <c r="E69" i="4" s="1"/>
  <c r="D68" i="4"/>
  <c r="D67" i="4"/>
  <c r="E67" i="4" s="1"/>
  <c r="D66" i="4"/>
  <c r="E66" i="4" s="1"/>
  <c r="D65" i="4"/>
  <c r="E65" i="4" s="1"/>
  <c r="D64" i="4"/>
  <c r="E64" i="4" s="1"/>
  <c r="D63" i="4"/>
  <c r="E63" i="4" s="1"/>
  <c r="D62" i="4"/>
  <c r="E62" i="4" s="1"/>
  <c r="D61" i="4"/>
  <c r="E61" i="4" s="1"/>
  <c r="D60" i="4"/>
  <c r="E60" i="4" s="1"/>
  <c r="D59" i="4"/>
  <c r="E59" i="4" s="1"/>
  <c r="D58" i="4"/>
  <c r="E58" i="4" s="1"/>
  <c r="D57" i="4"/>
  <c r="E57" i="4" s="1"/>
  <c r="D56" i="4"/>
  <c r="E56" i="4" s="1"/>
  <c r="D55" i="4"/>
  <c r="E55" i="4" s="1"/>
  <c r="D54" i="4"/>
  <c r="E54" i="4" s="1"/>
  <c r="D53" i="4"/>
  <c r="E53" i="4" s="1"/>
  <c r="D52" i="4"/>
  <c r="E52" i="4" s="1"/>
  <c r="D51" i="4"/>
  <c r="E51" i="4" s="1"/>
  <c r="D50" i="4"/>
  <c r="D49" i="4"/>
  <c r="E49" i="4" s="1"/>
  <c r="D48" i="4"/>
  <c r="E48" i="4" s="1"/>
  <c r="D47" i="4"/>
  <c r="D46" i="4"/>
  <c r="E46" i="4" s="1"/>
  <c r="D45" i="4"/>
  <c r="E45" i="4" s="1"/>
  <c r="D44" i="4"/>
  <c r="D43" i="4"/>
  <c r="E43" i="4" s="1"/>
  <c r="D42" i="4"/>
  <c r="E42" i="4"/>
  <c r="D41" i="4"/>
  <c r="E41" i="4" s="1"/>
  <c r="D40" i="4"/>
  <c r="D39" i="4"/>
  <c r="E39" i="4" s="1"/>
  <c r="D38" i="4"/>
  <c r="E38" i="4" s="1"/>
  <c r="D37" i="4"/>
  <c r="E37" i="4" s="1"/>
  <c r="D36" i="4"/>
  <c r="D35" i="4"/>
  <c r="E35" i="4" s="1"/>
  <c r="D34" i="4"/>
  <c r="D33" i="4"/>
  <c r="E33" i="4" s="1"/>
  <c r="D32" i="4"/>
  <c r="E32" i="4" s="1"/>
  <c r="D31" i="4"/>
  <c r="D30" i="4"/>
  <c r="E30" i="4" s="1"/>
  <c r="D29" i="4"/>
  <c r="E29" i="4" s="1"/>
  <c r="D28" i="4"/>
  <c r="E27" i="4"/>
  <c r="D27" i="4"/>
  <c r="D26" i="4"/>
  <c r="E26" i="4" s="1"/>
  <c r="D25" i="4"/>
  <c r="D24" i="4"/>
  <c r="D23" i="4"/>
  <c r="E23" i="4" s="1"/>
  <c r="D22" i="4"/>
  <c r="E22" i="4" s="1"/>
  <c r="D21" i="4"/>
  <c r="E21" i="4" s="1"/>
  <c r="D20" i="4"/>
  <c r="D19" i="4"/>
  <c r="E19" i="4" s="1"/>
  <c r="D18" i="4"/>
  <c r="E18" i="4" s="1"/>
  <c r="D17" i="4"/>
  <c r="D16" i="4"/>
  <c r="D15" i="4"/>
  <c r="E15" i="4" s="1"/>
  <c r="D14" i="4"/>
  <c r="E13" i="4"/>
  <c r="D13" i="4"/>
  <c r="D12" i="4"/>
  <c r="D11" i="4"/>
  <c r="E11" i="4" s="1"/>
  <c r="D9" i="4"/>
  <c r="D8" i="4"/>
  <c r="E8" i="4" s="1"/>
  <c r="D7" i="4"/>
  <c r="D6" i="4"/>
  <c r="E6" i="4" s="1"/>
  <c r="H2" i="4"/>
  <c r="E2" i="4"/>
  <c r="B2" i="4"/>
  <c r="A25" i="4" s="1"/>
  <c r="E40" i="4"/>
  <c r="E47" i="4"/>
  <c r="E36" i="4"/>
  <c r="E10" i="4"/>
  <c r="E25" i="4"/>
  <c r="E72" i="4"/>
  <c r="E80" i="4"/>
  <c r="E50" i="4"/>
  <c r="E68" i="4"/>
  <c r="E76" i="4"/>
  <c r="E84" i="4"/>
  <c r="A142" i="4"/>
  <c r="C140" i="4"/>
  <c r="A104" i="4"/>
  <c r="C126" i="4"/>
  <c r="A93" i="4"/>
  <c r="B82" i="4"/>
  <c r="B72" i="4"/>
  <c r="C64" i="4"/>
  <c r="C118" i="4"/>
  <c r="A103" i="4"/>
  <c r="B91" i="4"/>
  <c r="A106" i="4"/>
  <c r="A92" i="4"/>
  <c r="A80" i="4"/>
  <c r="C71" i="4"/>
  <c r="A61" i="4"/>
  <c r="C51" i="4"/>
  <c r="B145" i="4"/>
  <c r="B129" i="4"/>
  <c r="C104" i="4"/>
  <c r="A91" i="4"/>
  <c r="A83" i="4"/>
  <c r="A75" i="4"/>
  <c r="A67" i="4"/>
  <c r="C59" i="4"/>
  <c r="C55" i="4"/>
  <c r="B50" i="4"/>
  <c r="B45" i="4"/>
  <c r="B41" i="4"/>
  <c r="B37" i="4"/>
  <c r="B33" i="4"/>
  <c r="A12" i="4"/>
  <c r="B13" i="4"/>
  <c r="A16" i="4"/>
  <c r="B17" i="4"/>
  <c r="B20" i="4"/>
  <c r="C21" i="4"/>
  <c r="B24" i="4"/>
  <c r="B25" i="4"/>
  <c r="C28" i="4"/>
  <c r="C29" i="4"/>
  <c r="C30" i="4"/>
  <c r="C32" i="4"/>
  <c r="C35" i="4"/>
  <c r="A36" i="4"/>
  <c r="C39" i="4"/>
  <c r="C6" i="4"/>
  <c r="C7" i="4"/>
  <c r="A9" i="4"/>
  <c r="E9" i="4"/>
  <c r="C10" i="4"/>
  <c r="B12" i="4"/>
  <c r="C13" i="4"/>
  <c r="A15" i="4"/>
  <c r="B16" i="4"/>
  <c r="C17" i="4"/>
  <c r="B19" i="4"/>
  <c r="C20" i="4"/>
  <c r="A22" i="4"/>
  <c r="B23" i="4"/>
  <c r="C24" i="4"/>
  <c r="C25" i="4"/>
  <c r="A33" i="4"/>
  <c r="C36" i="4"/>
  <c r="A37" i="4"/>
  <c r="C40" i="4"/>
  <c r="A41" i="4"/>
  <c r="C44" i="4"/>
  <c r="A45" i="4"/>
  <c r="C47" i="4"/>
  <c r="B48" i="4"/>
  <c r="A49" i="4"/>
  <c r="A50" i="4"/>
  <c r="A52" i="4"/>
  <c r="A57" i="4"/>
  <c r="B58" i="4"/>
  <c r="C68" i="4"/>
  <c r="A69" i="4"/>
  <c r="C72" i="4"/>
  <c r="A73" i="4"/>
  <c r="C76" i="4"/>
  <c r="A77" i="4"/>
  <c r="C80" i="4"/>
  <c r="A81" i="4"/>
  <c r="C84" i="4"/>
  <c r="A85" i="4"/>
  <c r="B88" i="4"/>
  <c r="C90" i="4"/>
  <c r="C97" i="4"/>
  <c r="C103" i="4"/>
  <c r="B104" i="4"/>
  <c r="A107" i="4"/>
  <c r="B115" i="4"/>
  <c r="B77" i="1"/>
  <c r="B78" i="1"/>
  <c r="B95" i="1"/>
  <c r="B92" i="1"/>
  <c r="C14" i="4" l="1"/>
  <c r="B6" i="4"/>
  <c r="B40" i="4"/>
  <c r="C49" i="4"/>
  <c r="C58" i="4"/>
  <c r="C74" i="4"/>
  <c r="B89" i="4"/>
  <c r="C122" i="4"/>
  <c r="C50" i="4"/>
  <c r="A68" i="4"/>
  <c r="C89" i="4"/>
  <c r="A90" i="4"/>
  <c r="B114" i="4"/>
  <c r="B70" i="4"/>
  <c r="C91" i="4"/>
  <c r="B97" i="4"/>
  <c r="C121" i="4"/>
  <c r="B132" i="4"/>
  <c r="B49" i="4"/>
  <c r="A8" i="4"/>
  <c r="A126" i="4"/>
  <c r="B142" i="4"/>
  <c r="A38" i="4"/>
  <c r="B113" i="4"/>
  <c r="C45" i="4"/>
  <c r="B34" i="4"/>
  <c r="B42" i="4"/>
  <c r="B51" i="4"/>
  <c r="A60" i="4"/>
  <c r="C78" i="4"/>
  <c r="B93" i="4"/>
  <c r="C130" i="4"/>
  <c r="C52" i="4"/>
  <c r="C75" i="4"/>
  <c r="C93" i="4"/>
  <c r="A94" i="4"/>
  <c r="B133" i="4"/>
  <c r="B74" i="4"/>
  <c r="C100" i="4"/>
  <c r="A108" i="4"/>
  <c r="C129" i="4"/>
  <c r="C136" i="4"/>
  <c r="A56" i="4"/>
  <c r="C27" i="4"/>
  <c r="A19" i="4"/>
  <c r="C11" i="4"/>
  <c r="B35" i="4"/>
  <c r="B43" i="4"/>
  <c r="B52" i="4"/>
  <c r="B63" i="4"/>
  <c r="A79" i="4"/>
  <c r="B96" i="4"/>
  <c r="B137" i="4"/>
  <c r="B53" i="4"/>
  <c r="A76" i="4"/>
  <c r="C96" i="4"/>
  <c r="A95" i="4"/>
  <c r="B141" i="4"/>
  <c r="B75" i="4"/>
  <c r="C109" i="4"/>
  <c r="B118" i="4"/>
  <c r="A134" i="4"/>
  <c r="B92" i="4"/>
  <c r="A18" i="4"/>
  <c r="C41" i="4"/>
  <c r="C26" i="4"/>
  <c r="C18" i="4"/>
  <c r="B10" i="4"/>
  <c r="B36" i="4"/>
  <c r="B44" i="4"/>
  <c r="A53" i="4"/>
  <c r="A64" i="4"/>
  <c r="C82" i="4"/>
  <c r="B99" i="4"/>
  <c r="C138" i="4"/>
  <c r="B60" i="4"/>
  <c r="C79" i="4"/>
  <c r="C105" i="4"/>
  <c r="A101" i="4"/>
  <c r="C62" i="4"/>
  <c r="B78" i="4"/>
  <c r="A113" i="4"/>
  <c r="A125" i="4"/>
  <c r="C137" i="4"/>
  <c r="B9" i="4"/>
  <c r="B26" i="4"/>
  <c r="A59" i="4"/>
  <c r="G107" i="4"/>
  <c r="C8" i="4"/>
  <c r="B38" i="4"/>
  <c r="B46" i="4"/>
  <c r="C56" i="4"/>
  <c r="C70" i="4"/>
  <c r="C86" i="4"/>
  <c r="A105" i="4"/>
  <c r="C146" i="4"/>
  <c r="B64" i="4"/>
  <c r="A84" i="4"/>
  <c r="B117" i="4"/>
  <c r="B108" i="4"/>
  <c r="C66" i="4"/>
  <c r="B83" i="4"/>
  <c r="C134" i="4"/>
  <c r="C113" i="4"/>
  <c r="C145" i="4"/>
  <c r="C53" i="4"/>
  <c r="A13" i="4"/>
  <c r="B65" i="4"/>
  <c r="C31" i="4"/>
  <c r="A23" i="4"/>
  <c r="B7" i="4"/>
  <c r="B39" i="4"/>
  <c r="A47" i="4"/>
  <c r="C57" i="4"/>
  <c r="A71" i="4"/>
  <c r="A87" i="4"/>
  <c r="B121" i="4"/>
  <c r="A48" i="4"/>
  <c r="A65" i="4"/>
  <c r="C87" i="4"/>
  <c r="C88" i="4"/>
  <c r="A109" i="4"/>
  <c r="B67" i="4"/>
  <c r="B86" i="4"/>
  <c r="A145" i="4"/>
  <c r="A118" i="4"/>
  <c r="B126" i="4"/>
  <c r="C43" i="4"/>
  <c r="C144" i="4"/>
  <c r="B112" i="4"/>
  <c r="I173" i="9"/>
  <c r="I199" i="9"/>
  <c r="I191" i="9"/>
  <c r="I177" i="9"/>
  <c r="I186" i="9"/>
  <c r="I195" i="9"/>
  <c r="I204" i="9"/>
  <c r="G169" i="9"/>
  <c r="I182" i="9"/>
  <c r="I208" i="9"/>
  <c r="I171" i="9"/>
  <c r="I179" i="9"/>
  <c r="I188" i="9"/>
  <c r="I197" i="9"/>
  <c r="I206" i="9"/>
  <c r="E169" i="9"/>
  <c r="I172" i="9"/>
  <c r="I181" i="9"/>
  <c r="I189" i="9"/>
  <c r="I198" i="9"/>
  <c r="I207" i="9"/>
  <c r="H176" i="9"/>
  <c r="F176" i="9"/>
  <c r="I202" i="9"/>
  <c r="I183" i="9"/>
  <c r="F206" i="9"/>
  <c r="H183" i="9"/>
  <c r="G174" i="9"/>
  <c r="F172" i="9"/>
  <c r="H173" i="9"/>
  <c r="G172" i="9"/>
  <c r="F186" i="9"/>
  <c r="H179" i="9"/>
  <c r="G178" i="9"/>
  <c r="G201" i="9"/>
  <c r="F169" i="9"/>
  <c r="I193" i="9"/>
  <c r="I174" i="9"/>
  <c r="F182" i="9"/>
  <c r="F199" i="9"/>
  <c r="G197" i="9"/>
  <c r="H204" i="9"/>
  <c r="F178" i="9"/>
  <c r="H202" i="9"/>
  <c r="H208" i="9"/>
  <c r="H203" i="9"/>
  <c r="I192" i="9"/>
  <c r="G188" i="9"/>
  <c r="H169" i="9"/>
  <c r="H206" i="9"/>
  <c r="F203" i="9"/>
  <c r="H171" i="9"/>
  <c r="G193" i="9"/>
  <c r="H207" i="9"/>
  <c r="H189" i="9"/>
  <c r="F192" i="9"/>
  <c r="G182" i="9"/>
  <c r="G186" i="9"/>
  <c r="I205" i="9"/>
  <c r="I203" i="9"/>
  <c r="I184" i="9"/>
  <c r="F174" i="9"/>
  <c r="F197" i="9"/>
  <c r="H182" i="9"/>
  <c r="G189" i="9"/>
  <c r="F187" i="9"/>
  <c r="H196" i="9"/>
  <c r="G203" i="9"/>
  <c r="F209" i="9"/>
  <c r="H194" i="9"/>
  <c r="H209" i="9"/>
  <c r="I185" i="9"/>
  <c r="G192" i="9"/>
  <c r="F181" i="9"/>
  <c r="G173" i="9"/>
  <c r="H172" i="9"/>
  <c r="F193" i="9"/>
  <c r="H193" i="9"/>
  <c r="I178" i="9"/>
  <c r="G183" i="9"/>
  <c r="F204" i="9"/>
  <c r="G204" i="9"/>
  <c r="G202" i="9"/>
  <c r="G206" i="9"/>
  <c r="F202" i="9"/>
  <c r="I169" i="9"/>
  <c r="H181" i="9"/>
  <c r="I196" i="9"/>
  <c r="I194" i="9"/>
  <c r="I175" i="9"/>
  <c r="G208" i="9"/>
  <c r="G207" i="9"/>
  <c r="F189" i="9"/>
  <c r="H174" i="9"/>
  <c r="G181" i="9"/>
  <c r="F179" i="9"/>
  <c r="H188" i="9"/>
  <c r="G187" i="9"/>
  <c r="F201" i="9"/>
  <c r="H186" i="9"/>
  <c r="H201" i="9"/>
  <c r="I187" i="9"/>
  <c r="F170" i="9"/>
  <c r="F183" i="9"/>
  <c r="F171" i="9"/>
  <c r="G179" i="9"/>
  <c r="H178" i="9"/>
  <c r="I176" i="9"/>
  <c r="G176" i="9"/>
  <c r="H197" i="9"/>
  <c r="G171" i="9"/>
  <c r="F208" i="9"/>
  <c r="I170" i="9"/>
  <c r="G196" i="9"/>
  <c r="H170" i="9"/>
  <c r="H187" i="9"/>
  <c r="G199" i="9"/>
  <c r="I209" i="9"/>
  <c r="F173" i="9"/>
  <c r="F207" i="9"/>
  <c r="I201" i="9"/>
  <c r="F196" i="9"/>
  <c r="G194" i="9"/>
  <c r="H199" i="9"/>
  <c r="F194" i="9"/>
  <c r="H192" i="9"/>
  <c r="G170" i="9"/>
  <c r="F188" i="9"/>
  <c r="G209" i="9"/>
  <c r="Y26" i="9"/>
  <c r="A102" i="4"/>
  <c r="B116" i="4"/>
  <c r="C63" i="4"/>
  <c r="B71" i="4"/>
  <c r="B79" i="4"/>
  <c r="B87" i="4"/>
  <c r="C101" i="4"/>
  <c r="C114" i="4"/>
  <c r="A135" i="4"/>
  <c r="C98" i="4"/>
  <c r="B109" i="4"/>
  <c r="B127" i="4"/>
  <c r="A114" i="4"/>
  <c r="A122" i="4"/>
  <c r="A130" i="4"/>
  <c r="A138" i="4"/>
  <c r="A146" i="4"/>
  <c r="B134" i="4"/>
  <c r="C128" i="4"/>
  <c r="B59" i="4"/>
  <c r="A40" i="4"/>
  <c r="A27" i="4"/>
  <c r="A29" i="4"/>
  <c r="B107" i="4"/>
  <c r="C37" i="4"/>
  <c r="C81" i="4"/>
  <c r="B123" i="4"/>
  <c r="E24" i="4"/>
  <c r="E34" i="4"/>
  <c r="B80" i="4"/>
  <c r="A89" i="4"/>
  <c r="B102" i="4"/>
  <c r="C116" i="4"/>
  <c r="A137" i="4"/>
  <c r="A100" i="4"/>
  <c r="C110" i="4"/>
  <c r="C132" i="4"/>
  <c r="C115" i="4"/>
  <c r="C123" i="4"/>
  <c r="C131" i="4"/>
  <c r="C139" i="4"/>
  <c r="B120" i="4"/>
  <c r="B136" i="4"/>
  <c r="C120" i="4"/>
  <c r="A58" i="4"/>
  <c r="C95" i="4"/>
  <c r="A24" i="4"/>
  <c r="B18" i="4"/>
  <c r="C73" i="4"/>
  <c r="C67" i="4"/>
  <c r="C83" i="4"/>
  <c r="A97" i="4"/>
  <c r="C92" i="4"/>
  <c r="C107" i="4"/>
  <c r="B125" i="4"/>
  <c r="C65" i="4"/>
  <c r="B73" i="4"/>
  <c r="B81" i="4"/>
  <c r="B90" i="4"/>
  <c r="B103" i="4"/>
  <c r="A119" i="4"/>
  <c r="C142" i="4"/>
  <c r="B101" i="4"/>
  <c r="A112" i="4"/>
  <c r="A133" i="4"/>
  <c r="A116" i="4"/>
  <c r="A124" i="4"/>
  <c r="A132" i="4"/>
  <c r="A140" i="4"/>
  <c r="B122" i="4"/>
  <c r="B138" i="4"/>
  <c r="A115" i="4"/>
  <c r="B55" i="4"/>
  <c r="B21" i="4"/>
  <c r="C22" i="4"/>
  <c r="C12" i="4"/>
  <c r="A11" i="4"/>
  <c r="A66" i="4"/>
  <c r="A32" i="4"/>
  <c r="B30" i="4"/>
  <c r="C108" i="4"/>
  <c r="A121" i="4"/>
  <c r="A143" i="4"/>
  <c r="C102" i="4"/>
  <c r="A117" i="4"/>
  <c r="B135" i="4"/>
  <c r="C117" i="4"/>
  <c r="C125" i="4"/>
  <c r="C133" i="4"/>
  <c r="C141" i="4"/>
  <c r="B124" i="4"/>
  <c r="B140" i="4"/>
  <c r="B98" i="4"/>
  <c r="C54" i="4"/>
  <c r="A21" i="4"/>
  <c r="B11" i="4"/>
  <c r="C9" i="4"/>
  <c r="A62" i="4"/>
  <c r="C85" i="4"/>
  <c r="C34" i="4"/>
  <c r="A7" i="4"/>
  <c r="A20" i="4"/>
  <c r="A54" i="4"/>
  <c r="A72" i="4"/>
  <c r="A88" i="4"/>
  <c r="C111" i="4"/>
  <c r="C99" i="4"/>
  <c r="A110" i="4"/>
  <c r="C60" i="4"/>
  <c r="B68" i="4"/>
  <c r="B76" i="4"/>
  <c r="B84" i="4"/>
  <c r="B94" i="4"/>
  <c r="B110" i="4"/>
  <c r="A127" i="4"/>
  <c r="C94" i="4"/>
  <c r="B105" i="4"/>
  <c r="B119" i="4"/>
  <c r="A141" i="4"/>
  <c r="C119" i="4"/>
  <c r="C127" i="4"/>
  <c r="C135" i="4"/>
  <c r="C143" i="4"/>
  <c r="B128" i="4"/>
  <c r="B144" i="4"/>
  <c r="B47" i="4"/>
  <c r="C48" i="4"/>
  <c r="A14" i="4"/>
  <c r="A42" i="4"/>
  <c r="E7" i="4"/>
  <c r="A139" i="4"/>
  <c r="E44" i="4"/>
  <c r="A78" i="4"/>
  <c r="B100" i="4"/>
  <c r="A111" i="4"/>
  <c r="C61" i="4"/>
  <c r="B69" i="4"/>
  <c r="B77" i="4"/>
  <c r="B85" i="4"/>
  <c r="B95" i="4"/>
  <c r="B111" i="4"/>
  <c r="A129" i="4"/>
  <c r="A96" i="4"/>
  <c r="C106" i="4"/>
  <c r="C124" i="4"/>
  <c r="B143" i="4"/>
  <c r="A120" i="4"/>
  <c r="A128" i="4"/>
  <c r="A136" i="4"/>
  <c r="A144" i="4"/>
  <c r="B130" i="4"/>
  <c r="B146" i="4"/>
  <c r="A63" i="4"/>
  <c r="A44" i="4"/>
  <c r="A46" i="4"/>
  <c r="A10" i="4"/>
  <c r="A34" i="4"/>
  <c r="A131" i="4"/>
  <c r="A123" i="4"/>
  <c r="A98" i="4"/>
  <c r="C16" i="4"/>
  <c r="E13" i="9"/>
  <c r="C13" i="9"/>
  <c r="G13" i="9"/>
  <c r="G163" i="9"/>
  <c r="F163" i="9"/>
  <c r="E163" i="9"/>
  <c r="D163" i="9"/>
  <c r="C163" i="9"/>
  <c r="B163" i="9"/>
  <c r="K20" i="9"/>
  <c r="I19" i="9"/>
  <c r="Y20" i="9"/>
  <c r="K19" i="9"/>
  <c r="Y19" i="9"/>
  <c r="E19" i="9"/>
  <c r="M19" i="9"/>
  <c r="N19" i="9"/>
  <c r="K21" i="9"/>
  <c r="Y21" i="9"/>
  <c r="Y22" i="9"/>
  <c r="K22" i="9"/>
  <c r="Y23" i="9"/>
  <c r="K23" i="9"/>
  <c r="Y24" i="9"/>
  <c r="K24" i="9"/>
  <c r="K25" i="9"/>
  <c r="Y25" i="9"/>
  <c r="K26" i="9"/>
  <c r="Y27" i="9"/>
  <c r="K27" i="9"/>
  <c r="Y28" i="9"/>
  <c r="K28" i="9"/>
  <c r="K29" i="9"/>
  <c r="Y29" i="9"/>
  <c r="K30" i="9"/>
  <c r="Y30" i="9"/>
  <c r="Y31" i="9"/>
  <c r="K31" i="9"/>
  <c r="Y32" i="9"/>
  <c r="K32" i="9"/>
  <c r="K33" i="9"/>
  <c r="Y33" i="9"/>
  <c r="Y34" i="9"/>
  <c r="K34" i="9"/>
  <c r="K35" i="9"/>
  <c r="Y35" i="9"/>
  <c r="K36" i="9"/>
  <c r="Y36" i="9"/>
  <c r="K37" i="9"/>
  <c r="Y37" i="9"/>
  <c r="K38" i="9"/>
  <c r="Y38" i="9"/>
  <c r="Y39" i="9"/>
  <c r="K39" i="9"/>
  <c r="K40" i="9"/>
  <c r="Y40" i="9"/>
  <c r="Y41" i="9"/>
  <c r="K41" i="9"/>
  <c r="Y42" i="9"/>
  <c r="K42" i="9"/>
  <c r="Y43" i="9"/>
  <c r="K43" i="9"/>
  <c r="Y44" i="9"/>
  <c r="K44" i="9"/>
  <c r="Y45" i="9"/>
  <c r="K45" i="9"/>
  <c r="K46" i="9"/>
  <c r="Y46" i="9"/>
  <c r="K47" i="9"/>
  <c r="Y47" i="9"/>
  <c r="K48" i="9"/>
  <c r="Y48" i="9"/>
  <c r="Y49" i="9"/>
  <c r="K49" i="9"/>
  <c r="Y50" i="9"/>
  <c r="K50" i="9"/>
  <c r="K51" i="9"/>
  <c r="Y51" i="9"/>
  <c r="Y52" i="9"/>
  <c r="K52" i="9"/>
  <c r="K53" i="9"/>
  <c r="Y53" i="9"/>
  <c r="Y54" i="9"/>
  <c r="K54" i="9"/>
  <c r="K55" i="9"/>
  <c r="Y55" i="9"/>
  <c r="K56" i="9"/>
  <c r="Y56" i="9"/>
  <c r="Y57" i="9"/>
  <c r="K57" i="9"/>
  <c r="Y58" i="9"/>
  <c r="K58" i="9"/>
  <c r="Y59" i="9"/>
  <c r="E12" i="4"/>
  <c r="E16" i="4"/>
  <c r="E20" i="4"/>
  <c r="B57" i="4"/>
  <c r="B8" i="4"/>
  <c r="B27" i="4"/>
  <c r="B131" i="4"/>
  <c r="A6" i="4"/>
  <c r="A17" i="4"/>
  <c r="A39" i="4"/>
  <c r="C15" i="4"/>
  <c r="B15" i="4"/>
  <c r="B54" i="4"/>
  <c r="B31" i="4"/>
  <c r="B61" i="4"/>
  <c r="A26" i="4"/>
  <c r="A35" i="4"/>
  <c r="A55" i="4"/>
  <c r="A82" i="4"/>
  <c r="B139" i="4"/>
  <c r="E14" i="4"/>
  <c r="E17" i="4"/>
  <c r="E28" i="4"/>
  <c r="C23" i="4"/>
  <c r="C38" i="4"/>
  <c r="B56" i="4"/>
  <c r="A86" i="4"/>
  <c r="E31" i="4"/>
  <c r="B28" i="4"/>
  <c r="C19" i="4"/>
  <c r="C33" i="4"/>
  <c r="B29" i="4"/>
  <c r="C42" i="4"/>
  <c r="B62" i="4"/>
  <c r="A99" i="4"/>
  <c r="E87" i="4"/>
  <c r="A43" i="4"/>
  <c r="B66" i="4"/>
  <c r="B106" i="4"/>
  <c r="A28" i="4"/>
  <c r="B22" i="4"/>
  <c r="B14" i="4"/>
  <c r="A31" i="4"/>
  <c r="C77" i="4"/>
  <c r="C46" i="4"/>
  <c r="A70" i="4"/>
  <c r="C112" i="4"/>
  <c r="A30" i="4"/>
  <c r="C69" i="4"/>
  <c r="B32" i="4"/>
  <c r="A51" i="4"/>
  <c r="A74" i="4"/>
  <c r="B38" i="1"/>
  <c r="D39" i="1" s="1"/>
  <c r="C118" i="1"/>
  <c r="G114" i="4" l="1"/>
  <c r="G128" i="4"/>
  <c r="G141" i="4"/>
  <c r="G132" i="4"/>
  <c r="G97" i="4"/>
  <c r="G100" i="4"/>
  <c r="G120" i="4"/>
  <c r="G143" i="4"/>
  <c r="G124" i="4"/>
  <c r="G137" i="4"/>
  <c r="G121" i="4"/>
  <c r="G116" i="4"/>
  <c r="G119" i="4"/>
  <c r="G110" i="4"/>
  <c r="G133" i="4"/>
  <c r="G146" i="4"/>
  <c r="G135" i="4"/>
  <c r="G102" i="4"/>
  <c r="G101" i="4"/>
  <c r="G94" i="4"/>
  <c r="G98" i="4"/>
  <c r="G139" i="4"/>
  <c r="G127" i="4"/>
  <c r="G115" i="4"/>
  <c r="G112" i="4"/>
  <c r="G89" i="4"/>
  <c r="G138" i="4"/>
  <c r="P87" i="4"/>
  <c r="G113" i="4"/>
  <c r="G106" i="4"/>
  <c r="G142" i="4"/>
  <c r="G104" i="4"/>
  <c r="G108" i="4"/>
  <c r="G126" i="4"/>
  <c r="G95" i="4"/>
  <c r="G93" i="4"/>
  <c r="G105" i="4"/>
  <c r="G125" i="4"/>
  <c r="G90" i="4"/>
  <c r="G109" i="4"/>
  <c r="G134" i="4"/>
  <c r="G87" i="4"/>
  <c r="G103" i="4"/>
  <c r="G91" i="4"/>
  <c r="G145" i="4"/>
  <c r="G92" i="4"/>
  <c r="G118" i="4"/>
  <c r="G140" i="4"/>
  <c r="G99" i="4"/>
  <c r="G96" i="4"/>
  <c r="G111" i="4"/>
  <c r="G130" i="4"/>
  <c r="G136" i="4"/>
  <c r="G117" i="4"/>
  <c r="G123" i="4"/>
  <c r="G131" i="4"/>
  <c r="G144" i="4"/>
  <c r="G129" i="4"/>
  <c r="G88" i="4"/>
  <c r="G122" i="4"/>
  <c r="J169" i="9"/>
  <c r="H19" i="9" s="1"/>
  <c r="Y62" i="9"/>
  <c r="G12" i="9" s="1"/>
  <c r="P93" i="4"/>
  <c r="P91" i="4"/>
  <c r="P139" i="4"/>
  <c r="P6" i="4"/>
  <c r="P134" i="4"/>
  <c r="P112" i="4"/>
  <c r="P89" i="4"/>
  <c r="P133" i="4"/>
  <c r="P9" i="4"/>
  <c r="P145" i="4"/>
  <c r="P95" i="4"/>
  <c r="P132" i="4"/>
  <c r="P123" i="4"/>
  <c r="P8" i="4"/>
  <c r="P130" i="4"/>
  <c r="P114" i="4"/>
  <c r="P104" i="4"/>
  <c r="P106" i="4"/>
  <c r="P115" i="4"/>
  <c r="P117" i="4"/>
  <c r="P144" i="4"/>
  <c r="P128" i="4"/>
  <c r="P100" i="4"/>
  <c r="P105" i="4"/>
  <c r="P94" i="4"/>
  <c r="P121" i="4"/>
  <c r="P142" i="4"/>
  <c r="P126" i="4"/>
  <c r="P135" i="4"/>
  <c r="P96" i="4"/>
  <c r="P98" i="4"/>
  <c r="P92" i="4"/>
  <c r="P109" i="4"/>
  <c r="P140" i="4"/>
  <c r="P124" i="4"/>
  <c r="P127" i="4"/>
  <c r="P107" i="4"/>
  <c r="P103" i="4"/>
  <c r="P10" i="4"/>
  <c r="P138" i="4"/>
  <c r="P122" i="4"/>
  <c r="P99" i="4"/>
  <c r="P90" i="4"/>
  <c r="P101" i="4"/>
  <c r="B41" i="1"/>
  <c r="D118" i="1" s="1" a="1"/>
  <c r="D118" i="1" s="1"/>
  <c r="E118" i="1" s="1"/>
  <c r="P56" i="4" l="1"/>
  <c r="P29" i="4"/>
  <c r="P27" i="4"/>
  <c r="P38" i="4"/>
  <c r="P7" i="4"/>
  <c r="P137" i="4"/>
  <c r="P70" i="4"/>
  <c r="P17" i="4"/>
  <c r="P60" i="4"/>
  <c r="P19" i="4"/>
  <c r="P22" i="4"/>
  <c r="P119" i="4"/>
  <c r="P97" i="4"/>
  <c r="P146" i="4"/>
  <c r="P108" i="4"/>
  <c r="P32" i="4"/>
  <c r="P79" i="4"/>
  <c r="P68" i="4"/>
  <c r="P83" i="4"/>
  <c r="P12" i="4"/>
  <c r="P116" i="4"/>
  <c r="P76" i="4"/>
  <c r="P21" i="4"/>
  <c r="P28" i="4"/>
  <c r="P53" i="4"/>
  <c r="P64" i="4"/>
  <c r="P13" i="4"/>
  <c r="P58" i="4"/>
  <c r="P51" i="4"/>
  <c r="P20" i="4"/>
  <c r="P63" i="4"/>
  <c r="P84" i="4"/>
  <c r="P62" i="4"/>
  <c r="P47" i="4"/>
  <c r="P57" i="4"/>
  <c r="P50" i="4"/>
  <c r="P16" i="4"/>
  <c r="P110" i="4"/>
  <c r="P143" i="4"/>
  <c r="P111" i="4"/>
  <c r="P61" i="4"/>
  <c r="P131" i="4"/>
  <c r="P33" i="4"/>
  <c r="P66" i="4"/>
  <c r="P31" i="4"/>
  <c r="P26" i="4"/>
  <c r="P23" i="4"/>
  <c r="P80" i="4"/>
  <c r="P59" i="4"/>
  <c r="P25" i="4"/>
  <c r="P69" i="4"/>
  <c r="P49" i="4"/>
  <c r="P120" i="4"/>
  <c r="P43" i="4"/>
  <c r="P39" i="4"/>
  <c r="P30" i="4"/>
  <c r="P40" i="4"/>
  <c r="P81" i="4"/>
  <c r="P71" i="4"/>
  <c r="P82" i="4"/>
  <c r="P44" i="4"/>
  <c r="P88" i="4"/>
  <c r="P102" i="4"/>
  <c r="P73" i="4"/>
  <c r="P125" i="4"/>
  <c r="P85" i="4"/>
  <c r="P15" i="4"/>
  <c r="P136" i="4"/>
  <c r="P42" i="4"/>
  <c r="P86" i="4"/>
  <c r="P14" i="4"/>
  <c r="P35" i="4"/>
  <c r="P54" i="4"/>
  <c r="P11" i="4"/>
  <c r="G14" i="9"/>
  <c r="G14" i="10"/>
  <c r="P141" i="4"/>
  <c r="P118" i="4"/>
  <c r="P129" i="4"/>
  <c r="P113" i="4"/>
  <c r="B31" i="8"/>
  <c r="D117" i="1" a="1"/>
  <c r="D117" i="1" s="1"/>
  <c r="E117" i="1" s="1"/>
  <c r="P78" i="4" l="1"/>
  <c r="P55" i="4"/>
  <c r="P77" i="4"/>
  <c r="P34" i="4"/>
  <c r="P74" i="4"/>
  <c r="P52" i="4"/>
  <c r="P18" i="4"/>
  <c r="P24" i="4"/>
  <c r="P36" i="4"/>
  <c r="P41" i="4"/>
  <c r="P37" i="4"/>
  <c r="P65" i="4"/>
  <c r="P48" i="4"/>
  <c r="P67" i="4"/>
  <c r="P45" i="4"/>
  <c r="P72" i="4"/>
  <c r="P75" i="4"/>
  <c r="C128" i="1"/>
  <c r="E128" i="1" s="1"/>
  <c r="G184" i="9" l="1"/>
  <c r="G198" i="9"/>
  <c r="G177" i="9"/>
  <c r="G191" i="9"/>
  <c r="H184" i="9" l="1"/>
  <c r="H198" i="9"/>
  <c r="H177" i="9"/>
  <c r="H191" i="9"/>
  <c r="F191" i="9" l="1"/>
  <c r="F184" i="9"/>
  <c r="F198" i="9"/>
  <c r="F177" i="9"/>
  <c r="B15" i="1"/>
  <c r="B17" i="1"/>
  <c r="B43" i="3" s="1"/>
  <c r="B14" i="1"/>
  <c r="B16" i="1"/>
  <c r="C27" i="1" s="1"/>
  <c r="B27" i="1" l="1" a="1"/>
  <c r="B27" i="1" s="1"/>
  <c r="B27" i="8" s="1"/>
  <c r="B29" i="8" s="1"/>
  <c r="D27" i="1" a="1"/>
  <c r="D27" i="1" s="1"/>
  <c r="B31" i="1"/>
  <c r="B28" i="1"/>
  <c r="E64" i="10" s="1"/>
  <c r="B65" i="3"/>
  <c r="B32" i="8"/>
  <c r="B33" i="8" s="1"/>
  <c r="B87" i="3"/>
  <c r="D17" i="1"/>
  <c r="E65" i="10" l="1"/>
  <c r="B30" i="1"/>
  <c r="B32" i="1" s="1"/>
  <c r="G19" i="8"/>
  <c r="G127" i="3" l="1"/>
  <c r="B9" i="3" l="1"/>
  <c r="B44" i="3"/>
  <c r="B66" i="3"/>
  <c r="B106" i="3"/>
  <c r="B30" i="3"/>
  <c r="B88" i="3"/>
  <c r="B13" i="8"/>
  <c r="B11" i="8"/>
  <c r="H138" i="3" s="1"/>
  <c r="D115" i="3" l="1"/>
  <c r="C53" i="3"/>
  <c r="D53" i="3"/>
  <c r="C17" i="3"/>
  <c r="D17" i="3"/>
  <c r="D75" i="3"/>
  <c r="E75" i="3" s="1"/>
  <c r="G75" i="3" s="1"/>
  <c r="D38" i="3"/>
  <c r="C38" i="3"/>
  <c r="B95" i="3"/>
  <c r="D95" i="3" s="1"/>
  <c r="B12" i="8"/>
  <c r="B14" i="8"/>
  <c r="E53" i="3" l="1"/>
  <c r="G53" i="3" s="1"/>
  <c r="E17" i="3"/>
  <c r="G17" i="3" s="1"/>
  <c r="C101" i="3"/>
  <c r="B101" i="3"/>
  <c r="B51" i="3"/>
  <c r="D51" i="3" s="1"/>
  <c r="E51" i="3" s="1"/>
  <c r="G51" i="3" s="1"/>
  <c r="B16" i="3"/>
  <c r="D16" i="3" s="1"/>
  <c r="E16" i="3" s="1"/>
  <c r="G16" i="3" s="1"/>
  <c r="B73" i="3"/>
  <c r="D73" i="3" s="1"/>
  <c r="E73" i="3" s="1"/>
  <c r="G73" i="3" s="1"/>
  <c r="B15" i="3"/>
  <c r="D15" i="3" s="1"/>
  <c r="E15" i="3" s="1"/>
  <c r="G15" i="3" s="1"/>
  <c r="B52" i="3"/>
  <c r="D52" i="3" s="1"/>
  <c r="E52" i="3" s="1"/>
  <c r="G52" i="3" s="1"/>
  <c r="B74" i="3"/>
  <c r="D74" i="3" s="1"/>
  <c r="E74" i="3" s="1"/>
  <c r="G74" i="3" s="1"/>
  <c r="E38" i="3"/>
  <c r="G38" i="3" s="1"/>
  <c r="G39" i="3" s="1"/>
  <c r="G29" i="3" s="1"/>
  <c r="G76" i="3" l="1"/>
  <c r="G65" i="3" s="1"/>
  <c r="C57" i="1" s="1"/>
  <c r="D57" i="1" s="1"/>
  <c r="D101" i="3"/>
  <c r="C95" i="3" s="1"/>
  <c r="E95" i="3" s="1"/>
  <c r="G95" i="3" s="1"/>
  <c r="G97" i="3" s="1"/>
  <c r="G87" i="3" s="1"/>
  <c r="C58" i="1" s="1"/>
  <c r="D58" i="1" s="1"/>
  <c r="G18" i="3"/>
  <c r="G8" i="3" s="1"/>
  <c r="G76" i="16"/>
  <c r="H76" i="16" s="1"/>
  <c r="G54" i="3"/>
  <c r="G43" i="3" s="1"/>
  <c r="G77" i="16"/>
  <c r="H77" i="16" s="1"/>
  <c r="C55" i="1"/>
  <c r="D55" i="1" s="1"/>
  <c r="C56" i="1" l="1"/>
  <c r="D56" i="1" s="1"/>
  <c r="G78" i="16"/>
  <c r="H78" i="16" s="1"/>
  <c r="D54" i="1"/>
  <c r="G88" i="3" l="1"/>
  <c r="B131" i="1" s="1"/>
  <c r="B37" i="1"/>
  <c r="B34" i="8"/>
  <c r="B28" i="8"/>
  <c r="G66" i="3" l="1"/>
  <c r="B130" i="1" s="1"/>
  <c r="G9" i="3"/>
  <c r="C127" i="1" s="1"/>
  <c r="E127" i="1" s="1"/>
  <c r="C131" i="1"/>
  <c r="E131" i="1" s="1"/>
  <c r="G44" i="3"/>
  <c r="B129" i="1" s="1"/>
  <c r="C4" i="3"/>
  <c r="I127" i="3"/>
  <c r="B117" i="3" s="1"/>
  <c r="D117" i="3" s="1"/>
  <c r="B116" i="3"/>
  <c r="D116" i="3" s="1"/>
  <c r="E116" i="3" s="1"/>
  <c r="G116" i="3" s="1"/>
  <c r="D37" i="1"/>
  <c r="B46" i="16"/>
  <c r="B47" i="16" s="1"/>
  <c r="F46" i="16"/>
  <c r="F49" i="16" s="1"/>
  <c r="B40" i="1"/>
  <c r="B19" i="8"/>
  <c r="C129" i="1" l="1"/>
  <c r="E129" i="1" s="1"/>
  <c r="C130" i="1"/>
  <c r="E130" i="1" s="1"/>
  <c r="B127" i="1"/>
  <c r="J9" i="3"/>
  <c r="F47" i="16"/>
  <c r="F50" i="16" s="1"/>
  <c r="B49" i="16"/>
  <c r="E54" i="1"/>
  <c r="E57" i="1" a="1"/>
  <c r="E57" i="1" s="1"/>
  <c r="B4" i="3"/>
  <c r="E56" i="1" a="1"/>
  <c r="E56" i="1" s="1"/>
  <c r="E58" i="1" a="1"/>
  <c r="E58" i="1" s="1"/>
  <c r="D141" i="1" s="1"/>
  <c r="E141" i="1" s="1"/>
  <c r="I77" i="16" a="1"/>
  <c r="I77" i="16" s="1"/>
  <c r="E55" i="1" a="1"/>
  <c r="E55" i="1" s="1"/>
  <c r="I76" i="16"/>
  <c r="B78" i="16" s="1"/>
  <c r="I78" i="16" a="1"/>
  <c r="I78" i="16" s="1"/>
  <c r="D4" i="3"/>
  <c r="B22" i="8"/>
  <c r="B20" i="8"/>
  <c r="B23" i="8"/>
  <c r="B21" i="8"/>
  <c r="E20" i="8" s="1"/>
  <c r="E21" i="8" s="1"/>
  <c r="B18" i="8"/>
  <c r="B48" i="16"/>
  <c r="B50" i="16"/>
  <c r="F48" i="16" l="1"/>
  <c r="B80" i="16"/>
  <c r="D142" i="1"/>
  <c r="E142" i="1" s="1"/>
  <c r="H175" i="9" s="1"/>
  <c r="D102" i="8"/>
  <c r="C102" i="8"/>
  <c r="G175" i="9"/>
  <c r="G200" i="9"/>
  <c r="G195" i="9"/>
  <c r="G190" i="9"/>
  <c r="G180" i="9"/>
  <c r="G205" i="9"/>
  <c r="G185" i="9"/>
  <c r="H180" i="9" l="1"/>
  <c r="H190" i="9"/>
  <c r="H195" i="9"/>
  <c r="H200" i="9"/>
  <c r="H185" i="9"/>
  <c r="H205" i="9"/>
  <c r="G210" i="9"/>
  <c r="H210" i="9" l="1"/>
  <c r="E117" i="3" l="1"/>
  <c r="G117" i="3" s="1"/>
  <c r="D130" i="3"/>
  <c r="E115" i="3"/>
  <c r="G115" i="3" s="1"/>
  <c r="G118" i="3" l="1"/>
  <c r="G105" i="3" s="1"/>
  <c r="C59" i="1" s="1"/>
  <c r="G3" i="3"/>
  <c r="F130" i="3"/>
  <c r="E130" i="3"/>
  <c r="H130" i="3" s="1"/>
  <c r="G106" i="3" s="1"/>
  <c r="B132" i="1" l="1"/>
  <c r="B134" i="1" s="1"/>
  <c r="F37" i="10" s="1"/>
  <c r="F162" i="16" s="1"/>
  <c r="G4" i="3"/>
  <c r="C132" i="1"/>
  <c r="D59" i="1"/>
  <c r="C61" i="1"/>
  <c r="D61" i="1" l="1"/>
  <c r="E59" i="1" a="1"/>
  <c r="E59" i="1" s="1"/>
  <c r="C134" i="1"/>
  <c r="E132" i="1"/>
  <c r="E134" i="1" s="1"/>
  <c r="F32" i="10"/>
  <c r="F33" i="10"/>
  <c r="F158" i="16" s="1"/>
  <c r="F36" i="10"/>
  <c r="F161" i="16" s="1"/>
  <c r="F35" i="10"/>
  <c r="F160" i="16" s="1"/>
  <c r="F34" i="10"/>
  <c r="F159" i="16" s="1"/>
  <c r="F39" i="10" l="1"/>
  <c r="F164" i="16" s="1"/>
  <c r="F157" i="16"/>
  <c r="N38" i="9"/>
  <c r="N23" i="9"/>
  <c r="N56" i="9"/>
  <c r="N30" i="9"/>
  <c r="N46" i="9"/>
  <c r="N33" i="9"/>
  <c r="N54" i="9"/>
  <c r="N43" i="9"/>
  <c r="N31" i="9"/>
  <c r="N20" i="9"/>
  <c r="N41" i="9"/>
  <c r="N25" i="9"/>
  <c r="N37" i="9"/>
  <c r="N45" i="9"/>
  <c r="N34" i="9"/>
  <c r="N24" i="9"/>
  <c r="N32" i="9"/>
  <c r="N42" i="9"/>
  <c r="N29" i="9"/>
  <c r="N36" i="9"/>
  <c r="N52" i="9"/>
  <c r="N58" i="9"/>
  <c r="N50" i="9"/>
  <c r="N26" i="9"/>
  <c r="N44" i="9"/>
  <c r="N48" i="9"/>
  <c r="N21" i="9"/>
  <c r="N51" i="9"/>
  <c r="N27" i="9"/>
  <c r="N40" i="9"/>
  <c r="N39" i="9"/>
  <c r="N49" i="9"/>
  <c r="N53" i="9"/>
  <c r="N35" i="9"/>
  <c r="N59" i="9"/>
  <c r="N57" i="9"/>
  <c r="N47" i="9"/>
  <c r="N22" i="9"/>
  <c r="N55" i="9"/>
  <c r="N28" i="9"/>
  <c r="E61" i="1"/>
  <c r="D143" i="1"/>
  <c r="E143" i="1" s="1"/>
  <c r="I180" i="9" l="1"/>
  <c r="I190" i="9"/>
  <c r="I200" i="9"/>
  <c r="N61" i="9"/>
  <c r="N62" i="9"/>
  <c r="C102" i="1"/>
  <c r="B63" i="1"/>
  <c r="D111" i="1" s="1"/>
  <c r="E111" i="1" s="1"/>
  <c r="J19" i="9" s="1"/>
  <c r="J62" i="9" l="1"/>
  <c r="J61" i="9"/>
  <c r="C106" i="1"/>
  <c r="E106" i="1" s="1"/>
  <c r="E102" i="1"/>
  <c r="C104" i="1"/>
  <c r="E104" i="1" s="1"/>
  <c r="C105" i="1"/>
  <c r="E105" i="1" s="1"/>
  <c r="C107" i="1"/>
  <c r="E107" i="1" s="1"/>
  <c r="I210" i="9"/>
  <c r="E36" i="10" l="1"/>
  <c r="E161" i="16" s="1"/>
  <c r="E108" i="1"/>
  <c r="D140" i="1" s="1"/>
  <c r="E37" i="10"/>
  <c r="E162" i="16" s="1"/>
  <c r="D139" i="1"/>
  <c r="E139" i="1" s="1"/>
  <c r="E32" i="10"/>
  <c r="E120" i="1"/>
  <c r="E34" i="10"/>
  <c r="E159" i="16" s="1"/>
  <c r="E33" i="10"/>
  <c r="E158" i="16" s="1"/>
  <c r="E35" i="10"/>
  <c r="E160" i="16" s="1"/>
  <c r="E157" i="16" l="1"/>
  <c r="E39" i="10"/>
  <c r="E164" i="16" s="1"/>
  <c r="E189" i="9"/>
  <c r="J189" i="9" s="1"/>
  <c r="H39" i="9" s="1"/>
  <c r="B93" i="9" s="1"/>
  <c r="E171" i="9"/>
  <c r="J171" i="9" s="1"/>
  <c r="H21" i="9" s="1"/>
  <c r="B75" i="9" s="1"/>
  <c r="E179" i="9"/>
  <c r="J179" i="9" s="1"/>
  <c r="H29" i="9" s="1"/>
  <c r="B83" i="9" s="1"/>
  <c r="E182" i="9"/>
  <c r="J182" i="9" s="1"/>
  <c r="H32" i="9" s="1"/>
  <c r="B86" i="9" s="1"/>
  <c r="E194" i="9"/>
  <c r="J194" i="9" s="1"/>
  <c r="H44" i="9" s="1"/>
  <c r="B98" i="9" s="1"/>
  <c r="E201" i="9"/>
  <c r="J201" i="9" s="1"/>
  <c r="H51" i="9" s="1"/>
  <c r="B105" i="9" s="1"/>
  <c r="E188" i="9"/>
  <c r="J188" i="9" s="1"/>
  <c r="H38" i="9" s="1"/>
  <c r="B92" i="9" s="1"/>
  <c r="E175" i="9"/>
  <c r="E205" i="9"/>
  <c r="E172" i="9"/>
  <c r="J172" i="9" s="1"/>
  <c r="H22" i="9" s="1"/>
  <c r="B76" i="9" s="1"/>
  <c r="E196" i="9"/>
  <c r="J196" i="9" s="1"/>
  <c r="H46" i="9" s="1"/>
  <c r="B100" i="9" s="1"/>
  <c r="E187" i="9"/>
  <c r="J187" i="9" s="1"/>
  <c r="H37" i="9" s="1"/>
  <c r="B91" i="9" s="1"/>
  <c r="E208" i="9"/>
  <c r="J208" i="9" s="1"/>
  <c r="H58" i="9" s="1"/>
  <c r="B112" i="9" s="1"/>
  <c r="E183" i="9"/>
  <c r="J183" i="9" s="1"/>
  <c r="H33" i="9" s="1"/>
  <c r="B87" i="9" s="1"/>
  <c r="E195" i="9"/>
  <c r="E190" i="9"/>
  <c r="E170" i="9"/>
  <c r="E199" i="9"/>
  <c r="J199" i="9" s="1"/>
  <c r="H49" i="9" s="1"/>
  <c r="B103" i="9" s="1"/>
  <c r="E178" i="9"/>
  <c r="J178" i="9" s="1"/>
  <c r="H28" i="9" s="1"/>
  <c r="B82" i="9" s="1"/>
  <c r="E206" i="9"/>
  <c r="J206" i="9" s="1"/>
  <c r="H56" i="9" s="1"/>
  <c r="B110" i="9" s="1"/>
  <c r="E193" i="9"/>
  <c r="J193" i="9" s="1"/>
  <c r="H43" i="9" s="1"/>
  <c r="B97" i="9" s="1"/>
  <c r="E184" i="9"/>
  <c r="J184" i="9" s="1"/>
  <c r="H34" i="9" s="1"/>
  <c r="B88" i="9" s="1"/>
  <c r="E202" i="9"/>
  <c r="J202" i="9" s="1"/>
  <c r="H52" i="9" s="1"/>
  <c r="B106" i="9" s="1"/>
  <c r="E192" i="9"/>
  <c r="J192" i="9" s="1"/>
  <c r="H42" i="9" s="1"/>
  <c r="B96" i="9" s="1"/>
  <c r="E203" i="9"/>
  <c r="J203" i="9" s="1"/>
  <c r="H53" i="9" s="1"/>
  <c r="B107" i="9" s="1"/>
  <c r="E185" i="9"/>
  <c r="E177" i="9"/>
  <c r="J177" i="9" s="1"/>
  <c r="H27" i="9" s="1"/>
  <c r="B81" i="9" s="1"/>
  <c r="E186" i="9"/>
  <c r="J186" i="9" s="1"/>
  <c r="H36" i="9" s="1"/>
  <c r="B90" i="9" s="1"/>
  <c r="E197" i="9"/>
  <c r="J197" i="9" s="1"/>
  <c r="H47" i="9" s="1"/>
  <c r="B101" i="9" s="1"/>
  <c r="E207" i="9"/>
  <c r="J207" i="9" s="1"/>
  <c r="H57" i="9" s="1"/>
  <c r="B111" i="9" s="1"/>
  <c r="E176" i="9"/>
  <c r="J176" i="9" s="1"/>
  <c r="H26" i="9" s="1"/>
  <c r="B80" i="9" s="1"/>
  <c r="E180" i="9"/>
  <c r="E181" i="9"/>
  <c r="J181" i="9" s="1"/>
  <c r="H31" i="9" s="1"/>
  <c r="B85" i="9" s="1"/>
  <c r="E173" i="9"/>
  <c r="J173" i="9" s="1"/>
  <c r="H23" i="9" s="1"/>
  <c r="B77" i="9" s="1"/>
  <c r="E191" i="9"/>
  <c r="J191" i="9" s="1"/>
  <c r="H41" i="9" s="1"/>
  <c r="B95" i="9" s="1"/>
  <c r="E209" i="9"/>
  <c r="J209" i="9" s="1"/>
  <c r="H59" i="9" s="1"/>
  <c r="B113" i="9" s="1"/>
  <c r="E174" i="9"/>
  <c r="J174" i="9" s="1"/>
  <c r="H24" i="9" s="1"/>
  <c r="B78" i="9" s="1"/>
  <c r="E198" i="9"/>
  <c r="J198" i="9" s="1"/>
  <c r="H48" i="9" s="1"/>
  <c r="B102" i="9" s="1"/>
  <c r="E200" i="9"/>
  <c r="E204" i="9"/>
  <c r="J204" i="9" s="1"/>
  <c r="H54" i="9" s="1"/>
  <c r="B108" i="9" s="1"/>
  <c r="L59" i="9" a="1"/>
  <c r="L59" i="9" s="1"/>
  <c r="E140" i="1"/>
  <c r="E112" i="1"/>
  <c r="G19" i="9"/>
  <c r="F19" i="9"/>
  <c r="U102" i="9" l="1"/>
  <c r="D102" i="9"/>
  <c r="M102" i="9"/>
  <c r="Q102" i="9"/>
  <c r="C102" i="9"/>
  <c r="P102" i="9"/>
  <c r="G102" i="9"/>
  <c r="K102" i="9"/>
  <c r="I102" i="9"/>
  <c r="V102" i="9"/>
  <c r="E102" i="9"/>
  <c r="W102" i="9"/>
  <c r="O102" i="9"/>
  <c r="N102" i="9"/>
  <c r="S102" i="9"/>
  <c r="H102" i="9"/>
  <c r="J102" i="9"/>
  <c r="R102" i="9"/>
  <c r="T102" i="9"/>
  <c r="L102" i="9"/>
  <c r="F102" i="9"/>
  <c r="L111" i="9"/>
  <c r="I111" i="9"/>
  <c r="R111" i="9"/>
  <c r="E111" i="9"/>
  <c r="S111" i="9"/>
  <c r="Q111" i="9"/>
  <c r="T111" i="9"/>
  <c r="M111" i="9"/>
  <c r="G111" i="9"/>
  <c r="W111" i="9"/>
  <c r="J111" i="9"/>
  <c r="P111" i="9"/>
  <c r="C111" i="9"/>
  <c r="U111" i="9"/>
  <c r="D111" i="9"/>
  <c r="K111" i="9"/>
  <c r="N111" i="9"/>
  <c r="O111" i="9"/>
  <c r="F111" i="9"/>
  <c r="V111" i="9"/>
  <c r="H111" i="9"/>
  <c r="I88" i="9"/>
  <c r="G88" i="9"/>
  <c r="J88" i="9"/>
  <c r="E88" i="9"/>
  <c r="K88" i="9"/>
  <c r="C88" i="9"/>
  <c r="N88" i="9"/>
  <c r="M88" i="9"/>
  <c r="W88" i="9"/>
  <c r="Q88" i="9"/>
  <c r="D88" i="9"/>
  <c r="U88" i="9"/>
  <c r="S88" i="9"/>
  <c r="O88" i="9"/>
  <c r="L88" i="9"/>
  <c r="T88" i="9"/>
  <c r="V88" i="9"/>
  <c r="P88" i="9"/>
  <c r="F88" i="9"/>
  <c r="H88" i="9"/>
  <c r="R88" i="9"/>
  <c r="O87" i="9"/>
  <c r="D87" i="9"/>
  <c r="I87" i="9"/>
  <c r="C87" i="9"/>
  <c r="S87" i="9"/>
  <c r="T87" i="9"/>
  <c r="P87" i="9"/>
  <c r="N87" i="9"/>
  <c r="M87" i="9"/>
  <c r="K87" i="9"/>
  <c r="L87" i="9"/>
  <c r="W87" i="9"/>
  <c r="E87" i="9"/>
  <c r="F87" i="9"/>
  <c r="G87" i="9"/>
  <c r="H87" i="9"/>
  <c r="Q87" i="9"/>
  <c r="R87" i="9"/>
  <c r="V87" i="9"/>
  <c r="U87" i="9"/>
  <c r="J87" i="9"/>
  <c r="G105" i="9"/>
  <c r="O105" i="9"/>
  <c r="J105" i="9"/>
  <c r="M105" i="9"/>
  <c r="L105" i="9"/>
  <c r="T105" i="9"/>
  <c r="U105" i="9"/>
  <c r="S105" i="9"/>
  <c r="N105" i="9"/>
  <c r="F105" i="9"/>
  <c r="D105" i="9"/>
  <c r="K105" i="9"/>
  <c r="Q105" i="9"/>
  <c r="E105" i="9"/>
  <c r="I105" i="9"/>
  <c r="W105" i="9"/>
  <c r="C105" i="9"/>
  <c r="P105" i="9"/>
  <c r="V105" i="9"/>
  <c r="R105" i="9"/>
  <c r="H105" i="9"/>
  <c r="O38" i="9"/>
  <c r="O53" i="9"/>
  <c r="O55" i="9"/>
  <c r="O30" i="9"/>
  <c r="O48" i="9"/>
  <c r="O35" i="9"/>
  <c r="O39" i="9"/>
  <c r="O45" i="9"/>
  <c r="O58" i="9"/>
  <c r="O24" i="9"/>
  <c r="F61" i="9"/>
  <c r="O49" i="9"/>
  <c r="O28" i="9"/>
  <c r="O59" i="9"/>
  <c r="O36" i="9"/>
  <c r="O51" i="9"/>
  <c r="O41" i="9"/>
  <c r="O20" i="9"/>
  <c r="O43" i="9"/>
  <c r="O37" i="9"/>
  <c r="O56" i="9"/>
  <c r="O42" i="9"/>
  <c r="O21" i="9"/>
  <c r="F62" i="9"/>
  <c r="O32" i="9"/>
  <c r="O19" i="9"/>
  <c r="O50" i="9"/>
  <c r="O23" i="9"/>
  <c r="O25" i="9"/>
  <c r="O26" i="9"/>
  <c r="T59" i="9"/>
  <c r="O54" i="9"/>
  <c r="O31" i="9"/>
  <c r="O29" i="9"/>
  <c r="O46" i="9"/>
  <c r="O22" i="9"/>
  <c r="O44" i="9"/>
  <c r="O52" i="9"/>
  <c r="O57" i="9"/>
  <c r="O33" i="9"/>
  <c r="O40" i="9"/>
  <c r="O34" i="9"/>
  <c r="O47" i="9"/>
  <c r="O27" i="9"/>
  <c r="B68" i="9"/>
  <c r="C78" i="9"/>
  <c r="G78" i="9"/>
  <c r="W78" i="9"/>
  <c r="P78" i="9"/>
  <c r="J78" i="9"/>
  <c r="R78" i="9"/>
  <c r="D78" i="9"/>
  <c r="E78" i="9"/>
  <c r="F78" i="9"/>
  <c r="H78" i="9"/>
  <c r="T78" i="9"/>
  <c r="Q78" i="9"/>
  <c r="K78" i="9"/>
  <c r="O78" i="9"/>
  <c r="I78" i="9"/>
  <c r="S78" i="9"/>
  <c r="U78" i="9"/>
  <c r="V78" i="9"/>
  <c r="M78" i="9"/>
  <c r="L78" i="9"/>
  <c r="N78" i="9"/>
  <c r="Q101" i="9"/>
  <c r="P101" i="9"/>
  <c r="H101" i="9"/>
  <c r="R101" i="9"/>
  <c r="W101" i="9"/>
  <c r="D101" i="9"/>
  <c r="I101" i="9"/>
  <c r="J101" i="9"/>
  <c r="E101" i="9"/>
  <c r="C101" i="9"/>
  <c r="N101" i="9"/>
  <c r="F101" i="9"/>
  <c r="T101" i="9"/>
  <c r="O101" i="9"/>
  <c r="V101" i="9"/>
  <c r="G101" i="9"/>
  <c r="M101" i="9"/>
  <c r="S101" i="9"/>
  <c r="K101" i="9"/>
  <c r="U101" i="9"/>
  <c r="L101" i="9"/>
  <c r="T97" i="9"/>
  <c r="U97" i="9"/>
  <c r="O97" i="9"/>
  <c r="F97" i="9"/>
  <c r="M97" i="9"/>
  <c r="C97" i="9"/>
  <c r="N97" i="9"/>
  <c r="S97" i="9"/>
  <c r="P97" i="9"/>
  <c r="G97" i="9"/>
  <c r="I97" i="9"/>
  <c r="W97" i="9"/>
  <c r="E97" i="9"/>
  <c r="K97" i="9"/>
  <c r="J97" i="9"/>
  <c r="H97" i="9"/>
  <c r="L97" i="9"/>
  <c r="R97" i="9"/>
  <c r="V97" i="9"/>
  <c r="D97" i="9"/>
  <c r="Q97" i="9"/>
  <c r="T112" i="9"/>
  <c r="D112" i="9"/>
  <c r="U112" i="9"/>
  <c r="W112" i="9"/>
  <c r="J112" i="9"/>
  <c r="G112" i="9"/>
  <c r="Q112" i="9"/>
  <c r="K112" i="9"/>
  <c r="E112" i="9"/>
  <c r="N112" i="9"/>
  <c r="H112" i="9"/>
  <c r="S112" i="9"/>
  <c r="V112" i="9"/>
  <c r="I112" i="9"/>
  <c r="P112" i="9"/>
  <c r="M112" i="9"/>
  <c r="O112" i="9"/>
  <c r="L112" i="9"/>
  <c r="R112" i="9"/>
  <c r="C112" i="9"/>
  <c r="F112" i="9"/>
  <c r="M98" i="9"/>
  <c r="P98" i="9"/>
  <c r="H98" i="9"/>
  <c r="G98" i="9"/>
  <c r="Q98" i="9"/>
  <c r="R98" i="9"/>
  <c r="D98" i="9"/>
  <c r="N98" i="9"/>
  <c r="E98" i="9"/>
  <c r="U98" i="9"/>
  <c r="F98" i="9"/>
  <c r="L98" i="9"/>
  <c r="V98" i="9"/>
  <c r="C98" i="9"/>
  <c r="W98" i="9"/>
  <c r="K98" i="9"/>
  <c r="O98" i="9"/>
  <c r="T98" i="9"/>
  <c r="J98" i="9"/>
  <c r="S98" i="9"/>
  <c r="I98" i="9"/>
  <c r="G61" i="9"/>
  <c r="G62" i="9"/>
  <c r="W113" i="9"/>
  <c r="O113" i="9"/>
  <c r="Q113" i="9"/>
  <c r="T113" i="9"/>
  <c r="V113" i="9"/>
  <c r="K113" i="9"/>
  <c r="D113" i="9"/>
  <c r="F113" i="9"/>
  <c r="S113" i="9"/>
  <c r="C113" i="9"/>
  <c r="L113" i="9"/>
  <c r="H113" i="9"/>
  <c r="G113" i="9"/>
  <c r="R113" i="9"/>
  <c r="J113" i="9"/>
  <c r="E113" i="9"/>
  <c r="I113" i="9"/>
  <c r="P113" i="9"/>
  <c r="M113" i="9"/>
  <c r="U113" i="9"/>
  <c r="N113" i="9"/>
  <c r="T90" i="9"/>
  <c r="U90" i="9"/>
  <c r="J90" i="9"/>
  <c r="G90" i="9"/>
  <c r="L90" i="9"/>
  <c r="E90" i="9"/>
  <c r="F90" i="9"/>
  <c r="W90" i="9"/>
  <c r="I90" i="9"/>
  <c r="S90" i="9"/>
  <c r="H90" i="9"/>
  <c r="C90" i="9"/>
  <c r="D90" i="9"/>
  <c r="N90" i="9"/>
  <c r="R90" i="9"/>
  <c r="M90" i="9"/>
  <c r="P90" i="9"/>
  <c r="V90" i="9"/>
  <c r="K90" i="9"/>
  <c r="O90" i="9"/>
  <c r="Q90" i="9"/>
  <c r="H110" i="9"/>
  <c r="W110" i="9"/>
  <c r="Q110" i="9"/>
  <c r="G110" i="9"/>
  <c r="E110" i="9"/>
  <c r="O110" i="9"/>
  <c r="K110" i="9"/>
  <c r="F110" i="9"/>
  <c r="S110" i="9"/>
  <c r="U110" i="9"/>
  <c r="M110" i="9"/>
  <c r="N110" i="9"/>
  <c r="I110" i="9"/>
  <c r="D110" i="9"/>
  <c r="L110" i="9"/>
  <c r="V110" i="9"/>
  <c r="J110" i="9"/>
  <c r="R110" i="9"/>
  <c r="P110" i="9"/>
  <c r="T110" i="9"/>
  <c r="C110" i="9"/>
  <c r="R91" i="9"/>
  <c r="T91" i="9"/>
  <c r="W91" i="9"/>
  <c r="G91" i="9"/>
  <c r="N91" i="9"/>
  <c r="M91" i="9"/>
  <c r="K91" i="9"/>
  <c r="O91" i="9"/>
  <c r="H91" i="9"/>
  <c r="Q91" i="9"/>
  <c r="V91" i="9"/>
  <c r="P91" i="9"/>
  <c r="F91" i="9"/>
  <c r="C91" i="9"/>
  <c r="L91" i="9"/>
  <c r="U91" i="9"/>
  <c r="S91" i="9"/>
  <c r="D91" i="9"/>
  <c r="E91" i="9"/>
  <c r="J91" i="9"/>
  <c r="I91" i="9"/>
  <c r="S86" i="9"/>
  <c r="D86" i="9"/>
  <c r="N86" i="9"/>
  <c r="H86" i="9"/>
  <c r="W86" i="9"/>
  <c r="J86" i="9"/>
  <c r="O86" i="9"/>
  <c r="L86" i="9"/>
  <c r="K86" i="9"/>
  <c r="E86" i="9"/>
  <c r="U86" i="9"/>
  <c r="G86" i="9"/>
  <c r="T86" i="9"/>
  <c r="I86" i="9"/>
  <c r="Q86" i="9"/>
  <c r="C86" i="9"/>
  <c r="M86" i="9"/>
  <c r="V86" i="9"/>
  <c r="F86" i="9"/>
  <c r="R86" i="9"/>
  <c r="P86" i="9"/>
  <c r="K59" i="9"/>
  <c r="E119" i="1"/>
  <c r="E121" i="1" s="1"/>
  <c r="O95" i="9"/>
  <c r="E95" i="9"/>
  <c r="L95" i="9"/>
  <c r="V95" i="9"/>
  <c r="K95" i="9"/>
  <c r="P95" i="9"/>
  <c r="S95" i="9"/>
  <c r="D95" i="9"/>
  <c r="N95" i="9"/>
  <c r="C95" i="9"/>
  <c r="Q95" i="9"/>
  <c r="M95" i="9"/>
  <c r="U95" i="9"/>
  <c r="W95" i="9"/>
  <c r="H95" i="9"/>
  <c r="G95" i="9"/>
  <c r="T95" i="9"/>
  <c r="I95" i="9"/>
  <c r="R95" i="9"/>
  <c r="J95" i="9"/>
  <c r="F95" i="9"/>
  <c r="N81" i="9"/>
  <c r="H81" i="9"/>
  <c r="V81" i="9"/>
  <c r="L81" i="9"/>
  <c r="C81" i="9"/>
  <c r="I81" i="9"/>
  <c r="R81" i="9"/>
  <c r="J81" i="9"/>
  <c r="O81" i="9"/>
  <c r="T81" i="9"/>
  <c r="G81" i="9"/>
  <c r="S81" i="9"/>
  <c r="W81" i="9"/>
  <c r="K81" i="9"/>
  <c r="F81" i="9"/>
  <c r="E81" i="9"/>
  <c r="D81" i="9"/>
  <c r="P81" i="9"/>
  <c r="U81" i="9"/>
  <c r="M81" i="9"/>
  <c r="Q81" i="9"/>
  <c r="C82" i="9"/>
  <c r="R82" i="9"/>
  <c r="L82" i="9"/>
  <c r="E82" i="9"/>
  <c r="I82" i="9"/>
  <c r="Q82" i="9"/>
  <c r="M82" i="9"/>
  <c r="N82" i="9"/>
  <c r="H82" i="9"/>
  <c r="D82" i="9"/>
  <c r="S82" i="9"/>
  <c r="V82" i="9"/>
  <c r="J82" i="9"/>
  <c r="P82" i="9"/>
  <c r="W82" i="9"/>
  <c r="U82" i="9"/>
  <c r="T82" i="9"/>
  <c r="K82" i="9"/>
  <c r="G82" i="9"/>
  <c r="F82" i="9"/>
  <c r="O82" i="9"/>
  <c r="Q100" i="9"/>
  <c r="R100" i="9"/>
  <c r="G100" i="9"/>
  <c r="N100" i="9"/>
  <c r="O100" i="9"/>
  <c r="T100" i="9"/>
  <c r="S100" i="9"/>
  <c r="F100" i="9"/>
  <c r="C100" i="9"/>
  <c r="W100" i="9"/>
  <c r="P100" i="9"/>
  <c r="V100" i="9"/>
  <c r="J100" i="9"/>
  <c r="E100" i="9"/>
  <c r="U100" i="9"/>
  <c r="M100" i="9"/>
  <c r="K100" i="9"/>
  <c r="I100" i="9"/>
  <c r="D100" i="9"/>
  <c r="H100" i="9"/>
  <c r="L100" i="9"/>
  <c r="R83" i="9"/>
  <c r="C83" i="9"/>
  <c r="D83" i="9"/>
  <c r="W83" i="9"/>
  <c r="T83" i="9"/>
  <c r="I83" i="9"/>
  <c r="V83" i="9"/>
  <c r="F83" i="9"/>
  <c r="N83" i="9"/>
  <c r="G83" i="9"/>
  <c r="J83" i="9"/>
  <c r="M83" i="9"/>
  <c r="L83" i="9"/>
  <c r="E83" i="9"/>
  <c r="U83" i="9"/>
  <c r="O83" i="9"/>
  <c r="K83" i="9"/>
  <c r="H83" i="9"/>
  <c r="P83" i="9"/>
  <c r="S83" i="9"/>
  <c r="Q83" i="9"/>
  <c r="F175" i="9"/>
  <c r="F205" i="9"/>
  <c r="J205" i="9" s="1"/>
  <c r="H55" i="9" s="1"/>
  <c r="B109" i="9" s="1"/>
  <c r="F200" i="9"/>
  <c r="J200" i="9" s="1"/>
  <c r="H50" i="9" s="1"/>
  <c r="B104" i="9" s="1"/>
  <c r="F185" i="9"/>
  <c r="J185" i="9" s="1"/>
  <c r="H35" i="9" s="1"/>
  <c r="B89" i="9" s="1"/>
  <c r="F190" i="9"/>
  <c r="J190" i="9" s="1"/>
  <c r="H40" i="9" s="1"/>
  <c r="B94" i="9" s="1"/>
  <c r="F195" i="9"/>
  <c r="J195" i="9" s="1"/>
  <c r="H45" i="9" s="1"/>
  <c r="B99" i="9" s="1"/>
  <c r="F180" i="9"/>
  <c r="J180" i="9" s="1"/>
  <c r="H30" i="9" s="1"/>
  <c r="B84" i="9" s="1"/>
  <c r="K77" i="9"/>
  <c r="P77" i="9"/>
  <c r="C77" i="9"/>
  <c r="T77" i="9"/>
  <c r="I77" i="9"/>
  <c r="O77" i="9"/>
  <c r="G77" i="9"/>
  <c r="W77" i="9"/>
  <c r="R77" i="9"/>
  <c r="U77" i="9"/>
  <c r="H77" i="9"/>
  <c r="S77" i="9"/>
  <c r="E77" i="9"/>
  <c r="J77" i="9"/>
  <c r="V77" i="9"/>
  <c r="F77" i="9"/>
  <c r="L77" i="9"/>
  <c r="Q77" i="9"/>
  <c r="D77" i="9"/>
  <c r="N77" i="9"/>
  <c r="M77" i="9"/>
  <c r="R103" i="9"/>
  <c r="P103" i="9"/>
  <c r="E103" i="9"/>
  <c r="S103" i="9"/>
  <c r="W103" i="9"/>
  <c r="Q103" i="9"/>
  <c r="C103" i="9"/>
  <c r="V103" i="9"/>
  <c r="G103" i="9"/>
  <c r="D103" i="9"/>
  <c r="J103" i="9"/>
  <c r="T103" i="9"/>
  <c r="O103" i="9"/>
  <c r="N103" i="9"/>
  <c r="L103" i="9"/>
  <c r="I103" i="9"/>
  <c r="F103" i="9"/>
  <c r="M103" i="9"/>
  <c r="K103" i="9"/>
  <c r="H103" i="9"/>
  <c r="U103" i="9"/>
  <c r="U76" i="9"/>
  <c r="E76" i="9"/>
  <c r="F76" i="9"/>
  <c r="T76" i="9"/>
  <c r="P76" i="9"/>
  <c r="S76" i="9"/>
  <c r="O76" i="9"/>
  <c r="L76" i="9"/>
  <c r="H76" i="9"/>
  <c r="I76" i="9"/>
  <c r="V76" i="9"/>
  <c r="K76" i="9"/>
  <c r="N76" i="9"/>
  <c r="D76" i="9"/>
  <c r="Q76" i="9"/>
  <c r="G76" i="9"/>
  <c r="M76" i="9"/>
  <c r="W76" i="9"/>
  <c r="J76" i="9"/>
  <c r="C76" i="9"/>
  <c r="R76" i="9"/>
  <c r="H75" i="9"/>
  <c r="N75" i="9"/>
  <c r="K75" i="9"/>
  <c r="L75" i="9"/>
  <c r="W75" i="9"/>
  <c r="F75" i="9"/>
  <c r="S75" i="9"/>
  <c r="Q75" i="9"/>
  <c r="T75" i="9"/>
  <c r="U75" i="9"/>
  <c r="J75" i="9"/>
  <c r="E75" i="9"/>
  <c r="R75" i="9"/>
  <c r="O75" i="9"/>
  <c r="G75" i="9"/>
  <c r="P75" i="9"/>
  <c r="V75" i="9"/>
  <c r="C75" i="9"/>
  <c r="D75" i="9"/>
  <c r="I75" i="9"/>
  <c r="M75" i="9"/>
  <c r="L61" i="9"/>
  <c r="L62" i="9"/>
  <c r="P85" i="9"/>
  <c r="G85" i="9"/>
  <c r="L85" i="9"/>
  <c r="V85" i="9"/>
  <c r="N85" i="9"/>
  <c r="Q85" i="9"/>
  <c r="S85" i="9"/>
  <c r="M85" i="9"/>
  <c r="J85" i="9"/>
  <c r="F85" i="9"/>
  <c r="O85" i="9"/>
  <c r="C85" i="9"/>
  <c r="U85" i="9"/>
  <c r="H85" i="9"/>
  <c r="T85" i="9"/>
  <c r="E85" i="9"/>
  <c r="K85" i="9"/>
  <c r="D85" i="9"/>
  <c r="W85" i="9"/>
  <c r="I85" i="9"/>
  <c r="R85" i="9"/>
  <c r="I107" i="9"/>
  <c r="P107" i="9"/>
  <c r="W107" i="9"/>
  <c r="C107" i="9"/>
  <c r="F107" i="9"/>
  <c r="G107" i="9"/>
  <c r="N107" i="9"/>
  <c r="D107" i="9"/>
  <c r="O107" i="9"/>
  <c r="M107" i="9"/>
  <c r="Q107" i="9"/>
  <c r="E107" i="9"/>
  <c r="J107" i="9"/>
  <c r="H107" i="9"/>
  <c r="S107" i="9"/>
  <c r="V107" i="9"/>
  <c r="T107" i="9"/>
  <c r="K107" i="9"/>
  <c r="R107" i="9"/>
  <c r="U107" i="9"/>
  <c r="L107" i="9"/>
  <c r="J170" i="9"/>
  <c r="E210" i="9"/>
  <c r="J93" i="9"/>
  <c r="R93" i="9"/>
  <c r="G93" i="9"/>
  <c r="F93" i="9"/>
  <c r="P93" i="9"/>
  <c r="N93" i="9"/>
  <c r="Q93" i="9"/>
  <c r="C93" i="9"/>
  <c r="H93" i="9"/>
  <c r="U93" i="9"/>
  <c r="V93" i="9"/>
  <c r="O93" i="9"/>
  <c r="E93" i="9"/>
  <c r="T93" i="9"/>
  <c r="M93" i="9"/>
  <c r="D93" i="9"/>
  <c r="W93" i="9"/>
  <c r="I93" i="9"/>
  <c r="K93" i="9"/>
  <c r="S93" i="9"/>
  <c r="L93" i="9"/>
  <c r="S108" i="9"/>
  <c r="N108" i="9"/>
  <c r="D108" i="9"/>
  <c r="C108" i="9"/>
  <c r="L108" i="9"/>
  <c r="E108" i="9"/>
  <c r="Q108" i="9"/>
  <c r="G108" i="9"/>
  <c r="U108" i="9"/>
  <c r="P108" i="9"/>
  <c r="W108" i="9"/>
  <c r="R108" i="9"/>
  <c r="O108" i="9"/>
  <c r="T108" i="9"/>
  <c r="V108" i="9"/>
  <c r="K108" i="9"/>
  <c r="J108" i="9"/>
  <c r="F108" i="9"/>
  <c r="M108" i="9"/>
  <c r="I108" i="9"/>
  <c r="H108" i="9"/>
  <c r="R96" i="9"/>
  <c r="G96" i="9"/>
  <c r="L96" i="9"/>
  <c r="E96" i="9"/>
  <c r="K96" i="9"/>
  <c r="U96" i="9"/>
  <c r="V96" i="9"/>
  <c r="N96" i="9"/>
  <c r="Q96" i="9"/>
  <c r="F96" i="9"/>
  <c r="C96" i="9"/>
  <c r="D96" i="9"/>
  <c r="O96" i="9"/>
  <c r="W96" i="9"/>
  <c r="J96" i="9"/>
  <c r="S96" i="9"/>
  <c r="T96" i="9"/>
  <c r="P96" i="9"/>
  <c r="M96" i="9"/>
  <c r="H96" i="9"/>
  <c r="I96" i="9"/>
  <c r="V80" i="9"/>
  <c r="R80" i="9"/>
  <c r="J80" i="9"/>
  <c r="Q80" i="9"/>
  <c r="E80" i="9"/>
  <c r="M80" i="9"/>
  <c r="D80" i="9"/>
  <c r="K80" i="9"/>
  <c r="U80" i="9"/>
  <c r="F80" i="9"/>
  <c r="N80" i="9"/>
  <c r="O80" i="9"/>
  <c r="T80" i="9"/>
  <c r="P80" i="9"/>
  <c r="G80" i="9"/>
  <c r="W80" i="9"/>
  <c r="S80" i="9"/>
  <c r="L80" i="9"/>
  <c r="H80" i="9"/>
  <c r="C80" i="9"/>
  <c r="I80" i="9"/>
  <c r="D106" i="9"/>
  <c r="H106" i="9"/>
  <c r="Q106" i="9"/>
  <c r="C106" i="9"/>
  <c r="G106" i="9"/>
  <c r="V106" i="9"/>
  <c r="L106" i="9"/>
  <c r="R106" i="9"/>
  <c r="S106" i="9"/>
  <c r="W106" i="9"/>
  <c r="J106" i="9"/>
  <c r="E106" i="9"/>
  <c r="N106" i="9"/>
  <c r="P106" i="9"/>
  <c r="I106" i="9"/>
  <c r="O106" i="9"/>
  <c r="U106" i="9"/>
  <c r="M106" i="9"/>
  <c r="T106" i="9"/>
  <c r="F106" i="9"/>
  <c r="K106" i="9"/>
  <c r="L92" i="9"/>
  <c r="V92" i="9"/>
  <c r="F92" i="9"/>
  <c r="K92" i="9"/>
  <c r="M92" i="9"/>
  <c r="J92" i="9"/>
  <c r="D92" i="9"/>
  <c r="H92" i="9"/>
  <c r="U92" i="9"/>
  <c r="C92" i="9"/>
  <c r="Q92" i="9"/>
  <c r="E92" i="9"/>
  <c r="I92" i="9"/>
  <c r="T92" i="9"/>
  <c r="N92" i="9"/>
  <c r="G92" i="9"/>
  <c r="P92" i="9"/>
  <c r="W92" i="9"/>
  <c r="R92" i="9"/>
  <c r="O92" i="9"/>
  <c r="S92" i="9"/>
  <c r="R104" i="9" l="1"/>
  <c r="L104" i="9"/>
  <c r="T104" i="9"/>
  <c r="U104" i="9"/>
  <c r="F104" i="9"/>
  <c r="Q104" i="9"/>
  <c r="V104" i="9"/>
  <c r="J104" i="9"/>
  <c r="K104" i="9"/>
  <c r="D104" i="9"/>
  <c r="W104" i="9"/>
  <c r="P104" i="9"/>
  <c r="S104" i="9"/>
  <c r="G104" i="9"/>
  <c r="O104" i="9"/>
  <c r="C104" i="9"/>
  <c r="M104" i="9"/>
  <c r="E104" i="9"/>
  <c r="H104" i="9"/>
  <c r="N104" i="9"/>
  <c r="I104" i="9"/>
  <c r="T62" i="9"/>
  <c r="D12" i="9" s="1"/>
  <c r="D14" i="9" s="1"/>
  <c r="T61" i="9"/>
  <c r="J109" i="9"/>
  <c r="V109" i="9"/>
  <c r="D109" i="9"/>
  <c r="R109" i="9"/>
  <c r="S109" i="9"/>
  <c r="C109" i="9"/>
  <c r="G109" i="9"/>
  <c r="H109" i="9"/>
  <c r="N109" i="9"/>
  <c r="W109" i="9"/>
  <c r="U109" i="9"/>
  <c r="P109" i="9"/>
  <c r="M109" i="9"/>
  <c r="I109" i="9"/>
  <c r="Q109" i="9"/>
  <c r="T109" i="9"/>
  <c r="O109" i="9"/>
  <c r="F109" i="9"/>
  <c r="E109" i="9"/>
  <c r="K109" i="9"/>
  <c r="L109" i="9"/>
  <c r="J175" i="9"/>
  <c r="H25" i="9" s="1"/>
  <c r="B79" i="9" s="1"/>
  <c r="F210" i="9"/>
  <c r="H20" i="9"/>
  <c r="J84" i="9"/>
  <c r="K84" i="9"/>
  <c r="M84" i="9"/>
  <c r="O84" i="9"/>
  <c r="N84" i="9"/>
  <c r="S84" i="9"/>
  <c r="Q84" i="9"/>
  <c r="C84" i="9"/>
  <c r="W84" i="9"/>
  <c r="U84" i="9"/>
  <c r="P84" i="9"/>
  <c r="F84" i="9"/>
  <c r="V84" i="9"/>
  <c r="E84" i="9"/>
  <c r="T84" i="9"/>
  <c r="G84" i="9"/>
  <c r="L84" i="9"/>
  <c r="H84" i="9"/>
  <c r="I84" i="9"/>
  <c r="R84" i="9"/>
  <c r="D84" i="9"/>
  <c r="M41" i="9"/>
  <c r="M40" i="9"/>
  <c r="M24" i="9"/>
  <c r="M29" i="9"/>
  <c r="M20" i="9"/>
  <c r="M31" i="9"/>
  <c r="M47" i="9"/>
  <c r="M25" i="9"/>
  <c r="M37" i="9"/>
  <c r="M50" i="9"/>
  <c r="M34" i="9"/>
  <c r="M38" i="9"/>
  <c r="M35" i="9"/>
  <c r="M48" i="9"/>
  <c r="M59" i="9"/>
  <c r="M52" i="9"/>
  <c r="M45" i="9"/>
  <c r="M42" i="9"/>
  <c r="M21" i="9"/>
  <c r="M27" i="9"/>
  <c r="M44" i="9"/>
  <c r="M56" i="9"/>
  <c r="M32" i="9"/>
  <c r="M53" i="9"/>
  <c r="I53" i="9" s="1"/>
  <c r="M51" i="9"/>
  <c r="M57" i="9"/>
  <c r="M39" i="9"/>
  <c r="M30" i="9"/>
  <c r="I30" i="9" s="1"/>
  <c r="M22" i="9"/>
  <c r="M28" i="9"/>
  <c r="M55" i="9"/>
  <c r="M58" i="9"/>
  <c r="M43" i="9"/>
  <c r="M46" i="9"/>
  <c r="M33" i="9"/>
  <c r="M54" i="9"/>
  <c r="M49" i="9"/>
  <c r="M36" i="9"/>
  <c r="M26" i="9"/>
  <c r="M23" i="9"/>
  <c r="M99" i="9"/>
  <c r="Q99" i="9"/>
  <c r="L99" i="9"/>
  <c r="D99" i="9"/>
  <c r="V99" i="9"/>
  <c r="O99" i="9"/>
  <c r="R99" i="9"/>
  <c r="C99" i="9"/>
  <c r="E99" i="9"/>
  <c r="I99" i="9"/>
  <c r="J99" i="9"/>
  <c r="T99" i="9"/>
  <c r="F99" i="9"/>
  <c r="S99" i="9"/>
  <c r="W99" i="9"/>
  <c r="G99" i="9"/>
  <c r="K99" i="9"/>
  <c r="N99" i="9"/>
  <c r="P99" i="9"/>
  <c r="H99" i="9"/>
  <c r="U99" i="9"/>
  <c r="K62" i="9"/>
  <c r="K61" i="9"/>
  <c r="O61" i="9"/>
  <c r="O62" i="9"/>
  <c r="P19" i="9"/>
  <c r="W19" i="9" s="1"/>
  <c r="O94" i="9"/>
  <c r="V94" i="9"/>
  <c r="K94" i="9"/>
  <c r="J94" i="9"/>
  <c r="G94" i="9"/>
  <c r="R94" i="9"/>
  <c r="E94" i="9"/>
  <c r="C94" i="9"/>
  <c r="L94" i="9"/>
  <c r="F94" i="9"/>
  <c r="M94" i="9"/>
  <c r="W94" i="9"/>
  <c r="H94" i="9"/>
  <c r="Q94" i="9"/>
  <c r="U94" i="9"/>
  <c r="S94" i="9"/>
  <c r="N94" i="9"/>
  <c r="T94" i="9"/>
  <c r="P94" i="9"/>
  <c r="D94" i="9"/>
  <c r="I94" i="9"/>
  <c r="P89" i="9"/>
  <c r="N89" i="9"/>
  <c r="L89" i="9"/>
  <c r="G89" i="9"/>
  <c r="T89" i="9"/>
  <c r="U89" i="9"/>
  <c r="W89" i="9"/>
  <c r="Q89" i="9"/>
  <c r="K89" i="9"/>
  <c r="C89" i="9"/>
  <c r="I89" i="9"/>
  <c r="S89" i="9"/>
  <c r="H89" i="9"/>
  <c r="F89" i="9"/>
  <c r="M89" i="9"/>
  <c r="E89" i="9"/>
  <c r="J89" i="9"/>
  <c r="R89" i="9"/>
  <c r="D89" i="9"/>
  <c r="V89" i="9"/>
  <c r="O89" i="9"/>
  <c r="I21" i="9" l="1"/>
  <c r="I23" i="9"/>
  <c r="I36" i="9"/>
  <c r="I57" i="9"/>
  <c r="I49" i="9"/>
  <c r="I54" i="9"/>
  <c r="I43" i="9"/>
  <c r="I46" i="9"/>
  <c r="I42" i="9"/>
  <c r="I25" i="9"/>
  <c r="I26" i="9"/>
  <c r="I32" i="9"/>
  <c r="I51" i="9"/>
  <c r="I45" i="9"/>
  <c r="I58" i="9"/>
  <c r="I33" i="9"/>
  <c r="I39" i="9"/>
  <c r="I48" i="9"/>
  <c r="I22" i="9"/>
  <c r="I41" i="9"/>
  <c r="I55" i="9"/>
  <c r="I28" i="9"/>
  <c r="I35" i="9"/>
  <c r="I50" i="9"/>
  <c r="I40" i="9"/>
  <c r="H62" i="9"/>
  <c r="H61" i="9"/>
  <c r="I37" i="9"/>
  <c r="B74" i="9"/>
  <c r="I52" i="9"/>
  <c r="I47" i="9"/>
  <c r="T79" i="9"/>
  <c r="W79" i="9"/>
  <c r="Q79" i="9"/>
  <c r="K79" i="9"/>
  <c r="R79" i="9"/>
  <c r="D79" i="9"/>
  <c r="N79" i="9"/>
  <c r="I79" i="9"/>
  <c r="V79" i="9"/>
  <c r="E79" i="9"/>
  <c r="L79" i="9"/>
  <c r="G79" i="9"/>
  <c r="P79" i="9"/>
  <c r="U79" i="9"/>
  <c r="M79" i="9"/>
  <c r="C79" i="9"/>
  <c r="O79" i="9"/>
  <c r="H79" i="9"/>
  <c r="F79" i="9"/>
  <c r="S79" i="9"/>
  <c r="J79" i="9"/>
  <c r="I56" i="9"/>
  <c r="I31" i="9"/>
  <c r="I44" i="9"/>
  <c r="M62" i="9"/>
  <c r="E12" i="9" s="1"/>
  <c r="E14" i="9" s="1"/>
  <c r="M61" i="9"/>
  <c r="I20" i="9"/>
  <c r="I27" i="9"/>
  <c r="I38" i="9"/>
  <c r="I29" i="9"/>
  <c r="I34" i="9"/>
  <c r="I24" i="9"/>
  <c r="J210" i="9"/>
  <c r="G38" i="10" s="1"/>
  <c r="G163" i="16" s="1"/>
  <c r="V74" i="9" l="1"/>
  <c r="K74" i="9"/>
  <c r="P74" i="9"/>
  <c r="N74" i="9"/>
  <c r="S74" i="9"/>
  <c r="I74" i="9"/>
  <c r="M74" i="9"/>
  <c r="J74" i="9"/>
  <c r="Q74" i="9"/>
  <c r="T74" i="9"/>
  <c r="D74" i="9"/>
  <c r="E74" i="9"/>
  <c r="R74" i="9"/>
  <c r="H74" i="9"/>
  <c r="C74" i="9"/>
  <c r="U74" i="9"/>
  <c r="L74" i="9"/>
  <c r="W74" i="9"/>
  <c r="F74" i="9"/>
  <c r="G74" i="9"/>
  <c r="O74" i="9"/>
  <c r="I59" i="9"/>
  <c r="I62" i="9" s="1"/>
  <c r="B12" i="9" s="1"/>
  <c r="B14" i="9" s="1"/>
  <c r="G34" i="10"/>
  <c r="G37" i="10"/>
  <c r="G162" i="16" s="1"/>
  <c r="G36" i="10"/>
  <c r="G161" i="16" s="1"/>
  <c r="G39" i="10" l="1"/>
  <c r="G164" i="16" s="1"/>
  <c r="G159" i="16"/>
  <c r="I61" i="9"/>
  <c r="X95" i="9" a="1"/>
  <c r="X95" i="9" s="1"/>
  <c r="Q41" i="9" s="1"/>
  <c r="X83" i="9" a="1"/>
  <c r="X83" i="9" s="1"/>
  <c r="Q29" i="9" s="1"/>
  <c r="X113" i="9" a="1"/>
  <c r="X113" i="9" s="1"/>
  <c r="X118" i="9" a="1"/>
  <c r="X118" i="9" s="1"/>
  <c r="X106" i="9" a="1"/>
  <c r="X106" i="9" s="1"/>
  <c r="Q52" i="9" s="1"/>
  <c r="X86" i="9" a="1"/>
  <c r="X86" i="9" s="1"/>
  <c r="Q32" i="9" s="1"/>
  <c r="X98" i="9" a="1"/>
  <c r="X98" i="9" s="1"/>
  <c r="Q44" i="9" s="1"/>
  <c r="X133" i="9" a="1"/>
  <c r="X133" i="9" s="1"/>
  <c r="X78" i="9" a="1"/>
  <c r="X78" i="9" s="1"/>
  <c r="Q24" i="9" s="1"/>
  <c r="X80" i="9" a="1"/>
  <c r="X80" i="9" s="1"/>
  <c r="Q26" i="9" s="1"/>
  <c r="X96" i="9" a="1"/>
  <c r="X96" i="9" s="1"/>
  <c r="Q42" i="9" s="1"/>
  <c r="X126" i="9" a="1"/>
  <c r="X126" i="9" s="1"/>
  <c r="X121" i="9" a="1"/>
  <c r="X121" i="9" s="1"/>
  <c r="X125" i="9" a="1"/>
  <c r="X125" i="9" s="1"/>
  <c r="X74" i="9" a="1"/>
  <c r="X74" i="9" s="1"/>
  <c r="Q20" i="9" s="1"/>
  <c r="X81" i="9" a="1"/>
  <c r="X81" i="9" s="1"/>
  <c r="Q27" i="9" s="1"/>
  <c r="X79" i="9" a="1"/>
  <c r="X79" i="9" s="1"/>
  <c r="Q25" i="9" s="1"/>
  <c r="X82" i="9" a="1"/>
  <c r="X82" i="9" s="1"/>
  <c r="Q28" i="9" s="1"/>
  <c r="X89" i="9" a="1"/>
  <c r="X89" i="9" s="1"/>
  <c r="Q35" i="9" s="1"/>
  <c r="X131" i="9" a="1"/>
  <c r="X131" i="9" s="1"/>
  <c r="X116" i="9" a="1"/>
  <c r="X116" i="9" s="1"/>
  <c r="X129" i="9" a="1"/>
  <c r="X129" i="9" s="1"/>
  <c r="X101" i="9" a="1"/>
  <c r="X101" i="9" s="1"/>
  <c r="Q47" i="9" s="1"/>
  <c r="X76" i="9" a="1"/>
  <c r="X76" i="9" s="1"/>
  <c r="Q22" i="9" s="1"/>
  <c r="X93" i="9" a="1"/>
  <c r="X93" i="9" s="1"/>
  <c r="Q39" i="9" s="1"/>
  <c r="X109" i="9" a="1"/>
  <c r="X109" i="9" s="1"/>
  <c r="Q55" i="9" s="1"/>
  <c r="X120" i="9" a="1"/>
  <c r="X120" i="9" s="1"/>
  <c r="X117" i="9" a="1"/>
  <c r="X117" i="9" s="1"/>
  <c r="X114" i="9" a="1"/>
  <c r="X114" i="9" s="1"/>
  <c r="X123" i="9" a="1"/>
  <c r="X123" i="9" s="1"/>
  <c r="X103" i="9" a="1"/>
  <c r="X103" i="9" s="1"/>
  <c r="Q49" i="9" s="1"/>
  <c r="X75" i="9" a="1"/>
  <c r="X75" i="9" s="1"/>
  <c r="Q21" i="9" s="1"/>
  <c r="X99" i="9" a="1"/>
  <c r="X99" i="9" s="1"/>
  <c r="Q45" i="9" s="1"/>
  <c r="X94" i="9" a="1"/>
  <c r="X94" i="9" s="1"/>
  <c r="Q40" i="9" s="1"/>
  <c r="X100" i="9" a="1"/>
  <c r="X100" i="9" s="1"/>
  <c r="Q46" i="9" s="1"/>
  <c r="X90" i="9" a="1"/>
  <c r="X90" i="9" s="1"/>
  <c r="Q36" i="9" s="1"/>
  <c r="X84" i="9" a="1"/>
  <c r="X84" i="9" s="1"/>
  <c r="Q30" i="9" s="1"/>
  <c r="X73" i="9" a="1"/>
  <c r="X73" i="9" s="1"/>
  <c r="Q19" i="9" s="1"/>
  <c r="X111" i="9" a="1"/>
  <c r="X111" i="9" s="1"/>
  <c r="Q57" i="9" s="1"/>
  <c r="X104" i="9" a="1"/>
  <c r="X104" i="9" s="1"/>
  <c r="Q50" i="9" s="1"/>
  <c r="X87" i="9" a="1"/>
  <c r="X87" i="9" s="1"/>
  <c r="Q33" i="9" s="1"/>
  <c r="X97" i="9" a="1"/>
  <c r="X97" i="9" s="1"/>
  <c r="Q43" i="9" s="1"/>
  <c r="X85" i="9" a="1"/>
  <c r="X85" i="9" s="1"/>
  <c r="Q31" i="9" s="1"/>
  <c r="X130" i="9" a="1"/>
  <c r="X130" i="9" s="1"/>
  <c r="X105" i="9" a="1"/>
  <c r="X105" i="9" s="1"/>
  <c r="Q51" i="9" s="1"/>
  <c r="X112" i="9" a="1"/>
  <c r="X112" i="9" s="1"/>
  <c r="Q58" i="9" s="1"/>
  <c r="X107" i="9" a="1"/>
  <c r="X107" i="9" s="1"/>
  <c r="Q53" i="9" s="1"/>
  <c r="X108" i="9" a="1"/>
  <c r="X108" i="9" s="1"/>
  <c r="Q54" i="9" s="1"/>
  <c r="X110" i="9" a="1"/>
  <c r="X110" i="9" s="1"/>
  <c r="Q56" i="9" s="1"/>
  <c r="X88" i="9" a="1"/>
  <c r="X88" i="9" s="1"/>
  <c r="Q34" i="9" s="1"/>
  <c r="X134" i="9" a="1"/>
  <c r="X134" i="9" s="1"/>
  <c r="X132" i="9" a="1"/>
  <c r="X132" i="9" s="1"/>
  <c r="X124" i="9" a="1"/>
  <c r="X124" i="9" s="1"/>
  <c r="X122" i="9" a="1"/>
  <c r="X122" i="9" s="1"/>
  <c r="X91" i="9" a="1"/>
  <c r="X91" i="9" s="1"/>
  <c r="Q37" i="9" s="1"/>
  <c r="X77" i="9" a="1"/>
  <c r="X77" i="9" s="1"/>
  <c r="Q23" i="9" s="1"/>
  <c r="X102" i="9" a="1"/>
  <c r="X102" i="9" s="1"/>
  <c r="Q48" i="9" s="1"/>
  <c r="X92" i="9" a="1"/>
  <c r="X92" i="9" s="1"/>
  <c r="Q38" i="9" s="1"/>
  <c r="X119" i="9" a="1"/>
  <c r="X119" i="9" s="1"/>
  <c r="X128" i="9" a="1"/>
  <c r="X128" i="9" s="1"/>
  <c r="X127" i="9" a="1"/>
  <c r="X127" i="9" s="1"/>
  <c r="X115" i="9" a="1"/>
  <c r="X115" i="9" s="1"/>
  <c r="Q59" i="9" l="1"/>
  <c r="Q61" i="9" s="1"/>
  <c r="R19" i="9"/>
  <c r="S19" i="9" s="1"/>
  <c r="U19" i="9" s="1"/>
  <c r="V19" i="9" s="1"/>
  <c r="Q62" i="9" l="1"/>
  <c r="C12" i="9" s="1"/>
  <c r="C14" i="9" s="1"/>
  <c r="B5" i="9" s="1"/>
  <c r="E32" i="9" s="1"/>
  <c r="P32" i="9" s="1"/>
  <c r="E30" i="9" l="1"/>
  <c r="P30" i="9" s="1"/>
  <c r="W30" i="9" s="1"/>
  <c r="E59" i="9"/>
  <c r="P59" i="9" s="1"/>
  <c r="R59" i="9" s="1"/>
  <c r="S59" i="9" s="1"/>
  <c r="U59" i="9" s="1"/>
  <c r="E45" i="9"/>
  <c r="P45" i="9" s="1"/>
  <c r="R45" i="9" s="1"/>
  <c r="S45" i="9" s="1"/>
  <c r="U45" i="9" s="1"/>
  <c r="E21" i="9"/>
  <c r="P21" i="9" s="1"/>
  <c r="R21" i="9" s="1"/>
  <c r="S21" i="9" s="1"/>
  <c r="U21" i="9" s="1"/>
  <c r="E27" i="9"/>
  <c r="P27" i="9" s="1"/>
  <c r="R27" i="9" s="1"/>
  <c r="S27" i="9" s="1"/>
  <c r="U27" i="9" s="1"/>
  <c r="E56" i="9"/>
  <c r="P56" i="9" s="1"/>
  <c r="R56" i="9" s="1"/>
  <c r="S56" i="9" s="1"/>
  <c r="U56" i="9" s="1"/>
  <c r="E39" i="9"/>
  <c r="P39" i="9" s="1"/>
  <c r="R39" i="9" s="1"/>
  <c r="S39" i="9" s="1"/>
  <c r="U39" i="9" s="1"/>
  <c r="E58" i="9"/>
  <c r="P58" i="9" s="1"/>
  <c r="R58" i="9" s="1"/>
  <c r="S58" i="9" s="1"/>
  <c r="U58" i="9" s="1"/>
  <c r="E53" i="9"/>
  <c r="P53" i="9" s="1"/>
  <c r="W53" i="9" s="1"/>
  <c r="B7" i="9"/>
  <c r="B1" i="8" s="1"/>
  <c r="E22" i="9"/>
  <c r="P22" i="9" s="1"/>
  <c r="R22" i="9" s="1"/>
  <c r="S22" i="9" s="1"/>
  <c r="U22" i="9" s="1"/>
  <c r="E54" i="9"/>
  <c r="P54" i="9" s="1"/>
  <c r="R54" i="9" s="1"/>
  <c r="S54" i="9" s="1"/>
  <c r="U54" i="9" s="1"/>
  <c r="E50" i="9"/>
  <c r="P50" i="9" s="1"/>
  <c r="R50" i="9" s="1"/>
  <c r="S50" i="9" s="1"/>
  <c r="U50" i="9" s="1"/>
  <c r="E42" i="9"/>
  <c r="P42" i="9" s="1"/>
  <c r="R42" i="9" s="1"/>
  <c r="S42" i="9" s="1"/>
  <c r="U42" i="9" s="1"/>
  <c r="E46" i="9"/>
  <c r="P46" i="9" s="1"/>
  <c r="R46" i="9" s="1"/>
  <c r="S46" i="9" s="1"/>
  <c r="U46" i="9" s="1"/>
  <c r="E38" i="9"/>
  <c r="P38" i="9" s="1"/>
  <c r="R38" i="9" s="1"/>
  <c r="S38" i="9" s="1"/>
  <c r="U38" i="9" s="1"/>
  <c r="E28" i="9"/>
  <c r="P28" i="9" s="1"/>
  <c r="W28" i="9" s="1"/>
  <c r="E40" i="9"/>
  <c r="P40" i="9" s="1"/>
  <c r="W40" i="9" s="1"/>
  <c r="E52" i="9"/>
  <c r="P52" i="9" s="1"/>
  <c r="W52" i="9" s="1"/>
  <c r="E48" i="9"/>
  <c r="P48" i="9" s="1"/>
  <c r="W48" i="9" s="1"/>
  <c r="E20" i="9"/>
  <c r="P20" i="9" s="1"/>
  <c r="E49" i="9"/>
  <c r="P49" i="9" s="1"/>
  <c r="R49" i="9" s="1"/>
  <c r="S49" i="9" s="1"/>
  <c r="U49" i="9" s="1"/>
  <c r="E47" i="9"/>
  <c r="P47" i="9" s="1"/>
  <c r="W47" i="9" s="1"/>
  <c r="E23" i="9"/>
  <c r="P23" i="9" s="1"/>
  <c r="R23" i="9" s="1"/>
  <c r="S23" i="9" s="1"/>
  <c r="U23" i="9" s="1"/>
  <c r="E34" i="9"/>
  <c r="P34" i="9" s="1"/>
  <c r="W34" i="9" s="1"/>
  <c r="E37" i="9"/>
  <c r="P37" i="9" s="1"/>
  <c r="W37" i="9" s="1"/>
  <c r="E57" i="9"/>
  <c r="P57" i="9" s="1"/>
  <c r="R57" i="9" s="1"/>
  <c r="S57" i="9" s="1"/>
  <c r="U57" i="9" s="1"/>
  <c r="E41" i="9"/>
  <c r="P41" i="9" s="1"/>
  <c r="W41" i="9" s="1"/>
  <c r="E33" i="9"/>
  <c r="P33" i="9" s="1"/>
  <c r="W33" i="9" s="1"/>
  <c r="E24" i="9"/>
  <c r="P24" i="9" s="1"/>
  <c r="R24" i="9" s="1"/>
  <c r="S24" i="9" s="1"/>
  <c r="U24" i="9" s="1"/>
  <c r="E51" i="9"/>
  <c r="P51" i="9" s="1"/>
  <c r="R51" i="9" s="1"/>
  <c r="S51" i="9" s="1"/>
  <c r="U51" i="9" s="1"/>
  <c r="E35" i="9"/>
  <c r="P35" i="9" s="1"/>
  <c r="R35" i="9" s="1"/>
  <c r="S35" i="9" s="1"/>
  <c r="U35" i="9" s="1"/>
  <c r="E29" i="9"/>
  <c r="P29" i="9" s="1"/>
  <c r="R29" i="9" s="1"/>
  <c r="S29" i="9" s="1"/>
  <c r="U29" i="9" s="1"/>
  <c r="E36" i="9"/>
  <c r="P36" i="9" s="1"/>
  <c r="R36" i="9" s="1"/>
  <c r="S36" i="9" s="1"/>
  <c r="U36" i="9" s="1"/>
  <c r="E25" i="9"/>
  <c r="P25" i="9" s="1"/>
  <c r="W25" i="9" s="1"/>
  <c r="E44" i="9"/>
  <c r="P44" i="9" s="1"/>
  <c r="R44" i="9" s="1"/>
  <c r="S44" i="9" s="1"/>
  <c r="U44" i="9" s="1"/>
  <c r="E43" i="9"/>
  <c r="P43" i="9" s="1"/>
  <c r="W43" i="9" s="1"/>
  <c r="E26" i="9"/>
  <c r="P26" i="9" s="1"/>
  <c r="W26" i="9" s="1"/>
  <c r="E55" i="9"/>
  <c r="P55" i="9" s="1"/>
  <c r="W55" i="9" s="1"/>
  <c r="E31" i="9"/>
  <c r="P31" i="9" s="1"/>
  <c r="R31" i="9" s="1"/>
  <c r="S31" i="9" s="1"/>
  <c r="U31" i="9" s="1"/>
  <c r="R30" i="9"/>
  <c r="S30" i="9" s="1"/>
  <c r="U30" i="9" s="1"/>
  <c r="R32" i="9"/>
  <c r="S32" i="9" s="1"/>
  <c r="U32" i="9" s="1"/>
  <c r="W32" i="9"/>
  <c r="R53" i="9" l="1"/>
  <c r="S53" i="9" s="1"/>
  <c r="U53" i="9" s="1"/>
  <c r="B1" i="1"/>
  <c r="B1" i="10"/>
  <c r="B1" i="9"/>
  <c r="B1" i="16"/>
  <c r="B1" i="3"/>
  <c r="R28" i="9"/>
  <c r="S28" i="9" s="1"/>
  <c r="U28" i="9" s="1"/>
  <c r="W54" i="9"/>
  <c r="W56" i="9"/>
  <c r="W49" i="9"/>
  <c r="R40" i="9"/>
  <c r="S40" i="9" s="1"/>
  <c r="U40" i="9" s="1"/>
  <c r="W59" i="9"/>
  <c r="W42" i="9"/>
  <c r="W45" i="9"/>
  <c r="W21" i="9"/>
  <c r="W27" i="9"/>
  <c r="W50" i="9"/>
  <c r="R48" i="9"/>
  <c r="S48" i="9" s="1"/>
  <c r="U48" i="9" s="1"/>
  <c r="R47" i="9"/>
  <c r="S47" i="9" s="1"/>
  <c r="U47" i="9" s="1"/>
  <c r="W22" i="9"/>
  <c r="W39" i="9"/>
  <c r="W38" i="9"/>
  <c r="W23" i="9"/>
  <c r="W58" i="9"/>
  <c r="W46" i="9"/>
  <c r="R52" i="9"/>
  <c r="S52" i="9" s="1"/>
  <c r="U52" i="9" s="1"/>
  <c r="W24" i="9"/>
  <c r="R33" i="9"/>
  <c r="S33" i="9" s="1"/>
  <c r="U33" i="9" s="1"/>
  <c r="W57" i="9"/>
  <c r="R34" i="9"/>
  <c r="S34" i="9" s="1"/>
  <c r="U34" i="9" s="1"/>
  <c r="R37" i="9"/>
  <c r="S37" i="9" s="1"/>
  <c r="U37" i="9" s="1"/>
  <c r="W51" i="9"/>
  <c r="R55" i="9"/>
  <c r="S55" i="9" s="1"/>
  <c r="U55" i="9" s="1"/>
  <c r="W35" i="9"/>
  <c r="R41" i="9"/>
  <c r="S41" i="9" s="1"/>
  <c r="U41" i="9" s="1"/>
  <c r="W44" i="9"/>
  <c r="W29" i="9"/>
  <c r="W36" i="9"/>
  <c r="R43" i="9"/>
  <c r="S43" i="9" s="1"/>
  <c r="U43" i="9" s="1"/>
  <c r="R25" i="9"/>
  <c r="S25" i="9" s="1"/>
  <c r="U25" i="9" s="1"/>
  <c r="E61" i="9"/>
  <c r="E62" i="9"/>
  <c r="J12" i="9" s="1"/>
  <c r="J13" i="9" s="1"/>
  <c r="W31" i="9"/>
  <c r="R26" i="9"/>
  <c r="S26" i="9" s="1"/>
  <c r="U26" i="9" s="1"/>
  <c r="P62" i="9"/>
  <c r="W20" i="9"/>
  <c r="P61" i="9"/>
  <c r="R20" i="9"/>
  <c r="R62" i="9" l="1"/>
  <c r="R61" i="9"/>
  <c r="S20" i="9"/>
  <c r="W62" i="9"/>
  <c r="W61" i="9"/>
  <c r="S62" i="9" l="1"/>
  <c r="U20" i="9"/>
  <c r="S61" i="9"/>
  <c r="U61" i="9" l="1"/>
  <c r="B6" i="10" s="1" a="1"/>
  <c r="B6" i="10" s="1"/>
  <c r="B23" i="10" s="1"/>
  <c r="B6" i="9"/>
  <c r="U62" i="9"/>
  <c r="C6" i="10" s="1" a="1"/>
  <c r="V20" i="9"/>
  <c r="V21" i="9" l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G10" i="10"/>
  <c r="G9" i="10"/>
  <c r="G11" i="10"/>
  <c r="G8" i="10"/>
  <c r="C6" i="10"/>
  <c r="G7" i="10"/>
  <c r="H9" i="10" l="1"/>
  <c r="C171" i="16" s="1"/>
  <c r="B171" i="16"/>
  <c r="B172" i="16"/>
  <c r="H10" i="10"/>
  <c r="G13" i="10"/>
  <c r="G16" i="10" s="1"/>
  <c r="C23" i="10"/>
  <c r="B173" i="16"/>
  <c r="H11" i="10"/>
  <c r="V62" i="9"/>
  <c r="H7" i="10"/>
  <c r="B32" i="10" s="1"/>
  <c r="B169" i="16"/>
  <c r="H8" i="10"/>
  <c r="B170" i="16"/>
  <c r="V61" i="9"/>
  <c r="D32" i="10" l="1"/>
  <c r="D33" i="10"/>
  <c r="D158" i="16" s="1"/>
  <c r="D38" i="10"/>
  <c r="D163" i="16" s="1"/>
  <c r="D37" i="10"/>
  <c r="D162" i="16" s="1"/>
  <c r="D34" i="10"/>
  <c r="D159" i="16" s="1"/>
  <c r="D35" i="10"/>
  <c r="D160" i="16" s="1"/>
  <c r="D36" i="10"/>
  <c r="D161" i="16" s="1"/>
  <c r="C170" i="16"/>
  <c r="C35" i="10"/>
  <c r="C160" i="16" s="1"/>
  <c r="C33" i="10"/>
  <c r="C158" i="16" s="1"/>
  <c r="C34" i="10"/>
  <c r="C159" i="16" s="1"/>
  <c r="C36" i="10"/>
  <c r="C161" i="16" s="1"/>
  <c r="D141" i="16" s="1"/>
  <c r="C32" i="10"/>
  <c r="C38" i="10"/>
  <c r="C163" i="16" s="1"/>
  <c r="C37" i="10"/>
  <c r="C162" i="16" s="1"/>
  <c r="C172" i="16"/>
  <c r="B36" i="10"/>
  <c r="B161" i="16" s="1"/>
  <c r="B34" i="10"/>
  <c r="B159" i="16" s="1"/>
  <c r="B35" i="10"/>
  <c r="B160" i="16" s="1"/>
  <c r="B33" i="10"/>
  <c r="B158" i="16" s="1"/>
  <c r="B37" i="10"/>
  <c r="B162" i="16" s="1"/>
  <c r="B38" i="10"/>
  <c r="B163" i="16" s="1"/>
  <c r="C169" i="16"/>
  <c r="H16" i="10"/>
  <c r="I9" i="10" s="1"/>
  <c r="C173" i="16"/>
  <c r="F141" i="16" s="1"/>
  <c r="I11" i="10" l="1"/>
  <c r="I7" i="10"/>
  <c r="B39" i="10"/>
  <c r="B157" i="16"/>
  <c r="B141" i="16"/>
  <c r="I10" i="10"/>
  <c r="C39" i="10"/>
  <c r="C164" i="16" s="1"/>
  <c r="E141" i="16" s="1"/>
  <c r="C157" i="16"/>
  <c r="I8" i="10"/>
  <c r="D157" i="16"/>
  <c r="D39" i="10"/>
  <c r="D164" i="16" s="1"/>
  <c r="B164" i="16" l="1"/>
  <c r="C141" i="16" s="1"/>
  <c r="G141" i="16" s="1"/>
  <c r="D40" i="10"/>
  <c r="D165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<sst xmlns="http://schemas.openxmlformats.org/spreadsheetml/2006/main" count="1084" uniqueCount="659">
  <si>
    <t>Process Assumptions</t>
  </si>
  <si>
    <t>Results</t>
  </si>
  <si>
    <t>NPV</t>
  </si>
  <si>
    <t>Year</t>
  </si>
  <si>
    <t>Analysis year</t>
  </si>
  <si>
    <t>Operation year</t>
  </si>
  <si>
    <t>Inflation rate increase factor</t>
  </si>
  <si>
    <t>Revenues</t>
  </si>
  <si>
    <t>Initial depreciable capital financed with debt</t>
  </si>
  <si>
    <t>Initial equity depriciable capital</t>
  </si>
  <si>
    <t>Replacement costs</t>
  </si>
  <si>
    <t>Cash from working capital reserve</t>
  </si>
  <si>
    <t>Salvage value</t>
  </si>
  <si>
    <t>Decommisioning cost</t>
  </si>
  <si>
    <t>Fixed operating costs</t>
  </si>
  <si>
    <t>Variable operating costs</t>
  </si>
  <si>
    <t>Debt interest</t>
  </si>
  <si>
    <t>Pre-depreciation income</t>
  </si>
  <si>
    <t>Depreciation charge</t>
  </si>
  <si>
    <t>Taxable income</t>
  </si>
  <si>
    <t>Total tax</t>
  </si>
  <si>
    <t>Principal payment</t>
  </si>
  <si>
    <t>After-tax, post-depreciation cash flow</t>
  </si>
  <si>
    <t>Cumulative cash flow</t>
  </si>
  <si>
    <t>Pre-tax cash flow</t>
  </si>
  <si>
    <t>Capacity factor</t>
  </si>
  <si>
    <t>Industrial electricity</t>
  </si>
  <si>
    <t>$/kWh</t>
  </si>
  <si>
    <t>System cost</t>
  </si>
  <si>
    <t>Total</t>
  </si>
  <si>
    <t>Financial</t>
  </si>
  <si>
    <t>Length of Construction Period (years)</t>
  </si>
  <si>
    <t>% of Capital Spent in 1st Year of Construction</t>
  </si>
  <si>
    <t>% of Capital Spent in 2nd Year of Construction</t>
  </si>
  <si>
    <t>% of Capital Spent in 3rd Year of Construction</t>
  </si>
  <si>
    <t>% of Capital Spent in 4th Year of Construction</t>
  </si>
  <si>
    <t>Start-up Time (years)</t>
  </si>
  <si>
    <t>Plant life (years)</t>
  </si>
  <si>
    <t>Analysis period (years)</t>
  </si>
  <si>
    <t>Depreciation Schedule Length (years)</t>
  </si>
  <si>
    <t>Depreciation Type</t>
  </si>
  <si>
    <t xml:space="preserve"> % Debt Financing</t>
  </si>
  <si>
    <t xml:space="preserve"> % Equity Financing</t>
  </si>
  <si>
    <t>Interest rate on debt, if applicable (%)</t>
  </si>
  <si>
    <t>Debt period (years)</t>
  </si>
  <si>
    <t>% of Fixed Operating Costs During Start-up (%)</t>
  </si>
  <si>
    <t>% of Revenues During Start-up (%)</t>
  </si>
  <si>
    <t>% of Variable Operating Costs During Start-up (%)</t>
  </si>
  <si>
    <t>Decommissioning costs (% of depreciable capital investment)</t>
  </si>
  <si>
    <t>Salvage value (% of total capital investment)</t>
  </si>
  <si>
    <t>Inflation rate (%)</t>
  </si>
  <si>
    <t>State Taxes (%)</t>
  </si>
  <si>
    <t>Federal Taxes (%)</t>
  </si>
  <si>
    <t>Total Tax Rate (%)</t>
  </si>
  <si>
    <t>WORKING CAPITAL (% of yearly change in operating costs)</t>
  </si>
  <si>
    <t>After-tax real IRR</t>
  </si>
  <si>
    <t>After-tax nominal IRR</t>
  </si>
  <si>
    <t>Capital costs</t>
  </si>
  <si>
    <t>Values in startup year</t>
  </si>
  <si>
    <t>Depreciable capital costs</t>
  </si>
  <si>
    <t>Direct capital cost</t>
  </si>
  <si>
    <t>Indirect capital cost</t>
  </si>
  <si>
    <t>Site preparation</t>
  </si>
  <si>
    <t>Engineering and design</t>
  </si>
  <si>
    <t>Project contingency</t>
  </si>
  <si>
    <t>Total depreciable capital cost</t>
  </si>
  <si>
    <t>Non depreciable capital costs</t>
  </si>
  <si>
    <t>Cost of land (5 acre, $50,000/acre)</t>
  </si>
  <si>
    <t>Total capital costs</t>
  </si>
  <si>
    <t>G&amp;A ($/year)</t>
  </si>
  <si>
    <t>Property taxes and insurance ($/year)</t>
  </si>
  <si>
    <t>Production maintenance and repairs ($/year)</t>
  </si>
  <si>
    <t>Total fixed operating costs ($/year)</t>
  </si>
  <si>
    <t>Energy utilities costs</t>
  </si>
  <si>
    <t>Non energy utilities costs</t>
  </si>
  <si>
    <t>Total variable operating costs ($/year)</t>
  </si>
  <si>
    <t>Replacements</t>
  </si>
  <si>
    <t>Cost reference</t>
  </si>
  <si>
    <t>Unplanned replacement capital cost (0.5% of total direct capital costs/year)</t>
  </si>
  <si>
    <t>Discounted values</t>
  </si>
  <si>
    <t>Tax coefficient</t>
  </si>
  <si>
    <t>Depreciation calculation table</t>
  </si>
  <si>
    <t>Annual depreciable capital</t>
  </si>
  <si>
    <t>Depreciation type</t>
  </si>
  <si>
    <t>Depreciation period</t>
  </si>
  <si>
    <t>Total initial depreciable capital</t>
  </si>
  <si>
    <t>Depreciation charges</t>
  </si>
  <si>
    <t>Depreciable capital</t>
  </si>
  <si>
    <t>PV of cash flows</t>
  </si>
  <si>
    <t>Principal</t>
  </si>
  <si>
    <t>Operating costs</t>
  </si>
  <si>
    <t>Tax incentives</t>
  </si>
  <si>
    <t>Present values</t>
  </si>
  <si>
    <t>Values in startup year dollars</t>
  </si>
  <si>
    <t>Plant cost index</t>
  </si>
  <si>
    <t>Deflator price index</t>
  </si>
  <si>
    <t>MACRS Depreciation Table (Half-Year Convention)</t>
  </si>
  <si>
    <t>Recovery Period</t>
  </si>
  <si>
    <t>Recovery Year</t>
  </si>
  <si>
    <t>NPV - Real IRR</t>
  </si>
  <si>
    <t>NPV - Nominal IRR</t>
  </si>
  <si>
    <t>MACRS</t>
  </si>
  <si>
    <t>Chemical price index</t>
  </si>
  <si>
    <t>Labor cost index</t>
  </si>
  <si>
    <t>Cash flow</t>
  </si>
  <si>
    <t>Year of analysis</t>
  </si>
  <si>
    <t>Scaling factor exponent</t>
  </si>
  <si>
    <t>Design capacity</t>
  </si>
  <si>
    <t>Average production rate</t>
  </si>
  <si>
    <r>
      <t>kg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/day</t>
    </r>
  </si>
  <si>
    <t>Cost factor</t>
  </si>
  <si>
    <t>Notes</t>
  </si>
  <si>
    <t>Electrodialysis</t>
  </si>
  <si>
    <t>Screening</t>
  </si>
  <si>
    <t>Membrane contactor</t>
  </si>
  <si>
    <t>Water condenser</t>
  </si>
  <si>
    <t>Stack cost</t>
  </si>
  <si>
    <t>mol/s</t>
  </si>
  <si>
    <t>R  (gas constant)</t>
  </si>
  <si>
    <r>
      <rPr>
        <sz val="10"/>
        <rFont val="Arial"/>
        <family val="2"/>
      </rPr>
      <t>T (temperature)</t>
    </r>
  </si>
  <si>
    <t>K</t>
  </si>
  <si>
    <t>Motor efficiency</t>
  </si>
  <si>
    <t>gal/min</t>
  </si>
  <si>
    <t>ft</t>
  </si>
  <si>
    <t>lb/gallon</t>
  </si>
  <si>
    <t>1.025 kg/m3</t>
  </si>
  <si>
    <t>Pump efficiency</t>
  </si>
  <si>
    <t>Motor power consumption</t>
  </si>
  <si>
    <r>
      <t>t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/year</t>
    </r>
  </si>
  <si>
    <t>Current density</t>
  </si>
  <si>
    <t xml:space="preserve">Voltage </t>
  </si>
  <si>
    <t>V</t>
  </si>
  <si>
    <r>
      <t>kWh/kg CO</t>
    </r>
    <r>
      <rPr>
        <vertAlign val="subscript"/>
        <sz val="10"/>
        <color theme="1"/>
        <rFont val="Arial"/>
        <family val="2"/>
      </rPr>
      <t>2</t>
    </r>
  </si>
  <si>
    <t>Specified replacement cost (electrodialyzer/5year)</t>
  </si>
  <si>
    <t>Specified replacement cost (60% pre-treatment/5year)</t>
  </si>
  <si>
    <t>Specified replacement cost (gas stripping/10year)</t>
  </si>
  <si>
    <t>Baseline capacity</t>
  </si>
  <si>
    <t>DIC</t>
  </si>
  <si>
    <t>K1</t>
  </si>
  <si>
    <t>K2</t>
  </si>
  <si>
    <t>new titration data</t>
  </si>
  <si>
    <t xml:space="preserve">pH </t>
  </si>
  <si>
    <t>DIC concentration</t>
  </si>
  <si>
    <t>mol/L</t>
  </si>
  <si>
    <t>Oceanwater target pH</t>
  </si>
  <si>
    <t>Electrodialysis acidified stream target pH</t>
  </si>
  <si>
    <t>kg/mol</t>
  </si>
  <si>
    <t>Microscreening</t>
  </si>
  <si>
    <t>Nanofiltration</t>
  </si>
  <si>
    <t>Upfront permitting cost (legal and contractors fees)</t>
  </si>
  <si>
    <r>
      <t>$/ton CO</t>
    </r>
    <r>
      <rPr>
        <b/>
        <vertAlign val="subscript"/>
        <sz val="18"/>
        <color theme="1"/>
        <rFont val="Arial"/>
        <family val="2"/>
      </rPr>
      <t>2</t>
    </r>
  </si>
  <si>
    <t>Basis year</t>
  </si>
  <si>
    <t>Startup year (= reference year = current year)</t>
  </si>
  <si>
    <t>CEPCI inflator (basis year to startup year)</t>
  </si>
  <si>
    <t>Chemical price inflator (basis year to startup year)</t>
  </si>
  <si>
    <t>Consumer price inflator  (basis year to startup year)</t>
  </si>
  <si>
    <t>Inflation factor (basis year to startup year)</t>
  </si>
  <si>
    <t>Ws/kWh</t>
  </si>
  <si>
    <t>s/hr</t>
  </si>
  <si>
    <t>Hours to seconds</t>
  </si>
  <si>
    <t>Liters to cubic meters</t>
  </si>
  <si>
    <t>Tons to kg</t>
  </si>
  <si>
    <t>kg/ton</t>
  </si>
  <si>
    <t>Bar to pascal</t>
  </si>
  <si>
    <t>Pa/bar</t>
  </si>
  <si>
    <t>Energy in kWh to energy in Joules</t>
  </si>
  <si>
    <t>Conversions (non-SI to SI, SI/non-SI)</t>
  </si>
  <si>
    <r>
      <t>[CO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]/[DIC] at oceanwater target pH</t>
    </r>
  </si>
  <si>
    <t>Gas volume of 1 mol</t>
  </si>
  <si>
    <t>L/mol</t>
  </si>
  <si>
    <t>J/(K*mol)</t>
  </si>
  <si>
    <t>Bar to ft head</t>
  </si>
  <si>
    <t>ft head/bar</t>
  </si>
  <si>
    <t>bar</t>
  </si>
  <si>
    <t>Multiplier</t>
  </si>
  <si>
    <t>Number of channels in electrodialyzer (3, but flow 2x in diluate)</t>
  </si>
  <si>
    <t>Baseline installed cost in startup year dollars</t>
  </si>
  <si>
    <t>Scale Factor</t>
  </si>
  <si>
    <t>Labor baseline capacity</t>
  </si>
  <si>
    <t>Scale ratio</t>
  </si>
  <si>
    <t>20 kmol/hr, from Eisaman, used only for labor scaling</t>
  </si>
  <si>
    <t>Ratio of total scaled installed capital capital cost to total baseline installed capital costs.  Used for exponential scaling.</t>
  </si>
  <si>
    <t>Values in startup year dollars (except land in basis year)</t>
  </si>
  <si>
    <t>Labor scale ratio</t>
  </si>
  <si>
    <t>Values in basis year dollars</t>
  </si>
  <si>
    <t>Labor inflator (2018 to startup year)</t>
  </si>
  <si>
    <t>Labor cost ($50/FTE/hour) ($/year)</t>
  </si>
  <si>
    <t>Non-depreciable capital cost</t>
  </si>
  <si>
    <t>Recovery rate</t>
  </si>
  <si>
    <t>Intake</t>
  </si>
  <si>
    <t>Centrifugal pump #1</t>
  </si>
  <si>
    <t>Vacuum pump #1</t>
  </si>
  <si>
    <t>Micro/ultrafiltration</t>
  </si>
  <si>
    <t>Centrifugal pump #2</t>
  </si>
  <si>
    <t>Centrifugal pump #3</t>
  </si>
  <si>
    <t>Filter</t>
  </si>
  <si>
    <t>Flow Rate</t>
  </si>
  <si>
    <t>Pressure</t>
  </si>
  <si>
    <t>Fraction Oceanwater</t>
  </si>
  <si>
    <r>
      <t>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molar mass</t>
    </r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</si>
  <si>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/L</t>
    </r>
  </si>
  <si>
    <t>Equipment</t>
  </si>
  <si>
    <t>Centrifugal Pump #1</t>
  </si>
  <si>
    <t>CO2 Concentration</t>
  </si>
  <si>
    <t>Oceanwater Flow Rate (At a given extraction efficiency)</t>
  </si>
  <si>
    <t>Radial Centrifugal Pump Types</t>
  </si>
  <si>
    <t>No. Stages</t>
  </si>
  <si>
    <t>Shaft rpm</t>
  </si>
  <si>
    <t>Case-split orientation</t>
  </si>
  <si>
    <t>Maximum motor Hp</t>
  </si>
  <si>
    <t>Type Factor</t>
  </si>
  <si>
    <t>VSC</t>
  </si>
  <si>
    <t>HSC</t>
  </si>
  <si>
    <t>Flow rate min (gpm)</t>
  </si>
  <si>
    <t>Flow rate max (gpm)</t>
  </si>
  <si>
    <t>Pump head min (ft)</t>
  </si>
  <si>
    <t>Pump head max (ft)</t>
  </si>
  <si>
    <t>Seider Table 22.20 Page 561</t>
  </si>
  <si>
    <t>Centrifugal Motor #1</t>
  </si>
  <si>
    <t>Centrifugal Pump Materials of Construction</t>
  </si>
  <si>
    <t>Seider Table 22.21 Page 562</t>
  </si>
  <si>
    <t>Material</t>
  </si>
  <si>
    <t>Material Factor</t>
  </si>
  <si>
    <t>Cast iron</t>
  </si>
  <si>
    <t>Ductile iron</t>
  </si>
  <si>
    <t>Cast steel</t>
  </si>
  <si>
    <t>Bronze</t>
  </si>
  <si>
    <t>Stainless steel</t>
  </si>
  <si>
    <t>Hastelloy C</t>
  </si>
  <si>
    <t>Monel</t>
  </si>
  <si>
    <t>Nickel</t>
  </si>
  <si>
    <t>Type</t>
  </si>
  <si>
    <t>Head</t>
  </si>
  <si>
    <t>Valid?</t>
  </si>
  <si>
    <t>Motor Type</t>
  </si>
  <si>
    <t>Motor Types</t>
  </si>
  <si>
    <t>Seider Table 22.22 Page 563</t>
  </si>
  <si>
    <t>Name</t>
  </si>
  <si>
    <t>Open, drip-proof</t>
  </si>
  <si>
    <t>Totally enclosed, fan-cooled</t>
  </si>
  <si>
    <t>Explosion-proof</t>
  </si>
  <si>
    <t>Hp min</t>
  </si>
  <si>
    <t>Hp Max</t>
  </si>
  <si>
    <t>Type factor</t>
  </si>
  <si>
    <t>Size factor</t>
  </si>
  <si>
    <t>Material type factor</t>
  </si>
  <si>
    <t>Number of units</t>
  </si>
  <si>
    <t>Uninstalled cost</t>
  </si>
  <si>
    <t>Installed cost</t>
  </si>
  <si>
    <t>Bare cost motor</t>
  </si>
  <si>
    <t>Motor type factor</t>
  </si>
  <si>
    <t>Pump Index</t>
  </si>
  <si>
    <t>Titanium</t>
  </si>
  <si>
    <t>Bare cost</t>
  </si>
  <si>
    <t>Pump type factor</t>
  </si>
  <si>
    <t>Pump brake horsepower</t>
  </si>
  <si>
    <t>Density seawater</t>
  </si>
  <si>
    <t>Pump capacity (gal/min)</t>
  </si>
  <si>
    <t>TOTAL</t>
  </si>
  <si>
    <t>Total Fixed Cost</t>
  </si>
  <si>
    <t>Purchase cost, CE 500</t>
  </si>
  <si>
    <t>Cost per unit, CE 607.5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</si>
  <si>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/day</t>
    </r>
  </si>
  <si>
    <t>Energy Usage</t>
  </si>
  <si>
    <t xml:space="preserve">Capital Cost </t>
  </si>
  <si>
    <r>
      <t>Unit capacity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/day)</t>
    </r>
  </si>
  <si>
    <t>4 or 2 are best</t>
  </si>
  <si>
    <t>Included in intake</t>
  </si>
  <si>
    <t>Centrifugal Pump Calculations</t>
  </si>
  <si>
    <t>Vacuum Pump Calculations</t>
  </si>
  <si>
    <t>Vacuum Pumps</t>
  </si>
  <si>
    <t>Seider Table 22.32 Page 595</t>
  </si>
  <si>
    <t>Flow rate min (ft^3/min)</t>
  </si>
  <si>
    <t>Flow rate max (ft^3/min)</t>
  </si>
  <si>
    <t>Purchase cost exponent</t>
  </si>
  <si>
    <t>Purchase cost factor</t>
  </si>
  <si>
    <t>CP=(purchase cost factor)*S^(purchase cost exponent)</t>
  </si>
  <si>
    <t>One-stage jet ejector</t>
  </si>
  <si>
    <t>Liquid ring pumps</t>
  </si>
  <si>
    <t>Three-stage claw</t>
  </si>
  <si>
    <t>Screw compressors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</si>
  <si>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/ft</t>
    </r>
    <r>
      <rPr>
        <vertAlign val="superscript"/>
        <sz val="10"/>
        <color theme="1"/>
        <rFont val="Arial"/>
        <family val="2"/>
      </rPr>
      <t>3</t>
    </r>
  </si>
  <si>
    <t>Cubic feet to cubic meters</t>
  </si>
  <si>
    <t>Days to minutes</t>
  </si>
  <si>
    <t>days/min</t>
  </si>
  <si>
    <t>Constants</t>
  </si>
  <si>
    <t>kg/day</t>
  </si>
  <si>
    <t>ft/min</t>
  </si>
  <si>
    <t>kg/s</t>
  </si>
  <si>
    <t>CO2 Production Rate (At a given extraction efficiency)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</si>
  <si>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/h</t>
    </r>
  </si>
  <si>
    <t>MGD</t>
  </si>
  <si>
    <t>Energy of vacuum pump (J/kg)</t>
  </si>
  <si>
    <r>
      <t>Pump energy usage (kWh/kg 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</si>
  <si>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t>Centrifugal motor #1</t>
  </si>
  <si>
    <t>Intake piping</t>
  </si>
  <si>
    <t>Centrifugal motor #2</t>
  </si>
  <si>
    <t>Fraction oceanwater</t>
  </si>
  <si>
    <t>Flow rate</t>
  </si>
  <si>
    <t>Centrifugal motor #3</t>
  </si>
  <si>
    <t>As/mol (charge per mol e-s)</t>
  </si>
  <si>
    <t>Faraday's constant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</si>
  <si>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/day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</si>
  <si>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/h</t>
    </r>
  </si>
  <si>
    <t>L/s</t>
  </si>
  <si>
    <t>ED Stack Calculations</t>
  </si>
  <si>
    <r>
      <t>Membrane Cost ($/cm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</si>
  <si>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t>BPM cost</t>
  </si>
  <si>
    <t>CEM/AEM cost</t>
  </si>
  <si>
    <t>ED Stack</t>
  </si>
  <si>
    <r>
      <t>CO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 xml:space="preserve"> Stripping</t>
    </r>
  </si>
  <si>
    <t>Base pressure (Torr)</t>
  </si>
  <si>
    <r>
      <rPr>
        <i/>
        <sz val="10"/>
        <rFont val="Arial"/>
        <family val="2"/>
      </rPr>
      <t>κ</t>
    </r>
    <r>
      <rPr>
        <sz val="10"/>
        <rFont val="Arial"/>
        <family val="2"/>
      </rPr>
      <t>CO</t>
    </r>
    <r>
      <rPr>
        <vertAlign val="subscript"/>
        <sz val="10"/>
        <rFont val="Arial"/>
        <family val="2"/>
      </rPr>
      <t>2</t>
    </r>
    <r>
      <rPr>
        <sz val="10"/>
        <color rgb="FF000000"/>
        <rFont val="Arial"/>
        <family val="2"/>
      </rPr>
      <t xml:space="preserve"> (adibatic constant of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)</t>
    </r>
  </si>
  <si>
    <r>
      <rPr>
        <i/>
        <sz val="10"/>
        <rFont val="Arial"/>
        <family val="2"/>
      </rPr>
      <t>κN</t>
    </r>
    <r>
      <rPr>
        <vertAlign val="subscript"/>
        <sz val="10"/>
        <rFont val="Arial"/>
        <family val="2"/>
      </rPr>
      <t>2</t>
    </r>
    <r>
      <rPr>
        <sz val="10"/>
        <color rgb="FF000000"/>
        <rFont val="Arial"/>
        <family val="2"/>
      </rPr>
      <t xml:space="preserve"> (adibatic constant of N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)</t>
    </r>
  </si>
  <si>
    <t>Total Energy Usage</t>
  </si>
  <si>
    <t>Capital Cost</t>
  </si>
  <si>
    <t>Total Capital Cost</t>
  </si>
  <si>
    <r>
      <t>CO</t>
    </r>
    <r>
      <rPr>
        <vertAlign val="sub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stripping</t>
    </r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</si>
  <si>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production cost ($/kg)</t>
    </r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</si>
  <si>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cost ($/kg) in year of analysis</t>
    </r>
  </si>
  <si>
    <t>Calculation</t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</si>
  <si>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sales (kg/year)</t>
    </r>
  </si>
  <si>
    <r>
      <t>HCO</t>
    </r>
    <r>
      <rPr>
        <vertAlign val="subscript"/>
        <sz val="10"/>
        <color theme="1"/>
        <rFont val="Arial"/>
        <family val="2"/>
      </rPr>
      <t>3</t>
    </r>
    <r>
      <rPr>
        <vertAlign val="superscript"/>
        <sz val="10"/>
        <color theme="1"/>
        <rFont val="Arial"/>
        <family val="2"/>
      </rPr>
      <t>−</t>
    </r>
  </si>
  <si>
    <r>
      <t>CO</t>
    </r>
    <r>
      <rPr>
        <vertAlign val="subscript"/>
        <sz val="10"/>
        <color theme="1"/>
        <rFont val="Arial"/>
        <family val="2"/>
      </rPr>
      <t>3</t>
    </r>
    <r>
      <rPr>
        <vertAlign val="superscript"/>
        <sz val="10"/>
        <color theme="1"/>
        <rFont val="Arial"/>
        <family val="2"/>
      </rPr>
      <t>2−</t>
    </r>
  </si>
  <si>
    <r>
      <t>H</t>
    </r>
    <r>
      <rPr>
        <vertAlign val="superscript"/>
        <sz val="10"/>
        <color theme="1"/>
        <rFont val="Arial"/>
        <family val="2"/>
      </rPr>
      <t>+</t>
    </r>
  </si>
  <si>
    <r>
      <t>OH</t>
    </r>
    <r>
      <rPr>
        <vertAlign val="superscript"/>
        <sz val="10"/>
        <color theme="1"/>
        <rFont val="Arial"/>
        <family val="2"/>
      </rPr>
      <t>−</t>
    </r>
  </si>
  <si>
    <r>
      <t>H</t>
    </r>
    <r>
      <rPr>
        <vertAlign val="superscript"/>
        <sz val="10"/>
        <color theme="1"/>
        <rFont val="Arial"/>
        <family val="2"/>
      </rPr>
      <t>+</t>
    </r>
    <r>
      <rPr>
        <sz val="10"/>
        <color theme="1"/>
        <rFont val="Arial"/>
        <family val="2"/>
      </rPr>
      <t xml:space="preserve"> / OH− added</t>
    </r>
  </si>
  <si>
    <r>
      <t>1/</t>
    </r>
    <r>
      <rPr>
        <i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processed oceanwater</t>
    </r>
  </si>
  <si>
    <t>Intake energy</t>
  </si>
  <si>
    <t>Screening energy</t>
  </si>
  <si>
    <t>Micro/ultrafiltration energy</t>
  </si>
  <si>
    <t>Nanofiltration energy</t>
  </si>
  <si>
    <t>Electrodialysis energy</t>
  </si>
  <si>
    <r>
      <t>CO</t>
    </r>
    <r>
      <rPr>
        <vertAlign val="sub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stripping energy</t>
    </r>
  </si>
  <si>
    <t>Baseline installed cost in basis year dollars</t>
  </si>
  <si>
    <t>Scaled installed cost in startup year dollars</t>
  </si>
  <si>
    <t>Combined plant scaling and inflation factor</t>
  </si>
  <si>
    <t>Cost Factors</t>
  </si>
  <si>
    <t>Item</t>
  </si>
  <si>
    <t>Factor</t>
  </si>
  <si>
    <t>Eisaman Table S1</t>
  </si>
  <si>
    <t>Pumps</t>
  </si>
  <si>
    <t>ED</t>
  </si>
  <si>
    <t>Filters</t>
  </si>
  <si>
    <r>
      <t>CO</t>
    </r>
    <r>
      <rPr>
        <b/>
        <vertAlign val="subscript"/>
        <sz val="18"/>
        <color theme="1"/>
        <rFont val="Arial"/>
        <family val="2"/>
      </rPr>
      <t>2</t>
    </r>
    <r>
      <rPr>
        <b/>
        <sz val="18"/>
        <color theme="1"/>
        <rFont val="Arial"/>
        <family val="2"/>
      </rPr>
      <t xml:space="preserve"> Price</t>
    </r>
  </si>
  <si>
    <t>Other</t>
  </si>
  <si>
    <t>Equipment erection</t>
  </si>
  <si>
    <t>Piping</t>
  </si>
  <si>
    <t>Instrumentation &amp; control</t>
  </si>
  <si>
    <t>Electrical</t>
  </si>
  <si>
    <t>Civil</t>
  </si>
  <si>
    <t>Structures &amp; buildings</t>
  </si>
  <si>
    <t>Lagging &amp; Paint</t>
  </si>
  <si>
    <t>Total ISBL</t>
  </si>
  <si>
    <t>Offsites</t>
  </si>
  <si>
    <t>D&amp;E</t>
  </si>
  <si>
    <t>Contingency</t>
  </si>
  <si>
    <t>T&amp;S Table 7.5, Fluids</t>
  </si>
  <si>
    <t>Total OSBL</t>
  </si>
  <si>
    <t>Use to compare to ID</t>
  </si>
  <si>
    <t>Extractable CO2/Added H+</t>
  </si>
  <si>
    <t>Cash Flow</t>
  </si>
  <si>
    <t>Breakdown by Process Step</t>
  </si>
  <si>
    <t>Frequency</t>
  </si>
  <si>
    <t>Unplanned yearly</t>
  </si>
  <si>
    <t>Unspecified/regular basis</t>
  </si>
  <si>
    <t>Specified: electrodialysis</t>
  </si>
  <si>
    <t>Specified: pre-treatment</t>
  </si>
  <si>
    <t>Specified: gas stripping</t>
  </si>
  <si>
    <t>fixed opex</t>
  </si>
  <si>
    <t>variable opex</t>
  </si>
  <si>
    <t>replacements</t>
  </si>
  <si>
    <t>capex</t>
  </si>
  <si>
    <r>
      <t>mA/cm</t>
    </r>
    <r>
      <rPr>
        <b/>
        <vertAlign val="superscript"/>
        <sz val="10"/>
        <rFont val="Arial"/>
        <family val="2"/>
      </rPr>
      <t>2</t>
    </r>
  </si>
  <si>
    <t>Membrane contactor efficiency</t>
  </si>
  <si>
    <t>Price</t>
  </si>
  <si>
    <t>Initial equity depreciable capital</t>
  </si>
  <si>
    <t>Revenue</t>
  </si>
  <si>
    <t>Taxes</t>
  </si>
  <si>
    <t>Taxes &amp; Working Capital</t>
  </si>
  <si>
    <t>fixed opex (cancels)</t>
  </si>
  <si>
    <t>taxes &amp; working capital</t>
  </si>
  <si>
    <t>revenue</t>
  </si>
  <si>
    <t>X (included in principal + interest)</t>
  </si>
  <si>
    <t>X (sum)</t>
  </si>
  <si>
    <t>%</t>
  </si>
  <si>
    <t>Categorization</t>
  </si>
  <si>
    <t>Category</t>
  </si>
  <si>
    <t>Cost breakdown</t>
  </si>
  <si>
    <r>
      <t>Contribution to 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price</t>
    </r>
  </si>
  <si>
    <t>Total CO2 Sales (kg)</t>
  </si>
  <si>
    <t>Calculated without tax coefficient</t>
  </si>
  <si>
    <t>Electricity cost %</t>
  </si>
  <si>
    <t>Replacements %</t>
  </si>
  <si>
    <t>Capital cost %</t>
  </si>
  <si>
    <t>Electrodialysis electricity</t>
  </si>
  <si>
    <t>Label</t>
  </si>
  <si>
    <t>Intake electricity</t>
  </si>
  <si>
    <t>*Includes replacements</t>
  </si>
  <si>
    <t>Detailed Breakdown</t>
  </si>
  <si>
    <t>Intake/screening CapEx</t>
  </si>
  <si>
    <t>Param to vary</t>
  </si>
  <si>
    <t>Values to sweep</t>
  </si>
  <si>
    <t>Parameter Sweep</t>
  </si>
  <si>
    <t>Microfiltration</t>
  </si>
  <si>
    <t>Electrodialysis CapEx</t>
  </si>
  <si>
    <r>
      <t>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stripping CapEx</t>
    </r>
  </si>
  <si>
    <t>Fixed OpEx</t>
  </si>
  <si>
    <t>change in H+ ions due to this species from pH 8.1</t>
  </si>
  <si>
    <t>equilibrium concentrations</t>
  </si>
  <si>
    <r>
      <t>L OW/kg CO</t>
    </r>
    <r>
      <rPr>
        <vertAlign val="subscript"/>
        <sz val="10"/>
        <color theme="1"/>
        <rFont val="Arial"/>
        <family val="2"/>
      </rPr>
      <t>2</t>
    </r>
  </si>
  <si>
    <r>
      <t>CO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 xml:space="preserve"> to H+ and Oceanwater Inverconversions</t>
    </r>
  </si>
  <si>
    <t>mol/mol</t>
  </si>
  <si>
    <r>
      <t>Moles H+ added to kg CO</t>
    </r>
    <r>
      <rPr>
        <vertAlign val="subscript"/>
        <sz val="10"/>
        <rFont val="Arial"/>
        <family val="2"/>
      </rPr>
      <t>2</t>
    </r>
  </si>
  <si>
    <r>
      <t>Moles H+ added to moles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extracted</t>
    </r>
  </si>
  <si>
    <t>Moles H+ produced by ED to moles H+ in ED stream</t>
  </si>
  <si>
    <t>Membrane Contactors</t>
  </si>
  <si>
    <t>Area (m^2)</t>
  </si>
  <si>
    <t>Price per area ($/m^2)</t>
  </si>
  <si>
    <t>Max liquid flow rate (m^3/hr)</t>
  </si>
  <si>
    <t>Permselect &amp; liquicell websites</t>
  </si>
  <si>
    <t>Assuming liquid flow on shell side (more efficient)</t>
  </si>
  <si>
    <t>Volume (m^3)</t>
  </si>
  <si>
    <t>Packing fraction (m^2/m^3)</t>
  </si>
  <si>
    <t>Thickness (m)</t>
  </si>
  <si>
    <t>Liquicell (PP)</t>
  </si>
  <si>
    <t>Permselect (PDMS)</t>
  </si>
  <si>
    <t>Max flow rate (m^3/hr/m^2)</t>
  </si>
  <si>
    <t>MC type</t>
  </si>
  <si>
    <r>
      <t>Moles H+ added to moles 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in equilibrium</t>
    </r>
  </si>
  <si>
    <t>Electricity cost $/ton</t>
  </si>
  <si>
    <t>Replacements $/ton</t>
  </si>
  <si>
    <t>Capital cost $/ton</t>
  </si>
  <si>
    <t>Desal Table 17.4 (~buildings + electrical)</t>
  </si>
  <si>
    <r>
      <t xml:space="preserve">Replacement costs (15% of </t>
    </r>
    <r>
      <rPr>
        <i/>
        <sz val="10"/>
        <color theme="1"/>
        <rFont val="Arial"/>
        <family val="2"/>
      </rPr>
      <t>remaining</t>
    </r>
    <r>
      <rPr>
        <sz val="10"/>
        <color theme="1"/>
        <rFont val="Arial"/>
        <family val="2"/>
      </rPr>
      <t xml:space="preserve"> depreciable capital cost/5 year)</t>
    </r>
  </si>
  <si>
    <t>Desal Fig 6.8. HDPE, offshore intake, 10 m of piping</t>
  </si>
  <si>
    <t>Desal Fig 8.14, microscreen to go with MF/UF</t>
  </si>
  <si>
    <t>Desal pg 315</t>
  </si>
  <si>
    <t>6/10 rule</t>
  </si>
  <si>
    <t>Extrapolation</t>
  </si>
  <si>
    <t>Desal Table 14.1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</si>
  <si>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/gal</t>
    </r>
  </si>
  <si>
    <t>Gallons to cubic meters</t>
  </si>
  <si>
    <t>Desal table 14.23 and following pages</t>
  </si>
  <si>
    <t>2D Parameter Sweep</t>
  </si>
  <si>
    <t>Param to vary 1</t>
  </si>
  <si>
    <t>Param to vary 2</t>
  </si>
  <si>
    <t>extraction_efficiency</t>
  </si>
  <si>
    <t>[H+] in acid stream needed to achieve target pH above</t>
  </si>
  <si>
    <r>
      <t>[CO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]/s at oceanwater target pH (</t>
    </r>
    <r>
      <rPr>
        <sz val="10"/>
        <color theme="1"/>
        <rFont val="Arial"/>
        <family val="2"/>
      </rPr>
      <t>*nonEq)</t>
    </r>
  </si>
  <si>
    <t>[H+]/s added to OW stream to achieve target pH (*nonEq)</t>
  </si>
  <si>
    <t>Catalytic turnover factor (*nonEq unless CTF=1)</t>
  </si>
  <si>
    <t>Calculated ctf (for varying extraction efficiency)</t>
  </si>
  <si>
    <t>Secondary result</t>
  </si>
  <si>
    <t>secondary result</t>
  </si>
  <si>
    <t>Catalytic turnover number (Eq)</t>
  </si>
  <si>
    <t>Calculated extraction efficiency (for varying ctf)</t>
  </si>
  <si>
    <t>Extraction efficiency (= cell below when varying ctf)</t>
  </si>
  <si>
    <t>Also calculate</t>
  </si>
  <si>
    <t>ctn_calc</t>
  </si>
  <si>
    <t>Equlibirum Line</t>
  </si>
  <si>
    <t>x</t>
  </si>
  <si>
    <t>y</t>
  </si>
  <si>
    <t>$100/ton Line</t>
  </si>
  <si>
    <t>Proportionality</t>
  </si>
  <si>
    <t>Extraction Efficiency</t>
  </si>
  <si>
    <t>primary result (price)</t>
  </si>
  <si>
    <t>t CO2/year in Eisaman analysis</t>
  </si>
  <si>
    <t>Eisaman</t>
  </si>
  <si>
    <t>Seider</t>
  </si>
  <si>
    <t>kmol/hr</t>
  </si>
  <si>
    <t>tons/year</t>
  </si>
  <si>
    <t>tons/yr</t>
  </si>
  <si>
    <t>1 bar included in microfiltration pumping</t>
  </si>
  <si>
    <t>Desal fig 12.11, redid fit as polynomial</t>
  </si>
  <si>
    <t>voltage</t>
  </si>
  <si>
    <t>Liquicell/Eisaman</t>
  </si>
  <si>
    <t>Partial presure in (Torr)</t>
  </si>
  <si>
    <t>Partial pressure out (Torr)</t>
  </si>
  <si>
    <t>Electricity price</t>
  </si>
  <si>
    <t>0.5x</t>
  </si>
  <si>
    <t>Nanofiltration CapEx</t>
  </si>
  <si>
    <t>Membrane contactor cost</t>
  </si>
  <si>
    <t>ED membrane cost</t>
  </si>
  <si>
    <t>ED voltage</t>
  </si>
  <si>
    <t>ED current density</t>
  </si>
  <si>
    <t>Intake piping cost</t>
  </si>
  <si>
    <t>1x</t>
  </si>
  <si>
    <t>1.5x</t>
  </si>
  <si>
    <t>Sensitivity Analysis: megaton scale, $0.02/kWh</t>
  </si>
  <si>
    <t>Sensitivity Analysis: 10 kiloton scale, $0.05/kWh</t>
  </si>
  <si>
    <t>50% less</t>
  </si>
  <si>
    <t>50% more</t>
  </si>
  <si>
    <t>cap_factor</t>
  </si>
  <si>
    <t>elec_cost</t>
  </si>
  <si>
    <t>PV system</t>
  </si>
  <si>
    <t>Included in intake pumping, desal pg 248</t>
  </si>
  <si>
    <t>Included in intake pumping, from Liquicell spec sheet</t>
  </si>
  <si>
    <t>5 m (intake) + 0.5 bar (membrane contactor) + 0.25 bar (screening)</t>
  </si>
  <si>
    <t>Assuming CTN=1</t>
  </si>
  <si>
    <t>Oceanwater volume to extracted CO2 volume</t>
  </si>
  <si>
    <r>
      <t>L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>/L</t>
    </r>
    <r>
      <rPr>
        <vertAlign val="subscript"/>
        <sz val="10"/>
        <color theme="1"/>
        <rFont val="Arial"/>
        <family val="2"/>
      </rPr>
      <t>CO2</t>
    </r>
  </si>
  <si>
    <t>https://vacaero.com/information-resources/vacuum-pump-technology-education-and-training/1039-an-introduction-to-vacuum-pumps.html</t>
  </si>
  <si>
    <t>Three-stage lobe (roots)</t>
  </si>
  <si>
    <t>Not possible to separate working fluid from output</t>
  </si>
  <si>
    <t>Some amount of liquid in output. Can pump down from atmosphere, good option</t>
  </si>
  <si>
    <t>Low pumping efficiency from atm – would likely need backing pump</t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</si>
  <si>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pumping speed (kg/s)</t>
    </r>
  </si>
  <si>
    <r>
      <t>Unit capacity, OW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/day)</t>
    </r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</si>
  <si>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/h (air, pumping)</t>
    </r>
  </si>
  <si>
    <t>Torr to pascal</t>
  </si>
  <si>
    <t>Pa/torr</t>
  </si>
  <si>
    <t>For STP</t>
  </si>
  <si>
    <r>
      <t>Flow rate min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/hr)</t>
    </r>
  </si>
  <si>
    <r>
      <t>Flow rate max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/hr)</t>
    </r>
  </si>
  <si>
    <r>
      <t>Pump capacity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/h)</t>
    </r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</si>
  <si>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pumping speed (mol/s)</t>
    </r>
  </si>
  <si>
    <t>Pump power consumption (W)</t>
  </si>
  <si>
    <t>Electrical efficiency</t>
  </si>
  <si>
    <t>Power consumption is the work of adiabatic compression. Note that this is for ALL pumps, not just for one pump – multiplied by # of pumps.</t>
  </si>
  <si>
    <t>""</t>
  </si>
  <si>
    <t>10 kilotons/year</t>
  </si>
  <si>
    <t>1 megaton/year</t>
  </si>
  <si>
    <t>Partial pressure in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</si>
  <si>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/h</t>
    </r>
  </si>
  <si>
    <t>Max flow rates updated from:</t>
  </si>
  <si>
    <r>
      <t>Pump power (W/(m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/hr))</t>
    </r>
  </si>
  <si>
    <t>x processed OW</t>
  </si>
  <si>
    <r>
      <rPr>
        <i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electrodialyzed oceanwater for acidified stream</t>
    </r>
  </si>
  <si>
    <t>1/x =</t>
  </si>
  <si>
    <t>Calculated ctn (for varying extraction efficiency or ctf)</t>
  </si>
  <si>
    <t>CTF = 2</t>
  </si>
  <si>
    <t>Fixed OpEx &amp; Other</t>
  </si>
  <si>
    <r>
      <t>Eisaman's TEA shows much higher CO</t>
    </r>
    <r>
      <rPr>
        <b/>
        <vertAlign val="subscript"/>
        <sz val="14"/>
        <color theme="1"/>
        <rFont val="Arial"/>
        <family val="2"/>
      </rPr>
      <t>2</t>
    </r>
    <r>
      <rPr>
        <b/>
        <sz val="14"/>
        <color theme="1"/>
        <rFont val="Arial"/>
        <family val="2"/>
      </rPr>
      <t xml:space="preserve"> cost than ours. Why? </t>
    </r>
  </si>
  <si>
    <t>1. Difference in scale</t>
  </si>
  <si>
    <t>Eisaman:</t>
  </si>
  <si>
    <t>Us:</t>
  </si>
  <si>
    <t>Scale (tons/yr)</t>
  </si>
  <si>
    <t>Cost ($/kg)</t>
  </si>
  <si>
    <r>
      <t>ft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/min</t>
    </r>
  </si>
  <si>
    <t>(assuming 100 mA/cm2 and 2.5 V)</t>
  </si>
  <si>
    <t>Our costs are relatively close if you compare their co-location, best case to ours (but theirs doesn't include costs of intake &amp; micro/ultrafiltration)</t>
  </si>
  <si>
    <t>Best case, co-location, acid process</t>
  </si>
  <si>
    <t>Fixed OpEx $/ton</t>
  </si>
  <si>
    <t>Waste $/ton</t>
  </si>
  <si>
    <t>BoP</t>
  </si>
  <si>
    <t>Us</t>
  </si>
  <si>
    <t>100 mA/cm2, 2.5 V, same scale as theirs</t>
  </si>
  <si>
    <t>2. We assume a floating platform, much smaller intake costs</t>
  </si>
  <si>
    <t>Them</t>
  </si>
  <si>
    <t>Electricity price $/kWh</t>
  </si>
  <si>
    <t>MC cost $/m^3/hr</t>
  </si>
  <si>
    <t>ED membrane cost $/m^2</t>
  </si>
  <si>
    <t>Intake $M/MGD</t>
  </si>
  <si>
    <t>Outfall $M/MGD</t>
  </si>
  <si>
    <t>Pretreatment $M/MGD</t>
  </si>
  <si>
    <t>3. We may be underestimating nanofiltration capital costs</t>
  </si>
  <si>
    <t>Co-location, acid process</t>
  </si>
  <si>
    <t>Qty</t>
  </si>
  <si>
    <t>Purch. Cost ($/Unit)</t>
  </si>
  <si>
    <t>Purch Cost ($)</t>
  </si>
  <si>
    <t>Cost Factor</t>
  </si>
  <si>
    <t>Installed Cost</t>
  </si>
  <si>
    <t>Membrane contactor CO2</t>
  </si>
  <si>
    <t>Nanofilter</t>
  </si>
  <si>
    <t>RO Concentrator</t>
  </si>
  <si>
    <t>Clarifier</t>
  </si>
  <si>
    <t>Ion exchange</t>
  </si>
  <si>
    <t>ED package</t>
  </si>
  <si>
    <t>Vacuum pump</t>
  </si>
  <si>
    <t>Vacuum pump chiller</t>
  </si>
  <si>
    <t>needed for demineralized water</t>
  </si>
  <si>
    <t>needed for divalent cation removal</t>
  </si>
  <si>
    <t>We can achieve a pretty good match if we increase CapEx at multiple steps</t>
  </si>
  <si>
    <t>Fixed OpEx; Taxes</t>
  </si>
  <si>
    <t>Increase CapEx by 20x (to include outfall too)</t>
  </si>
  <si>
    <t>Increase CapEx by 10x</t>
  </si>
  <si>
    <t>CO2 stripping</t>
  </si>
  <si>
    <t>Keep labor the same, multiply CapEx by 0.25</t>
  </si>
  <si>
    <t>ED CapEx &amp; Replacements</t>
  </si>
  <si>
    <t>BoP CapEx</t>
  </si>
  <si>
    <t>ED Electricity</t>
  </si>
  <si>
    <t>BoP Electricity</t>
  </si>
  <si>
    <t>Check sum</t>
  </si>
  <si>
    <t>Total cost</t>
  </si>
  <si>
    <t>Our baseline</t>
  </si>
  <si>
    <t>Smaller scale</t>
  </si>
  <si>
    <t>1 megaton to 7709 tons</t>
  </si>
  <si>
    <t>Worse ED performance</t>
  </si>
  <si>
    <t>500 to 100 mA/cm^2</t>
  </si>
  <si>
    <t>Higher electricity price</t>
  </si>
  <si>
    <t>$0.02 to $0.049/kWh</t>
  </si>
  <si>
    <t>Onshore intake &amp; outfall</t>
  </si>
  <si>
    <t xml:space="preserve">20x intake CapEx </t>
  </si>
  <si>
    <t>LINKED</t>
  </si>
  <si>
    <t>future</t>
  </si>
  <si>
    <t>torr</t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</si>
  <si>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volumetric flow rate</t>
    </r>
  </si>
  <si>
    <t>equilibrium lfr/gfr</t>
  </si>
  <si>
    <t>Coincidence that this is the same as the OW flow rate at 35 Torr? Yes</t>
  </si>
  <si>
    <t>Extraction efficiency</t>
  </si>
  <si>
    <t>Liquid flow rate</t>
  </si>
  <si>
    <t>Gas flow rate</t>
  </si>
  <si>
    <t>Ratio of flow rates</t>
  </si>
  <si>
    <r>
      <t>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partial pressure (Torr)</t>
    </r>
  </si>
  <si>
    <t>Torr</t>
  </si>
  <si>
    <t>1/min</t>
  </si>
  <si>
    <t>current or future?</t>
  </si>
  <si>
    <t>equilibrium or steady-state (0D model)?</t>
  </si>
  <si>
    <t>kg/L (ss)</t>
  </si>
  <si>
    <r>
      <t>Oceanwater volume to extracted CO</t>
    </r>
    <r>
      <rPr>
        <b/>
        <vertAlign val="subscript"/>
        <sz val="10"/>
        <color rgb="FF000000"/>
        <rFont val="Arial"/>
        <family val="2"/>
      </rPr>
      <t>2</t>
    </r>
    <r>
      <rPr>
        <b/>
        <sz val="10"/>
        <color rgb="FF000000"/>
        <rFont val="Arial"/>
        <family val="2"/>
      </rPr>
      <t xml:space="preserve"> weight (ss)</t>
    </r>
  </si>
  <si>
    <r>
      <t>Oceanwater volume to extracted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weight (ss)</t>
    </r>
  </si>
  <si>
    <r>
      <t>kg/m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(ss)</t>
    </r>
  </si>
  <si>
    <t>Steady-state</t>
  </si>
  <si>
    <r>
      <t>CO2 pumping speed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/day)</t>
    </r>
  </si>
  <si>
    <t>0D Model Calculations</t>
  </si>
  <si>
    <t>Assume vols are equal at min number of each. If lfr multiplier &gt; 1, need lower gfr and more VPs. If multiplier &lt; 1, need lower lfr and more MCs.</t>
  </si>
  <si>
    <t>Seider. Not rounding for ease of lfr/gfr calculation</t>
  </si>
  <si>
    <r>
      <t>Since the pressure is the partial pressure of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, we don't need to multiply by the fraction of the gas that is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(Dalton's Law).</t>
    </r>
  </si>
  <si>
    <t>(copy-paste this when varying pressure)</t>
  </si>
  <si>
    <t>150 Torr</t>
  </si>
  <si>
    <t>70 Torr</t>
  </si>
  <si>
    <t>20 Torr</t>
  </si>
  <si>
    <t>2 Torr</t>
  </si>
  <si>
    <t>vacuum</t>
  </si>
  <si>
    <t>membrane contactor</t>
  </si>
  <si>
    <t>Max lfr (1/min)</t>
  </si>
  <si>
    <t>Lfr</t>
  </si>
  <si>
    <t>Max MC Lfr</t>
  </si>
  <si>
    <t>Unit capacity</t>
  </si>
  <si>
    <t>Max unit capacity</t>
  </si>
  <si>
    <t>steady-state</t>
  </si>
  <si>
    <t>Area</t>
  </si>
  <si>
    <t>Thickness</t>
  </si>
  <si>
    <t>m^2</t>
  </si>
  <si>
    <t>Henry's constant</t>
  </si>
  <si>
    <t>CO2 dissolved</t>
  </si>
  <si>
    <t>Head gas</t>
  </si>
  <si>
    <t>Gas permeability</t>
  </si>
  <si>
    <t>m</t>
  </si>
  <si>
    <t>mM/atm</t>
  </si>
  <si>
    <t>mM</t>
  </si>
  <si>
    <t>Atm</t>
  </si>
  <si>
    <t>mol*m/(m^2 s Pa)</t>
  </si>
  <si>
    <t>L/min</t>
  </si>
  <si>
    <t xml:space="preserve">Rate </t>
  </si>
  <si>
    <t xml:space="preserve"> mol/s</t>
  </si>
  <si>
    <t>50% H2O</t>
  </si>
  <si>
    <t>40-50 Torr</t>
  </si>
  <si>
    <t>50% CO2</t>
  </si>
  <si>
    <t>Partial pressure of CO2 is 25 Torr</t>
  </si>
  <si>
    <t>CO₂</t>
  </si>
  <si>
    <t>OH⁻</t>
  </si>
  <si>
    <t>HCO₃⁻</t>
  </si>
  <si>
    <t>H⁺</t>
  </si>
  <si>
    <r>
      <t>CO₃²</t>
    </r>
    <r>
      <rPr>
        <vertAlign val="superscript"/>
        <sz val="10"/>
        <color theme="1"/>
        <rFont val="Arial"/>
        <family val="2"/>
      </rPr>
      <t>⁻</t>
    </r>
  </si>
  <si>
    <t>current_density</t>
  </si>
  <si>
    <t>CapEx</t>
  </si>
  <si>
    <t>Variable OpEx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</si>
</sst>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  <numFmt numFmtId="166" formatCode="&quot;$&quot;#,##0.00"/>
    <numFmt numFmtId="167" formatCode="0;;&quot;Constant debt&quot;"/>
    <numFmt numFmtId="168" formatCode="0.0%"/>
    <numFmt numFmtId="169" formatCode="0.000"/>
    <numFmt numFmtId="170" formatCode="&quot;$&quot;#,##0.0000000000"/>
    <numFmt numFmtId="171" formatCode="0.00000%"/>
    <numFmt numFmtId="172" formatCode="&quot;$&quot;#,##0.000000"/>
    <numFmt numFmtId="173" formatCode="#,##0;\(#,##0\)"/>
    <numFmt numFmtId="174" formatCode="#,##0.000000000_);\(#,##0.000000000\)"/>
    <numFmt numFmtId="175" formatCode="#,##0.000"/>
    <numFmt numFmtId="176" formatCode="0.0"/>
    <numFmt numFmtId="177" formatCode="_(* #,##0_);_(* \(#,##0\);_(* &quot;-&quot;??_);_(@_)"/>
    <numFmt numFmtId="178" formatCode="_(* #,##0.0_);_(* \(#,##0.0\);_(* &quot;-&quot;_);_(@_)"/>
    <numFmt numFmtId="179" formatCode="_(* #,##0.00_);_(* \(#,##0.00\);_(* &quot;-&quot;_);_(@_)"/>
    <numFmt numFmtId="180" formatCode="_(* #,##0.000_);_(* \(#,##0.000\);_(* &quot;-&quot;_);_(@_)"/>
    <numFmt numFmtId="181" formatCode="&quot;$&quot;#,##0.00000"/>
    <numFmt numFmtId="182" formatCode="&quot;$&quot;#,##0.000"/>
    <numFmt numFmtId="183" formatCode="&quot;$&quot;#,##0.0"/>
    <numFmt numFmtId="184" formatCode="_(* #,##0.0_);_(* \(#,##0.0\);_(* &quot;-&quot;??_);_(@_)"/>
  </numFmts>
  <fonts count="4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i/>
      <sz val="10"/>
      <color theme="1"/>
      <name val="Arial"/>
      <family val="2"/>
    </font>
    <font>
      <vertAlign val="superscript"/>
      <sz val="10"/>
      <name val="Arial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vertAlign val="subscript"/>
      <sz val="10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i/>
      <sz val="10"/>
      <color rgb="FF00000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vertAlign val="subscript"/>
      <sz val="18"/>
      <color theme="1"/>
      <name val="Arial"/>
      <family val="2"/>
    </font>
    <font>
      <vertAlign val="superscript"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222222"/>
      <name val="Arial"/>
      <family val="2"/>
    </font>
    <font>
      <b/>
      <sz val="10"/>
      <color rgb="FFFF0000"/>
      <name val="Arial"/>
      <family val="2"/>
    </font>
    <font>
      <sz val="12"/>
      <color theme="1"/>
      <name val="Arial"/>
      <family val="2"/>
    </font>
    <font>
      <b/>
      <u/>
      <sz val="10"/>
      <color theme="10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name val="Arial"/>
      <family val="2"/>
    </font>
    <font>
      <b/>
      <vertAlign val="subscript"/>
      <sz val="10"/>
      <name val="Arial"/>
      <family val="2"/>
    </font>
    <font>
      <b/>
      <vertAlign val="subscript"/>
      <sz val="10"/>
      <color rgb="FF000000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sz val="10"/>
      <color theme="4"/>
      <name val="Arial"/>
      <family val="2"/>
    </font>
    <font>
      <b/>
      <sz val="10"/>
      <color theme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41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692">
    <xf numFmtId="0" fontId="0" fillId="0" borderId="0" xfId="0"/>
    <xf numFmtId="0" fontId="2" fillId="5" borderId="0" xfId="1" applyNumberFormat="1" applyFont="1" applyFill="1" applyBorder="1" applyAlignment="1">
      <alignment vertical="top" wrapText="1"/>
    </xf>
    <xf numFmtId="9" fontId="2" fillId="5" borderId="0" xfId="1" applyFont="1" applyFill="1" applyBorder="1" applyAlignment="1">
      <alignment vertical="top" wrapText="1"/>
    </xf>
    <xf numFmtId="0" fontId="2" fillId="0" borderId="0" xfId="0" applyFont="1" applyBorder="1" applyAlignment="1">
      <alignment vertical="center"/>
    </xf>
    <xf numFmtId="0" fontId="8" fillId="5" borderId="0" xfId="1" applyNumberFormat="1" applyFont="1" applyFill="1" applyBorder="1" applyAlignment="1">
      <alignment vertical="top" wrapText="1"/>
    </xf>
    <xf numFmtId="38" fontId="2" fillId="0" borderId="0" xfId="0" applyNumberFormat="1" applyFont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8" fillId="0" borderId="0" xfId="0" applyFont="1"/>
    <xf numFmtId="0" fontId="17" fillId="0" borderId="0" xfId="0" applyFont="1" applyFill="1" applyBorder="1" applyAlignment="1"/>
    <xf numFmtId="0" fontId="27" fillId="0" borderId="0" xfId="4" applyFont="1" applyFill="1" applyBorder="1" applyAlignment="1">
      <alignment vertical="center" wrapText="1"/>
    </xf>
    <xf numFmtId="173" fontId="18" fillId="0" borderId="0" xfId="0" applyNumberFormat="1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0" fillId="0" borderId="0" xfId="0"/>
    <xf numFmtId="0" fontId="19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20" fillId="0" borderId="0" xfId="0" applyFont="1" applyFill="1" applyBorder="1" applyAlignment="1">
      <alignment wrapText="1"/>
    </xf>
    <xf numFmtId="0" fontId="0" fillId="0" borderId="0" xfId="0" applyFont="1" applyFill="1" applyBorder="1" applyAlignment="1"/>
    <xf numFmtId="11" fontId="0" fillId="0" borderId="0" xfId="0" applyNumberFormat="1" applyFont="1" applyFill="1" applyBorder="1" applyAlignment="1">
      <alignment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/>
    <xf numFmtId="0" fontId="31" fillId="0" borderId="0" xfId="4" applyFont="1" applyFill="1" applyBorder="1" applyAlignment="1">
      <alignment vertical="center" wrapText="1"/>
    </xf>
    <xf numFmtId="0" fontId="0" fillId="7" borderId="0" xfId="0" applyFont="1" applyFill="1" applyBorder="1" applyAlignment="1"/>
    <xf numFmtId="0" fontId="3" fillId="8" borderId="0" xfId="0" applyFont="1" applyFill="1" applyBorder="1" applyAlignment="1"/>
    <xf numFmtId="0" fontId="30" fillId="8" borderId="0" xfId="0" applyFont="1" applyFill="1" applyBorder="1" applyAlignment="1"/>
    <xf numFmtId="0" fontId="0" fillId="8" borderId="0" xfId="0" applyFont="1" applyFill="1" applyBorder="1" applyAlignment="1"/>
    <xf numFmtId="177" fontId="0" fillId="8" borderId="0" xfId="5" applyNumberFormat="1" applyFont="1" applyFill="1" applyBorder="1" applyAlignment="1"/>
    <xf numFmtId="0" fontId="8" fillId="8" borderId="1" xfId="0" applyFont="1" applyFill="1" applyBorder="1" applyAlignment="1"/>
    <xf numFmtId="0" fontId="8" fillId="8" borderId="4" xfId="0" applyFont="1" applyFill="1" applyBorder="1" applyAlignment="1"/>
    <xf numFmtId="1" fontId="0" fillId="8" borderId="0" xfId="0" applyNumberFormat="1" applyFont="1" applyFill="1" applyBorder="1" applyAlignment="1"/>
    <xf numFmtId="0" fontId="3" fillId="6" borderId="0" xfId="0" applyFont="1" applyFill="1" applyBorder="1" applyAlignment="1"/>
    <xf numFmtId="0" fontId="30" fillId="6" borderId="0" xfId="0" applyFont="1" applyFill="1" applyBorder="1" applyAlignment="1"/>
    <xf numFmtId="0" fontId="0" fillId="6" borderId="0" xfId="0" applyFont="1" applyFill="1" applyBorder="1" applyAlignment="1"/>
    <xf numFmtId="177" fontId="0" fillId="6" borderId="0" xfId="5" applyNumberFormat="1" applyFont="1" applyFill="1" applyBorder="1" applyAlignment="1"/>
    <xf numFmtId="0" fontId="8" fillId="6" borderId="1" xfId="0" applyFont="1" applyFill="1" applyBorder="1" applyAlignment="1"/>
    <xf numFmtId="0" fontId="8" fillId="6" borderId="4" xfId="0" applyFont="1" applyFill="1" applyBorder="1" applyAlignment="1"/>
    <xf numFmtId="1" fontId="0" fillId="6" borderId="0" xfId="0" applyNumberFormat="1" applyFont="1" applyFill="1" applyBorder="1" applyAlignment="1"/>
    <xf numFmtId="0" fontId="3" fillId="8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0" fontId="18" fillId="5" borderId="0" xfId="0" applyFont="1" applyFill="1" applyBorder="1" applyAlignment="1"/>
    <xf numFmtId="0" fontId="3" fillId="2" borderId="0" xfId="0" applyFont="1" applyFill="1" applyBorder="1" applyAlignment="1"/>
    <xf numFmtId="0" fontId="30" fillId="2" borderId="0" xfId="0" applyFont="1" applyFill="1" applyBorder="1" applyAlignment="1"/>
    <xf numFmtId="0" fontId="0" fillId="2" borderId="0" xfId="0" applyFont="1" applyFill="1" applyBorder="1" applyAlignment="1"/>
    <xf numFmtId="177" fontId="0" fillId="2" borderId="0" xfId="5" applyNumberFormat="1" applyFont="1" applyFill="1" applyBorder="1" applyAlignment="1"/>
    <xf numFmtId="0" fontId="8" fillId="2" borderId="1" xfId="0" applyFont="1" applyFill="1" applyBorder="1" applyAlignment="1"/>
    <xf numFmtId="0" fontId="8" fillId="2" borderId="4" xfId="0" applyFont="1" applyFill="1" applyBorder="1" applyAlignment="1"/>
    <xf numFmtId="176" fontId="0" fillId="2" borderId="0" xfId="0" applyNumberFormat="1" applyFont="1" applyFill="1" applyBorder="1" applyAlignment="1"/>
    <xf numFmtId="1" fontId="0" fillId="2" borderId="0" xfId="0" applyNumberFormat="1" applyFont="1" applyFill="1" applyBorder="1" applyAlignment="1"/>
    <xf numFmtId="0" fontId="3" fillId="3" borderId="0" xfId="0" applyFont="1" applyFill="1" applyBorder="1" applyAlignment="1"/>
    <xf numFmtId="0" fontId="30" fillId="3" borderId="0" xfId="0" applyFont="1" applyFill="1" applyBorder="1" applyAlignment="1"/>
    <xf numFmtId="0" fontId="0" fillId="3" borderId="0" xfId="0" applyFont="1" applyFill="1" applyBorder="1" applyAlignment="1"/>
    <xf numFmtId="177" fontId="0" fillId="3" borderId="0" xfId="5" applyNumberFormat="1" applyFont="1" applyFill="1" applyBorder="1" applyAlignment="1"/>
    <xf numFmtId="0" fontId="8" fillId="3" borderId="1" xfId="0" applyFont="1" applyFill="1" applyBorder="1" applyAlignment="1"/>
    <xf numFmtId="0" fontId="8" fillId="3" borderId="4" xfId="0" applyFont="1" applyFill="1" applyBorder="1" applyAlignment="1"/>
    <xf numFmtId="1" fontId="0" fillId="3" borderId="0" xfId="0" applyNumberFormat="1" applyFont="1" applyFill="1" applyBorder="1" applyAlignment="1"/>
    <xf numFmtId="0" fontId="3" fillId="4" borderId="0" xfId="0" applyFont="1" applyFill="1" applyBorder="1" applyAlignment="1"/>
    <xf numFmtId="0" fontId="30" fillId="4" borderId="0" xfId="0" applyFont="1" applyFill="1" applyBorder="1" applyAlignment="1"/>
    <xf numFmtId="0" fontId="0" fillId="4" borderId="0" xfId="0" applyFont="1" applyFill="1" applyBorder="1" applyAlignment="1"/>
    <xf numFmtId="177" fontId="0" fillId="4" borderId="0" xfId="5" applyNumberFormat="1" applyFont="1" applyFill="1" applyBorder="1" applyAlignment="1"/>
    <xf numFmtId="0" fontId="8" fillId="4" borderId="1" xfId="0" applyFont="1" applyFill="1" applyBorder="1" applyAlignment="1"/>
    <xf numFmtId="0" fontId="8" fillId="4" borderId="4" xfId="0" applyFont="1" applyFill="1" applyBorder="1" applyAlignment="1"/>
    <xf numFmtId="176" fontId="0" fillId="4" borderId="0" xfId="0" applyNumberFormat="1" applyFont="1" applyFill="1" applyBorder="1" applyAlignment="1"/>
    <xf numFmtId="1" fontId="0" fillId="4" borderId="0" xfId="0" applyNumberFormat="1" applyFont="1" applyFill="1" applyBorder="1" applyAlignment="1"/>
    <xf numFmtId="0" fontId="3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 wrapText="1"/>
    </xf>
    <xf numFmtId="0" fontId="3" fillId="5" borderId="0" xfId="0" applyFont="1" applyFill="1" applyBorder="1" applyAlignment="1"/>
    <xf numFmtId="0" fontId="30" fillId="5" borderId="0" xfId="0" applyFont="1" applyFill="1" applyBorder="1" applyAlignment="1"/>
    <xf numFmtId="0" fontId="0" fillId="5" borderId="0" xfId="0" applyFont="1" applyFill="1" applyBorder="1" applyAlignment="1"/>
    <xf numFmtId="177" fontId="0" fillId="5" borderId="0" xfId="5" applyNumberFormat="1" applyFont="1" applyFill="1" applyBorder="1" applyAlignment="1"/>
    <xf numFmtId="0" fontId="8" fillId="5" borderId="1" xfId="0" applyFont="1" applyFill="1" applyBorder="1" applyAlignment="1"/>
    <xf numFmtId="0" fontId="8" fillId="5" borderId="4" xfId="0" applyFont="1" applyFill="1" applyBorder="1" applyAlignment="1"/>
    <xf numFmtId="176" fontId="0" fillId="5" borderId="0" xfId="0" applyNumberFormat="1" applyFont="1" applyFill="1" applyBorder="1" applyAlignment="1"/>
    <xf numFmtId="1" fontId="0" fillId="5" borderId="0" xfId="0" applyNumberFormat="1" applyFont="1" applyFill="1" applyBorder="1" applyAlignment="1"/>
    <xf numFmtId="9" fontId="0" fillId="5" borderId="0" xfId="1" applyFont="1" applyFill="1" applyBorder="1" applyAlignment="1"/>
    <xf numFmtId="168" fontId="0" fillId="5" borderId="0" xfId="1" applyNumberFormat="1" applyFont="1" applyFill="1" applyBorder="1" applyAlignment="1"/>
    <xf numFmtId="9" fontId="0" fillId="4" borderId="0" xfId="1" applyFont="1" applyFill="1" applyBorder="1" applyAlignment="1"/>
    <xf numFmtId="9" fontId="0" fillId="3" borderId="0" xfId="1" applyFont="1" applyFill="1" applyBorder="1" applyAlignment="1"/>
    <xf numFmtId="9" fontId="0" fillId="2" borderId="0" xfId="1" applyFont="1" applyFill="1" applyBorder="1" applyAlignment="1"/>
    <xf numFmtId="168" fontId="0" fillId="6" borderId="0" xfId="1" applyNumberFormat="1" applyFont="1" applyFill="1" applyBorder="1" applyAlignment="1"/>
    <xf numFmtId="9" fontId="0" fillId="6" borderId="0" xfId="1" applyFont="1" applyFill="1" applyBorder="1" applyAlignment="1"/>
    <xf numFmtId="9" fontId="0" fillId="8" borderId="0" xfId="1" applyFont="1" applyFill="1" applyBorder="1" applyAlignment="1"/>
    <xf numFmtId="0" fontId="8" fillId="0" borderId="0" xfId="0" applyFont="1" applyFill="1" applyBorder="1" applyAlignment="1"/>
    <xf numFmtId="0" fontId="8" fillId="9" borderId="1" xfId="0" applyFont="1" applyFill="1" applyBorder="1" applyAlignment="1"/>
    <xf numFmtId="0" fontId="8" fillId="9" borderId="4" xfId="0" applyFont="1" applyFill="1" applyBorder="1" applyAlignment="1"/>
    <xf numFmtId="0" fontId="0" fillId="0" borderId="0" xfId="0" applyAlignment="1"/>
    <xf numFmtId="0" fontId="6" fillId="2" borderId="0" xfId="0" applyFont="1" applyFill="1" applyAlignment="1">
      <alignment vertical="center"/>
    </xf>
    <xf numFmtId="0" fontId="0" fillId="2" borderId="0" xfId="0" applyFill="1" applyAlignment="1"/>
    <xf numFmtId="165" fontId="2" fillId="0" borderId="0" xfId="0" applyNumberFormat="1" applyFont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9" fontId="2" fillId="2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3" fontId="2" fillId="0" borderId="0" xfId="0" applyNumberFormat="1" applyFont="1" applyFill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165" fontId="2" fillId="4" borderId="0" xfId="0" applyNumberFormat="1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 wrapText="1"/>
    </xf>
    <xf numFmtId="0" fontId="8" fillId="5" borderId="0" xfId="0" applyFont="1" applyFill="1" applyBorder="1" applyAlignment="1">
      <alignment vertical="top" wrapText="1"/>
    </xf>
    <xf numFmtId="0" fontId="2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top" wrapText="1"/>
    </xf>
    <xf numFmtId="0" fontId="4" fillId="5" borderId="0" xfId="0" applyFont="1" applyFill="1" applyBorder="1" applyAlignment="1">
      <alignment vertical="top" wrapText="1"/>
    </xf>
    <xf numFmtId="164" fontId="8" fillId="0" borderId="0" xfId="0" applyNumberFormat="1" applyFont="1" applyFill="1" applyBorder="1" applyAlignment="1">
      <alignment vertical="center" wrapText="1"/>
    </xf>
    <xf numFmtId="9" fontId="2" fillId="5" borderId="0" xfId="0" applyNumberFormat="1" applyFont="1" applyFill="1" applyBorder="1" applyAlignment="1">
      <alignment vertical="top" wrapText="1"/>
    </xf>
    <xf numFmtId="10" fontId="4" fillId="5" borderId="0" xfId="0" applyNumberFormat="1" applyFont="1" applyFill="1" applyBorder="1" applyAlignment="1">
      <alignment vertical="top" wrapText="1"/>
    </xf>
    <xf numFmtId="167" fontId="4" fillId="5" borderId="0" xfId="0" applyNumberFormat="1" applyFont="1" applyFill="1" applyBorder="1" applyAlignment="1">
      <alignment vertical="top" wrapText="1"/>
    </xf>
    <xf numFmtId="168" fontId="2" fillId="5" borderId="0" xfId="0" applyNumberFormat="1" applyFont="1" applyFill="1" applyBorder="1" applyAlignment="1">
      <alignment vertical="top" wrapText="1"/>
    </xf>
    <xf numFmtId="10" fontId="2" fillId="5" borderId="0" xfId="0" applyNumberFormat="1" applyFont="1" applyFill="1" applyBorder="1" applyAlignment="1">
      <alignment vertical="top" wrapText="1"/>
    </xf>
    <xf numFmtId="9" fontId="2" fillId="5" borderId="0" xfId="0" applyNumberFormat="1" applyFont="1" applyFill="1" applyBorder="1" applyAlignment="1">
      <alignment vertical="center"/>
    </xf>
    <xf numFmtId="10" fontId="2" fillId="5" borderId="0" xfId="0" applyNumberFormat="1" applyFont="1" applyFill="1" applyBorder="1" applyAlignment="1">
      <alignment vertical="center"/>
    </xf>
    <xf numFmtId="2" fontId="2" fillId="5" borderId="0" xfId="0" applyNumberFormat="1" applyFont="1" applyFill="1" applyBorder="1" applyAlignment="1">
      <alignment vertical="center" wrapText="1"/>
    </xf>
    <xf numFmtId="0" fontId="2" fillId="6" borderId="0" xfId="0" applyFont="1" applyFill="1" applyBorder="1" applyAlignment="1">
      <alignment vertical="center"/>
    </xf>
    <xf numFmtId="0" fontId="8" fillId="6" borderId="0" xfId="0" applyFont="1" applyFill="1" applyBorder="1" applyAlignment="1">
      <alignment vertical="center"/>
    </xf>
    <xf numFmtId="166" fontId="2" fillId="6" borderId="0" xfId="0" applyNumberFormat="1" applyFont="1" applyFill="1" applyBorder="1" applyAlignment="1">
      <alignment vertical="center"/>
    </xf>
    <xf numFmtId="165" fontId="2" fillId="6" borderId="0" xfId="0" applyNumberFormat="1" applyFont="1" applyFill="1" applyBorder="1" applyAlignment="1">
      <alignment vertical="center"/>
    </xf>
    <xf numFmtId="9" fontId="2" fillId="6" borderId="0" xfId="0" applyNumberFormat="1" applyFont="1" applyFill="1" applyBorder="1" applyAlignment="1">
      <alignment vertical="center"/>
    </xf>
    <xf numFmtId="165" fontId="2" fillId="0" borderId="0" xfId="0" applyNumberFormat="1" applyFont="1" applyFill="1" applyBorder="1" applyAlignment="1">
      <alignment vertical="center"/>
    </xf>
    <xf numFmtId="168" fontId="2" fillId="6" borderId="0" xfId="0" applyNumberFormat="1" applyFont="1" applyFill="1" applyBorder="1" applyAlignment="1">
      <alignment vertical="center"/>
    </xf>
    <xf numFmtId="165" fontId="8" fillId="6" borderId="0" xfId="0" applyNumberFormat="1" applyFont="1" applyFill="1" applyBorder="1" applyAlignment="1">
      <alignment vertical="center"/>
    </xf>
    <xf numFmtId="2" fontId="2" fillId="6" borderId="0" xfId="0" applyNumberFormat="1" applyFont="1" applyFill="1" applyBorder="1" applyAlignment="1">
      <alignment vertical="center"/>
    </xf>
    <xf numFmtId="165" fontId="8" fillId="0" borderId="0" xfId="0" applyNumberFormat="1" applyFont="1" applyFill="1" applyBorder="1" applyAlignment="1">
      <alignment vertical="center"/>
    </xf>
    <xf numFmtId="0" fontId="2" fillId="8" borderId="0" xfId="0" applyFont="1" applyFill="1" applyBorder="1" applyAlignment="1">
      <alignment vertical="center"/>
    </xf>
    <xf numFmtId="2" fontId="2" fillId="8" borderId="0" xfId="0" applyNumberFormat="1" applyFont="1" applyFill="1" applyBorder="1" applyAlignment="1">
      <alignment vertical="center"/>
    </xf>
    <xf numFmtId="165" fontId="2" fillId="8" borderId="0" xfId="0" applyNumberFormat="1" applyFont="1" applyFill="1" applyBorder="1" applyAlignment="1">
      <alignment vertical="center"/>
    </xf>
    <xf numFmtId="9" fontId="2" fillId="8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8" fillId="8" borderId="0" xfId="0" applyFont="1" applyFill="1" applyBorder="1" applyAlignment="1">
      <alignment vertical="center"/>
    </xf>
    <xf numFmtId="165" fontId="8" fillId="8" borderId="0" xfId="0" applyNumberFormat="1" applyFont="1" applyFill="1" applyBorder="1" applyAlignment="1">
      <alignment vertical="center"/>
    </xf>
    <xf numFmtId="0" fontId="3" fillId="7" borderId="0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165" fontId="8" fillId="7" borderId="0" xfId="0" applyNumberFormat="1" applyFont="1" applyFill="1" applyBorder="1" applyAlignment="1">
      <alignment vertical="center"/>
    </xf>
    <xf numFmtId="9" fontId="2" fillId="7" borderId="0" xfId="0" applyNumberFormat="1" applyFont="1" applyFill="1" applyBorder="1" applyAlignment="1">
      <alignment vertical="center"/>
    </xf>
    <xf numFmtId="0" fontId="8" fillId="7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 wrapText="1"/>
    </xf>
    <xf numFmtId="2" fontId="2" fillId="2" borderId="0" xfId="0" applyNumberFormat="1" applyFont="1" applyFill="1" applyBorder="1" applyAlignment="1">
      <alignment vertical="center" wrapText="1"/>
    </xf>
    <xf numFmtId="5" fontId="2" fillId="0" borderId="0" xfId="0" applyNumberFormat="1" applyFont="1" applyBorder="1" applyAlignment="1">
      <alignment vertical="center"/>
    </xf>
    <xf numFmtId="0" fontId="0" fillId="6" borderId="0" xfId="0" applyFont="1" applyFill="1"/>
    <xf numFmtId="0" fontId="0" fillId="4" borderId="0" xfId="0" applyFont="1" applyFill="1"/>
    <xf numFmtId="11" fontId="0" fillId="0" borderId="0" xfId="0" applyNumberFormat="1" applyFont="1"/>
    <xf numFmtId="2" fontId="0" fillId="0" borderId="0" xfId="0" applyNumberFormat="1" applyFont="1"/>
    <xf numFmtId="176" fontId="0" fillId="0" borderId="0" xfId="0" applyNumberFormat="1" applyFont="1"/>
    <xf numFmtId="11" fontId="0" fillId="0" borderId="0" xfId="0" applyNumberFormat="1" applyFont="1" applyFill="1"/>
    <xf numFmtId="0" fontId="0" fillId="0" borderId="0" xfId="0" applyFont="1" applyFill="1"/>
    <xf numFmtId="11" fontId="0" fillId="6" borderId="0" xfId="0" applyNumberFormat="1" applyFont="1" applyFill="1"/>
    <xf numFmtId="165" fontId="0" fillId="7" borderId="0" xfId="0" applyNumberFormat="1" applyFont="1" applyFill="1" applyBorder="1" applyAlignment="1">
      <alignment vertical="center"/>
    </xf>
    <xf numFmtId="0" fontId="0" fillId="7" borderId="0" xfId="0" applyFont="1" applyFill="1" applyBorder="1" applyAlignment="1">
      <alignment vertical="center"/>
    </xf>
    <xf numFmtId="165" fontId="2" fillId="7" borderId="0" xfId="6" applyFont="1" applyFill="1" applyBorder="1" applyAlignment="1">
      <alignment vertical="center" wrapText="1"/>
    </xf>
    <xf numFmtId="0" fontId="0" fillId="7" borderId="0" xfId="0" applyFont="1" applyFill="1" applyBorder="1" applyAlignment="1">
      <alignment vertical="center" wrapText="1"/>
    </xf>
    <xf numFmtId="165" fontId="8" fillId="4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38" fontId="8" fillId="0" borderId="0" xfId="0" applyNumberFormat="1" applyFont="1" applyBorder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/>
    <xf numFmtId="0" fontId="8" fillId="2" borderId="0" xfId="0" applyFont="1" applyFill="1" applyAlignment="1"/>
    <xf numFmtId="0" fontId="8" fillId="0" borderId="0" xfId="0" applyFont="1" applyAlignment="1"/>
    <xf numFmtId="0" fontId="8" fillId="0" borderId="0" xfId="0" applyFont="1" applyAlignment="1">
      <alignment vertical="center"/>
    </xf>
    <xf numFmtId="0" fontId="8" fillId="2" borderId="0" xfId="0" applyFont="1" applyFill="1" applyAlignment="1">
      <alignment vertical="center"/>
    </xf>
    <xf numFmtId="166" fontId="8" fillId="2" borderId="0" xfId="0" applyNumberFormat="1" applyFont="1" applyFill="1" applyAlignment="1">
      <alignment vertical="center"/>
    </xf>
    <xf numFmtId="165" fontId="8" fillId="2" borderId="0" xfId="0" applyNumberFormat="1" applyFont="1" applyFill="1" applyAlignment="1">
      <alignment vertical="center"/>
    </xf>
    <xf numFmtId="166" fontId="8" fillId="0" borderId="0" xfId="0" applyNumberFormat="1" applyFont="1" applyAlignment="1">
      <alignment vertical="center"/>
    </xf>
    <xf numFmtId="171" fontId="8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38" fontId="0" fillId="0" borderId="0" xfId="0" applyNumberFormat="1" applyFont="1" applyBorder="1" applyAlignment="1">
      <alignment vertical="center"/>
    </xf>
    <xf numFmtId="0" fontId="0" fillId="0" borderId="0" xfId="0" applyFont="1" applyAlignment="1"/>
    <xf numFmtId="0" fontId="3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8" fillId="3" borderId="0" xfId="0" applyFont="1" applyFill="1" applyBorder="1" applyAlignment="1"/>
    <xf numFmtId="38" fontId="2" fillId="3" borderId="0" xfId="0" applyNumberFormat="1" applyFont="1" applyFill="1" applyBorder="1" applyAlignment="1">
      <alignment vertical="center"/>
    </xf>
    <xf numFmtId="38" fontId="2" fillId="0" borderId="0" xfId="0" applyNumberFormat="1" applyFont="1" applyAlignment="1">
      <alignment vertical="center"/>
    </xf>
    <xf numFmtId="0" fontId="8" fillId="3" borderId="0" xfId="0" applyFont="1" applyFill="1" applyBorder="1" applyAlignment="1">
      <alignment vertical="center"/>
    </xf>
    <xf numFmtId="10" fontId="2" fillId="3" borderId="0" xfId="0" applyNumberFormat="1" applyFont="1" applyFill="1" applyBorder="1" applyAlignment="1">
      <alignment vertical="center"/>
    </xf>
    <xf numFmtId="3" fontId="2" fillId="4" borderId="0" xfId="0" applyNumberFormat="1" applyFont="1" applyFill="1" applyBorder="1" applyAlignment="1">
      <alignment vertical="center"/>
    </xf>
    <xf numFmtId="0" fontId="0" fillId="4" borderId="0" xfId="0" applyFill="1" applyBorder="1" applyAlignment="1"/>
    <xf numFmtId="3" fontId="8" fillId="4" borderId="0" xfId="0" applyNumberFormat="1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/>
    </xf>
    <xf numFmtId="38" fontId="8" fillId="0" borderId="0" xfId="0" applyNumberFormat="1" applyFont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38" fontId="2" fillId="4" borderId="0" xfId="0" applyNumberFormat="1" applyFont="1" applyFill="1" applyBorder="1" applyAlignment="1">
      <alignment vertical="center"/>
    </xf>
    <xf numFmtId="38" fontId="2" fillId="4" borderId="0" xfId="0" applyNumberFormat="1" applyFont="1" applyFill="1" applyBorder="1" applyAlignment="1">
      <alignment vertical="center" wrapText="1"/>
    </xf>
    <xf numFmtId="38" fontId="8" fillId="4" borderId="0" xfId="0" applyNumberFormat="1" applyFont="1" applyFill="1" applyBorder="1" applyAlignment="1">
      <alignment vertical="center"/>
    </xf>
    <xf numFmtId="0" fontId="2" fillId="0" borderId="0" xfId="0" applyFont="1" applyBorder="1" applyAlignment="1"/>
    <xf numFmtId="0" fontId="0" fillId="0" borderId="0" xfId="0" applyFill="1" applyAlignment="1"/>
    <xf numFmtId="0" fontId="3" fillId="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38" fontId="2" fillId="5" borderId="0" xfId="0" applyNumberFormat="1" applyFont="1" applyFill="1" applyBorder="1" applyAlignment="1">
      <alignment vertical="center"/>
    </xf>
    <xf numFmtId="0" fontId="2" fillId="6" borderId="0" xfId="0" applyFont="1" applyFill="1" applyBorder="1" applyAlignment="1"/>
    <xf numFmtId="0" fontId="8" fillId="6" borderId="0" xfId="0" applyFont="1" applyFill="1" applyBorder="1" applyAlignment="1"/>
    <xf numFmtId="5" fontId="2" fillId="6" borderId="0" xfId="0" applyNumberFormat="1" applyFont="1" applyFill="1" applyBorder="1" applyAlignment="1">
      <alignment vertical="center"/>
    </xf>
    <xf numFmtId="6" fontId="2" fillId="6" borderId="0" xfId="0" applyNumberFormat="1" applyFont="1" applyFill="1" applyBorder="1" applyAlignment="1">
      <alignment vertical="center"/>
    </xf>
    <xf numFmtId="5" fontId="2" fillId="6" borderId="0" xfId="0" applyNumberFormat="1" applyFont="1" applyFill="1" applyBorder="1" applyAlignment="1"/>
    <xf numFmtId="0" fontId="0" fillId="6" borderId="0" xfId="0" applyFill="1" applyBorder="1" applyAlignment="1"/>
    <xf numFmtId="5" fontId="2" fillId="0" borderId="0" xfId="0" applyNumberFormat="1" applyFont="1" applyBorder="1" applyAlignment="1"/>
    <xf numFmtId="0" fontId="2" fillId="8" borderId="0" xfId="0" applyFont="1" applyFill="1" applyBorder="1" applyAlignment="1"/>
    <xf numFmtId="0" fontId="8" fillId="8" borderId="0" xfId="0" applyFont="1" applyFill="1" applyBorder="1" applyAlignment="1"/>
    <xf numFmtId="10" fontId="2" fillId="8" borderId="0" xfId="0" applyNumberFormat="1" applyFont="1" applyFill="1" applyBorder="1" applyAlignment="1">
      <alignment vertical="center"/>
    </xf>
    <xf numFmtId="10" fontId="8" fillId="8" borderId="0" xfId="0" applyNumberFormat="1" applyFont="1" applyFill="1" applyBorder="1" applyAlignment="1">
      <alignment vertical="center"/>
    </xf>
    <xf numFmtId="5" fontId="2" fillId="0" borderId="0" xfId="0" applyNumberFormat="1" applyFont="1" applyAlignment="1">
      <alignment vertical="center"/>
    </xf>
    <xf numFmtId="0" fontId="10" fillId="0" borderId="0" xfId="0" applyFont="1" applyBorder="1" applyAlignment="1"/>
    <xf numFmtId="175" fontId="10" fillId="0" borderId="0" xfId="0" applyNumberFormat="1" applyFont="1" applyBorder="1" applyAlignment="1"/>
    <xf numFmtId="0" fontId="2" fillId="0" borderId="0" xfId="0" applyFont="1" applyFill="1" applyBorder="1" applyAlignment="1"/>
    <xf numFmtId="164" fontId="2" fillId="0" borderId="0" xfId="0" applyNumberFormat="1" applyFont="1" applyBorder="1" applyAlignment="1"/>
    <xf numFmtId="164" fontId="2" fillId="0" borderId="0" xfId="0" applyNumberFormat="1" applyFont="1" applyFill="1" applyBorder="1" applyAlignment="1"/>
    <xf numFmtId="10" fontId="2" fillId="0" borderId="0" xfId="0" applyNumberFormat="1" applyFont="1" applyBorder="1" applyAlignment="1"/>
    <xf numFmtId="44" fontId="2" fillId="0" borderId="0" xfId="0" applyNumberFormat="1" applyFont="1" applyBorder="1" applyAlignment="1"/>
    <xf numFmtId="0" fontId="4" fillId="2" borderId="0" xfId="0" applyFont="1" applyFill="1" applyBorder="1" applyAlignment="1"/>
    <xf numFmtId="3" fontId="2" fillId="2" borderId="0" xfId="0" applyNumberFormat="1" applyFont="1" applyFill="1" applyBorder="1" applyAlignment="1"/>
    <xf numFmtId="0" fontId="2" fillId="2" borderId="0" xfId="0" applyFont="1" applyFill="1" applyBorder="1" applyAlignment="1"/>
    <xf numFmtId="0" fontId="2" fillId="0" borderId="0" xfId="0" applyNumberFormat="1" applyFont="1" applyFill="1" applyBorder="1" applyAlignment="1"/>
    <xf numFmtId="164" fontId="8" fillId="0" borderId="0" xfId="0" applyNumberFormat="1" applyFont="1" applyFill="1" applyBorder="1" applyAlignment="1"/>
    <xf numFmtId="169" fontId="2" fillId="2" borderId="0" xfId="0" applyNumberFormat="1" applyFont="1" applyFill="1" applyBorder="1" applyAlignment="1"/>
    <xf numFmtId="2" fontId="2" fillId="2" borderId="0" xfId="0" applyNumberFormat="1" applyFont="1" applyFill="1" applyBorder="1" applyAlignment="1"/>
    <xf numFmtId="38" fontId="8" fillId="2" borderId="0" xfId="0" applyNumberFormat="1" applyFont="1" applyFill="1" applyBorder="1" applyAlignment="1"/>
    <xf numFmtId="2" fontId="19" fillId="2" borderId="0" xfId="0" applyNumberFormat="1" applyFont="1" applyFill="1" applyBorder="1" applyAlignment="1"/>
    <xf numFmtId="38" fontId="2" fillId="2" borderId="0" xfId="0" applyNumberFormat="1" applyFont="1" applyFill="1" applyBorder="1" applyAlignment="1"/>
    <xf numFmtId="38" fontId="2" fillId="0" borderId="0" xfId="0" applyNumberFormat="1" applyFont="1" applyBorder="1" applyAlignment="1"/>
    <xf numFmtId="38" fontId="0" fillId="2" borderId="0" xfId="0" applyNumberFormat="1" applyFont="1" applyFill="1" applyBorder="1" applyAlignment="1"/>
    <xf numFmtId="2" fontId="18" fillId="2" borderId="0" xfId="0" applyNumberFormat="1" applyFont="1" applyFill="1" applyBorder="1" applyAlignment="1"/>
    <xf numFmtId="0" fontId="8" fillId="2" borderId="0" xfId="0" applyFont="1" applyFill="1" applyBorder="1" applyAlignment="1"/>
    <xf numFmtId="38" fontId="2" fillId="0" borderId="0" xfId="0" applyNumberFormat="1" applyFont="1" applyFill="1" applyBorder="1" applyAlignment="1"/>
    <xf numFmtId="0" fontId="13" fillId="2" borderId="0" xfId="0" applyFont="1" applyFill="1" applyBorder="1" applyAlignment="1"/>
    <xf numFmtId="166" fontId="8" fillId="2" borderId="0" xfId="0" applyNumberFormat="1" applyFont="1" applyFill="1" applyBorder="1" applyAlignment="1"/>
    <xf numFmtId="0" fontId="4" fillId="0" borderId="0" xfId="0" applyFont="1" applyBorder="1" applyAlignment="1"/>
    <xf numFmtId="170" fontId="2" fillId="0" borderId="0" xfId="0" applyNumberFormat="1" applyFont="1" applyBorder="1" applyAlignment="1"/>
    <xf numFmtId="166" fontId="2" fillId="0" borderId="0" xfId="0" applyNumberFormat="1" applyFont="1" applyBorder="1" applyAlignment="1"/>
    <xf numFmtId="172" fontId="2" fillId="0" borderId="0" xfId="0" applyNumberFormat="1" applyFont="1" applyBorder="1" applyAlignment="1"/>
    <xf numFmtId="0" fontId="4" fillId="3" borderId="0" xfId="0" applyFont="1" applyFill="1" applyBorder="1" applyAlignment="1"/>
    <xf numFmtId="2" fontId="4" fillId="3" borderId="0" xfId="0" applyNumberFormat="1" applyFont="1" applyFill="1" applyBorder="1" applyAlignment="1"/>
    <xf numFmtId="166" fontId="2" fillId="0" borderId="0" xfId="0" applyNumberFormat="1" applyFont="1" applyFill="1" applyBorder="1" applyAlignment="1"/>
    <xf numFmtId="0" fontId="4" fillId="0" borderId="0" xfId="0" applyFont="1" applyFill="1" applyBorder="1" applyAlignment="1"/>
    <xf numFmtId="0" fontId="9" fillId="4" borderId="0" xfId="0" applyFont="1" applyFill="1" applyBorder="1" applyAlignment="1"/>
    <xf numFmtId="0" fontId="4" fillId="4" borderId="0" xfId="0" applyFont="1" applyFill="1" applyBorder="1" applyAlignment="1">
      <alignment wrapText="1"/>
    </xf>
    <xf numFmtId="166" fontId="2" fillId="4" borderId="0" xfId="0" applyNumberFormat="1" applyFont="1" applyFill="1" applyBorder="1" applyAlignment="1">
      <alignment wrapText="1"/>
    </xf>
    <xf numFmtId="0" fontId="2" fillId="4" borderId="0" xfId="0" applyFont="1" applyFill="1" applyBorder="1" applyAlignment="1"/>
    <xf numFmtId="38" fontId="0" fillId="4" borderId="0" xfId="0" applyNumberFormat="1" applyFont="1" applyFill="1" applyBorder="1" applyAlignment="1"/>
    <xf numFmtId="5" fontId="2" fillId="4" borderId="0" xfId="0" applyNumberFormat="1" applyFont="1" applyFill="1" applyBorder="1" applyAlignment="1"/>
    <xf numFmtId="165" fontId="2" fillId="4" borderId="0" xfId="0" applyNumberFormat="1" applyFont="1" applyFill="1" applyBorder="1" applyAlignment="1"/>
    <xf numFmtId="38" fontId="4" fillId="4" borderId="0" xfId="0" applyNumberFormat="1" applyFont="1" applyFill="1" applyBorder="1" applyAlignment="1"/>
    <xf numFmtId="5" fontId="4" fillId="4" borderId="0" xfId="0" applyNumberFormat="1" applyFont="1" applyFill="1" applyBorder="1" applyAlignment="1"/>
    <xf numFmtId="0" fontId="13" fillId="4" borderId="0" xfId="0" applyFont="1" applyFill="1" applyBorder="1" applyAlignment="1"/>
    <xf numFmtId="38" fontId="8" fillId="0" borderId="0" xfId="0" applyNumberFormat="1" applyFont="1" applyBorder="1" applyAlignment="1"/>
    <xf numFmtId="166" fontId="2" fillId="4" borderId="0" xfId="0" applyNumberFormat="1" applyFont="1" applyFill="1" applyBorder="1" applyAlignment="1"/>
    <xf numFmtId="0" fontId="2" fillId="5" borderId="0" xfId="0" applyFont="1" applyFill="1" applyBorder="1" applyAlignment="1"/>
    <xf numFmtId="165" fontId="2" fillId="0" borderId="0" xfId="0" applyNumberFormat="1" applyFont="1" applyFill="1" applyBorder="1" applyAlignment="1"/>
    <xf numFmtId="2" fontId="2" fillId="5" borderId="0" xfId="0" applyNumberFormat="1" applyFont="1" applyFill="1" applyBorder="1" applyAlignment="1"/>
    <xf numFmtId="0" fontId="2" fillId="6" borderId="0" xfId="0" applyFont="1" applyFill="1" applyBorder="1" applyAlignment="1">
      <alignment vertical="center" wrapText="1"/>
    </xf>
    <xf numFmtId="38" fontId="0" fillId="7" borderId="0" xfId="0" applyNumberFormat="1" applyFont="1" applyFill="1" applyBorder="1" applyAlignment="1"/>
    <xf numFmtId="38" fontId="4" fillId="7" borderId="0" xfId="0" applyNumberFormat="1" applyFont="1" applyFill="1" applyBorder="1" applyAlignment="1"/>
    <xf numFmtId="0" fontId="15" fillId="2" borderId="0" xfId="4" applyFont="1" applyFill="1" applyBorder="1" applyAlignment="1">
      <alignment vertical="center"/>
    </xf>
    <xf numFmtId="0" fontId="15" fillId="2" borderId="0" xfId="4" applyFont="1" applyFill="1" applyBorder="1" applyAlignment="1"/>
    <xf numFmtId="0" fontId="15" fillId="2" borderId="0" xfId="4" applyFont="1" applyFill="1" applyBorder="1" applyAlignment="1">
      <alignment vertical="center" wrapText="1"/>
    </xf>
    <xf numFmtId="169" fontId="0" fillId="2" borderId="0" xfId="0" applyNumberFormat="1" applyFill="1" applyBorder="1" applyAlignment="1"/>
    <xf numFmtId="165" fontId="8" fillId="9" borderId="2" xfId="0" applyNumberFormat="1" applyFont="1" applyFill="1" applyBorder="1" applyAlignment="1"/>
    <xf numFmtId="0" fontId="30" fillId="9" borderId="3" xfId="0" applyFont="1" applyFill="1" applyBorder="1" applyAlignment="1"/>
    <xf numFmtId="180" fontId="8" fillId="9" borderId="5" xfId="5" applyNumberFormat="1" applyFont="1" applyFill="1" applyBorder="1" applyAlignment="1"/>
    <xf numFmtId="0" fontId="0" fillId="9" borderId="6" xfId="0" applyFont="1" applyFill="1" applyBorder="1" applyAlignment="1"/>
    <xf numFmtId="2" fontId="0" fillId="0" borderId="0" xfId="0" applyNumberFormat="1" applyFont="1" applyFill="1" applyBorder="1" applyAlignment="1"/>
    <xf numFmtId="0" fontId="30" fillId="0" borderId="0" xfId="0" applyFont="1" applyFill="1" applyBorder="1" applyAlignment="1"/>
    <xf numFmtId="165" fontId="8" fillId="2" borderId="2" xfId="0" applyNumberFormat="1" applyFont="1" applyFill="1" applyBorder="1" applyAlignment="1"/>
    <xf numFmtId="0" fontId="30" fillId="2" borderId="3" xfId="0" applyFont="1" applyFill="1" applyBorder="1" applyAlignment="1"/>
    <xf numFmtId="169" fontId="0" fillId="2" borderId="5" xfId="0" applyNumberFormat="1" applyFont="1" applyFill="1" applyBorder="1" applyAlignment="1"/>
    <xf numFmtId="0" fontId="0" fillId="2" borderId="6" xfId="0" applyFont="1" applyFill="1" applyBorder="1" applyAlignment="1"/>
    <xf numFmtId="0" fontId="18" fillId="2" borderId="0" xfId="0" applyFont="1" applyFill="1" applyBorder="1" applyAlignment="1"/>
    <xf numFmtId="0" fontId="18" fillId="0" borderId="0" xfId="0" applyFont="1" applyFill="1" applyBorder="1" applyAlignment="1"/>
    <xf numFmtId="0" fontId="25" fillId="2" borderId="0" xfId="0" applyFont="1" applyFill="1" applyBorder="1" applyAlignment="1"/>
    <xf numFmtId="10" fontId="8" fillId="0" borderId="0" xfId="0" applyNumberFormat="1" applyFont="1" applyFill="1" applyBorder="1" applyAlignment="1"/>
    <xf numFmtId="10" fontId="0" fillId="0" borderId="0" xfId="0" applyNumberFormat="1" applyFont="1" applyFill="1" applyBorder="1" applyAlignment="1"/>
    <xf numFmtId="41" fontId="0" fillId="2" borderId="0" xfId="5" applyFont="1" applyFill="1" applyBorder="1" applyAlignment="1"/>
    <xf numFmtId="165" fontId="0" fillId="2" borderId="0" xfId="0" applyNumberFormat="1" applyFont="1" applyFill="1" applyBorder="1" applyAlignment="1"/>
    <xf numFmtId="165" fontId="0" fillId="2" borderId="0" xfId="6" applyFont="1" applyFill="1" applyBorder="1" applyAlignment="1"/>
    <xf numFmtId="173" fontId="18" fillId="0" borderId="0" xfId="0" applyNumberFormat="1" applyFont="1" applyFill="1" applyBorder="1" applyAlignment="1"/>
    <xf numFmtId="41" fontId="0" fillId="0" borderId="0" xfId="0" applyNumberFormat="1" applyFont="1" applyFill="1" applyBorder="1" applyAlignment="1"/>
    <xf numFmtId="43" fontId="0" fillId="0" borderId="0" xfId="0" applyNumberFormat="1" applyFont="1" applyFill="1" applyBorder="1" applyAlignment="1"/>
    <xf numFmtId="9" fontId="0" fillId="0" borderId="0" xfId="0" applyNumberFormat="1" applyFont="1" applyFill="1" applyBorder="1" applyAlignment="1">
      <alignment vertical="center"/>
    </xf>
    <xf numFmtId="168" fontId="0" fillId="0" borderId="0" xfId="0" applyNumberFormat="1" applyFont="1" applyFill="1" applyBorder="1" applyAlignment="1">
      <alignment vertical="center"/>
    </xf>
    <xf numFmtId="3" fontId="0" fillId="2" borderId="0" xfId="0" applyNumberFormat="1" applyFont="1" applyFill="1" applyBorder="1" applyAlignment="1"/>
    <xf numFmtId="178" fontId="0" fillId="2" borderId="0" xfId="5" applyNumberFormat="1" applyFont="1" applyFill="1" applyBorder="1" applyAlignment="1"/>
    <xf numFmtId="165" fontId="8" fillId="2" borderId="0" xfId="0" applyNumberFormat="1" applyFont="1" applyFill="1" applyBorder="1" applyAlignment="1"/>
    <xf numFmtId="3" fontId="0" fillId="0" borderId="0" xfId="0" applyNumberFormat="1" applyFont="1" applyFill="1" applyBorder="1" applyAlignment="1">
      <alignment vertical="center" wrapText="1"/>
    </xf>
    <xf numFmtId="10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/>
    <xf numFmtId="1" fontId="0" fillId="0" borderId="0" xfId="0" applyNumberFormat="1" applyFont="1" applyFill="1" applyBorder="1" applyAlignment="1"/>
    <xf numFmtId="3" fontId="19" fillId="0" borderId="0" xfId="0" applyNumberFormat="1" applyFont="1" applyFill="1" applyBorder="1" applyAlignment="1"/>
    <xf numFmtId="166" fontId="19" fillId="0" borderId="0" xfId="0" applyNumberFormat="1" applyFont="1" applyFill="1" applyBorder="1" applyAlignment="1"/>
    <xf numFmtId="174" fontId="0" fillId="0" borderId="0" xfId="0" applyNumberFormat="1" applyFont="1" applyFill="1" applyBorder="1" applyAlignment="1"/>
    <xf numFmtId="43" fontId="19" fillId="0" borderId="0" xfId="0" applyNumberFormat="1" applyFont="1" applyFill="1" applyBorder="1" applyAlignment="1"/>
    <xf numFmtId="10" fontId="19" fillId="0" borderId="0" xfId="0" applyNumberFormat="1" applyFont="1" applyFill="1" applyBorder="1" applyAlignment="1"/>
    <xf numFmtId="165" fontId="8" fillId="3" borderId="2" xfId="0" applyNumberFormat="1" applyFont="1" applyFill="1" applyBorder="1" applyAlignment="1"/>
    <xf numFmtId="0" fontId="30" fillId="3" borderId="3" xfId="0" applyFont="1" applyFill="1" applyBorder="1" applyAlignment="1"/>
    <xf numFmtId="3" fontId="8" fillId="0" borderId="0" xfId="0" applyNumberFormat="1" applyFont="1" applyFill="1" applyBorder="1" applyAlignment="1"/>
    <xf numFmtId="2" fontId="0" fillId="3" borderId="5" xfId="0" applyNumberFormat="1" applyFont="1" applyFill="1" applyBorder="1" applyAlignment="1"/>
    <xf numFmtId="0" fontId="0" fillId="3" borderId="6" xfId="0" applyFont="1" applyFill="1" applyBorder="1" applyAlignment="1"/>
    <xf numFmtId="0" fontId="18" fillId="3" borderId="0" xfId="0" applyFont="1" applyFill="1" applyBorder="1" applyAlignment="1"/>
    <xf numFmtId="3" fontId="18" fillId="0" borderId="0" xfId="0" applyNumberFormat="1" applyFont="1" applyFill="1" applyBorder="1" applyAlignment="1"/>
    <xf numFmtId="0" fontId="25" fillId="3" borderId="0" xfId="0" applyFont="1" applyFill="1" applyBorder="1" applyAlignment="1"/>
    <xf numFmtId="0" fontId="20" fillId="0" borderId="0" xfId="0" applyFont="1" applyFill="1" applyBorder="1" applyAlignment="1"/>
    <xf numFmtId="165" fontId="0" fillId="3" borderId="0" xfId="6" applyFont="1" applyFill="1" applyBorder="1" applyAlignment="1"/>
    <xf numFmtId="3" fontId="0" fillId="3" borderId="0" xfId="0" applyNumberFormat="1" applyFont="1" applyFill="1" applyBorder="1" applyAlignment="1"/>
    <xf numFmtId="165" fontId="0" fillId="3" borderId="0" xfId="0" applyNumberFormat="1" applyFont="1" applyFill="1" applyBorder="1" applyAlignment="1"/>
    <xf numFmtId="178" fontId="0" fillId="3" borderId="0" xfId="5" applyNumberFormat="1" applyFont="1" applyFill="1" applyBorder="1" applyAlignment="1"/>
    <xf numFmtId="41" fontId="0" fillId="3" borderId="0" xfId="5" applyFont="1" applyFill="1" applyBorder="1" applyAlignment="1"/>
    <xf numFmtId="165" fontId="8" fillId="3" borderId="0" xfId="0" applyNumberFormat="1" applyFont="1" applyFill="1" applyBorder="1" applyAlignment="1"/>
    <xf numFmtId="0" fontId="18" fillId="0" borderId="0" xfId="0" applyFont="1" applyFill="1" applyBorder="1" applyAlignment="1">
      <alignment vertical="center"/>
    </xf>
    <xf numFmtId="165" fontId="8" fillId="4" borderId="2" xfId="0" applyNumberFormat="1" applyFont="1" applyFill="1" applyBorder="1" applyAlignment="1"/>
    <xf numFmtId="0" fontId="30" fillId="4" borderId="3" xfId="0" applyFont="1" applyFill="1" applyBorder="1" applyAlignment="1"/>
    <xf numFmtId="169" fontId="0" fillId="4" borderId="5" xfId="0" applyNumberFormat="1" applyFont="1" applyFill="1" applyBorder="1" applyAlignment="1"/>
    <xf numFmtId="0" fontId="0" fillId="4" borderId="6" xfId="0" applyFont="1" applyFill="1" applyBorder="1" applyAlignment="1"/>
    <xf numFmtId="0" fontId="18" fillId="4" borderId="0" xfId="0" applyFont="1" applyFill="1" applyBorder="1" applyAlignment="1"/>
    <xf numFmtId="173" fontId="21" fillId="0" borderId="0" xfId="0" applyNumberFormat="1" applyFont="1" applyFill="1" applyBorder="1" applyAlignment="1"/>
    <xf numFmtId="0" fontId="25" fillId="4" borderId="0" xfId="0" applyFont="1" applyFill="1" applyBorder="1" applyAlignment="1"/>
    <xf numFmtId="0" fontId="8" fillId="4" borderId="0" xfId="0" applyFont="1" applyFill="1" applyBorder="1" applyAlignment="1"/>
    <xf numFmtId="173" fontId="0" fillId="0" borderId="0" xfId="0" applyNumberFormat="1" applyFont="1" applyFill="1" applyBorder="1" applyAlignment="1"/>
    <xf numFmtId="165" fontId="0" fillId="4" borderId="0" xfId="6" applyFont="1" applyFill="1" applyBorder="1" applyAlignment="1"/>
    <xf numFmtId="41" fontId="0" fillId="4" borderId="0" xfId="5" applyFont="1" applyFill="1" applyBorder="1" applyAlignment="1"/>
    <xf numFmtId="3" fontId="0" fillId="4" borderId="0" xfId="0" applyNumberFormat="1" applyFont="1" applyFill="1" applyBorder="1" applyAlignment="1"/>
    <xf numFmtId="165" fontId="0" fillId="4" borderId="0" xfId="0" applyNumberFormat="1" applyFont="1" applyFill="1" applyBorder="1" applyAlignment="1"/>
    <xf numFmtId="165" fontId="8" fillId="4" borderId="0" xfId="0" applyNumberFormat="1" applyFont="1" applyFill="1" applyBorder="1" applyAlignment="1"/>
    <xf numFmtId="165" fontId="0" fillId="0" borderId="0" xfId="0" applyNumberFormat="1" applyFont="1" applyFill="1" applyBorder="1" applyAlignment="1"/>
    <xf numFmtId="165" fontId="8" fillId="5" borderId="2" xfId="0" applyNumberFormat="1" applyFont="1" applyFill="1" applyBorder="1" applyAlignment="1"/>
    <xf numFmtId="0" fontId="30" fillId="5" borderId="3" xfId="0" applyFont="1" applyFill="1" applyBorder="1" applyAlignment="1"/>
    <xf numFmtId="169" fontId="0" fillId="5" borderId="5" xfId="0" applyNumberFormat="1" applyFont="1" applyFill="1" applyBorder="1" applyAlignment="1"/>
    <xf numFmtId="0" fontId="0" fillId="5" borderId="6" xfId="0" applyFont="1" applyFill="1" applyBorder="1" applyAlignment="1"/>
    <xf numFmtId="0" fontId="25" fillId="5" borderId="0" xfId="0" applyFont="1" applyFill="1" applyBorder="1" applyAlignment="1"/>
    <xf numFmtId="0" fontId="8" fillId="5" borderId="0" xfId="0" applyFont="1" applyFill="1" applyBorder="1" applyAlignment="1"/>
    <xf numFmtId="41" fontId="0" fillId="5" borderId="0" xfId="5" applyFont="1" applyFill="1" applyBorder="1" applyAlignment="1"/>
    <xf numFmtId="165" fontId="0" fillId="5" borderId="0" xfId="0" applyNumberFormat="1" applyFont="1" applyFill="1" applyBorder="1" applyAlignment="1"/>
    <xf numFmtId="165" fontId="0" fillId="5" borderId="0" xfId="6" applyFont="1" applyFill="1" applyBorder="1" applyAlignment="1"/>
    <xf numFmtId="3" fontId="0" fillId="5" borderId="0" xfId="0" applyNumberFormat="1" applyFont="1" applyFill="1" applyBorder="1" applyAlignment="1"/>
    <xf numFmtId="165" fontId="8" fillId="5" borderId="0" xfId="0" applyNumberFormat="1" applyFont="1" applyFill="1" applyBorder="1" applyAlignment="1"/>
    <xf numFmtId="165" fontId="8" fillId="6" borderId="2" xfId="0" applyNumberFormat="1" applyFont="1" applyFill="1" applyBorder="1" applyAlignment="1"/>
    <xf numFmtId="0" fontId="30" fillId="6" borderId="3" xfId="0" applyFont="1" applyFill="1" applyBorder="1" applyAlignment="1"/>
    <xf numFmtId="169" fontId="0" fillId="6" borderId="5" xfId="0" applyNumberFormat="1" applyFont="1" applyFill="1" applyBorder="1" applyAlignment="1"/>
    <xf numFmtId="0" fontId="0" fillId="6" borderId="6" xfId="0" applyFont="1" applyFill="1" applyBorder="1" applyAlignment="1"/>
    <xf numFmtId="0" fontId="18" fillId="6" borderId="0" xfId="0" applyFont="1" applyFill="1" applyBorder="1" applyAlignment="1"/>
    <xf numFmtId="0" fontId="25" fillId="6" borderId="0" xfId="0" applyFont="1" applyFill="1" applyBorder="1" applyAlignment="1"/>
    <xf numFmtId="41" fontId="0" fillId="6" borderId="0" xfId="5" applyFont="1" applyFill="1" applyBorder="1" applyAlignment="1"/>
    <xf numFmtId="165" fontId="0" fillId="6" borderId="0" xfId="0" applyNumberFormat="1" applyFont="1" applyFill="1" applyBorder="1" applyAlignment="1"/>
    <xf numFmtId="165" fontId="0" fillId="6" borderId="0" xfId="6" applyFont="1" applyFill="1" applyBorder="1" applyAlignment="1"/>
    <xf numFmtId="3" fontId="0" fillId="6" borderId="0" xfId="0" applyNumberFormat="1" applyFont="1" applyFill="1" applyBorder="1" applyAlignment="1"/>
    <xf numFmtId="165" fontId="8" fillId="6" borderId="0" xfId="0" applyNumberFormat="1" applyFont="1" applyFill="1" applyBorder="1" applyAlignment="1"/>
    <xf numFmtId="165" fontId="8" fillId="8" borderId="2" xfId="0" applyNumberFormat="1" applyFont="1" applyFill="1" applyBorder="1" applyAlignment="1"/>
    <xf numFmtId="0" fontId="30" fillId="8" borderId="3" xfId="0" applyFont="1" applyFill="1" applyBorder="1" applyAlignment="1"/>
    <xf numFmtId="169" fontId="0" fillId="8" borderId="5" xfId="0" applyNumberFormat="1" applyFont="1" applyFill="1" applyBorder="1" applyAlignment="1"/>
    <xf numFmtId="0" fontId="0" fillId="8" borderId="6" xfId="0" applyFont="1" applyFill="1" applyBorder="1" applyAlignment="1"/>
    <xf numFmtId="0" fontId="18" fillId="8" borderId="0" xfId="0" applyFont="1" applyFill="1" applyBorder="1" applyAlignment="1"/>
    <xf numFmtId="0" fontId="25" fillId="8" borderId="0" xfId="0" applyFont="1" applyFill="1" applyBorder="1" applyAlignment="1"/>
    <xf numFmtId="0" fontId="6" fillId="0" borderId="0" xfId="0" applyFont="1" applyFill="1" applyBorder="1" applyAlignment="1"/>
    <xf numFmtId="41" fontId="0" fillId="8" borderId="0" xfId="5" applyFont="1" applyFill="1" applyBorder="1" applyAlignment="1"/>
    <xf numFmtId="165" fontId="0" fillId="8" borderId="0" xfId="0" applyNumberFormat="1" applyFont="1" applyFill="1" applyBorder="1" applyAlignment="1"/>
    <xf numFmtId="165" fontId="0" fillId="8" borderId="0" xfId="6" applyFont="1" applyFill="1" applyBorder="1" applyAlignment="1"/>
    <xf numFmtId="3" fontId="0" fillId="8" borderId="0" xfId="0" applyNumberFormat="1" applyFont="1" applyFill="1" applyBorder="1" applyAlignment="1"/>
    <xf numFmtId="165" fontId="8" fillId="8" borderId="0" xfId="0" applyNumberFormat="1" applyFont="1" applyFill="1" applyBorder="1" applyAlignment="1"/>
    <xf numFmtId="166" fontId="0" fillId="0" borderId="0" xfId="0" applyNumberFormat="1" applyFont="1" applyFill="1" applyBorder="1" applyAlignment="1"/>
    <xf numFmtId="0" fontId="3" fillId="2" borderId="0" xfId="0" applyFont="1" applyFill="1" applyAlignment="1"/>
    <xf numFmtId="11" fontId="0" fillId="2" borderId="0" xfId="0" applyNumberFormat="1" applyFont="1" applyFill="1" applyBorder="1" applyAlignment="1"/>
    <xf numFmtId="11" fontId="0" fillId="0" borderId="0" xfId="0" applyNumberFormat="1" applyFont="1" applyFill="1" applyBorder="1" applyAlignment="1"/>
    <xf numFmtId="11" fontId="18" fillId="3" borderId="0" xfId="0" applyNumberFormat="1" applyFont="1" applyFill="1" applyBorder="1" applyAlignment="1"/>
    <xf numFmtId="0" fontId="0" fillId="3" borderId="0" xfId="0" applyFill="1" applyAlignment="1"/>
    <xf numFmtId="11" fontId="0" fillId="0" borderId="0" xfId="5" applyNumberFormat="1" applyFont="1" applyAlignment="1"/>
    <xf numFmtId="11" fontId="18" fillId="0" borderId="0" xfId="0" applyNumberFormat="1" applyFont="1" applyFill="1" applyBorder="1" applyAlignment="1"/>
    <xf numFmtId="3" fontId="2" fillId="4" borderId="0" xfId="0" applyNumberFormat="1" applyFont="1" applyFill="1" applyAlignment="1"/>
    <xf numFmtId="0" fontId="4" fillId="4" borderId="0" xfId="0" applyFont="1" applyFill="1" applyAlignment="1"/>
    <xf numFmtId="41" fontId="0" fillId="4" borderId="0" xfId="5" applyFont="1" applyFill="1" applyAlignment="1"/>
    <xf numFmtId="179" fontId="0" fillId="4" borderId="0" xfId="5" applyNumberFormat="1" applyFont="1" applyFill="1" applyAlignment="1"/>
    <xf numFmtId="179" fontId="0" fillId="0" borderId="0" xfId="5" applyNumberFormat="1" applyFont="1" applyAlignment="1"/>
    <xf numFmtId="49" fontId="3" fillId="8" borderId="0" xfId="0" applyNumberFormat="1" applyFont="1" applyFill="1" applyBorder="1" applyAlignment="1"/>
    <xf numFmtId="49" fontId="0" fillId="8" borderId="0" xfId="0" applyNumberFormat="1" applyFont="1" applyFill="1" applyBorder="1" applyAlignment="1"/>
    <xf numFmtId="49" fontId="3" fillId="7" borderId="0" xfId="0" applyNumberFormat="1" applyFont="1" applyFill="1" applyBorder="1" applyAlignment="1"/>
    <xf numFmtId="0" fontId="0" fillId="7" borderId="0" xfId="0" applyFill="1" applyAlignment="1"/>
    <xf numFmtId="49" fontId="0" fillId="7" borderId="0" xfId="0" applyNumberFormat="1" applyFont="1" applyFill="1" applyBorder="1" applyAlignment="1"/>
    <xf numFmtId="0" fontId="0" fillId="7" borderId="0" xfId="0" applyFont="1" applyFill="1" applyAlignment="1"/>
    <xf numFmtId="49" fontId="8" fillId="7" borderId="0" xfId="0" applyNumberFormat="1" applyFont="1" applyFill="1" applyBorder="1" applyAlignment="1"/>
    <xf numFmtId="0" fontId="8" fillId="7" borderId="0" xfId="0" applyFont="1" applyFill="1" applyAlignment="1"/>
    <xf numFmtId="49" fontId="0" fillId="2" borderId="0" xfId="0" applyNumberFormat="1" applyFont="1" applyFill="1" applyBorder="1" applyAlignment="1"/>
    <xf numFmtId="0" fontId="0" fillId="2" borderId="0" xfId="0" applyFont="1" applyFill="1" applyAlignment="1"/>
    <xf numFmtId="49" fontId="8" fillId="2" borderId="0" xfId="0" applyNumberFormat="1" applyFont="1" applyFill="1" applyBorder="1" applyAlignment="1"/>
    <xf numFmtId="49" fontId="0" fillId="3" borderId="0" xfId="0" applyNumberFormat="1" applyFont="1" applyFill="1" applyBorder="1" applyAlignment="1"/>
    <xf numFmtId="0" fontId="10" fillId="0" borderId="0" xfId="0" applyFont="1" applyBorder="1" applyAlignment="1" applyProtection="1"/>
    <xf numFmtId="175" fontId="10" fillId="0" borderId="0" xfId="0" applyNumberFormat="1" applyFont="1" applyBorder="1" applyAlignment="1" applyProtection="1"/>
    <xf numFmtId="0" fontId="2" fillId="0" borderId="0" xfId="0" applyFont="1" applyBorder="1" applyAlignment="1" applyProtection="1"/>
    <xf numFmtId="0" fontId="2" fillId="0" borderId="0" xfId="0" applyFont="1" applyFill="1" applyBorder="1" applyAlignment="1" applyProtection="1"/>
    <xf numFmtId="38" fontId="0" fillId="4" borderId="0" xfId="0" applyNumberFormat="1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/>
    <xf numFmtId="0" fontId="0" fillId="0" borderId="0" xfId="0" applyFont="1" applyBorder="1" applyAlignment="1"/>
    <xf numFmtId="180" fontId="2" fillId="7" borderId="0" xfId="5" applyNumberFormat="1" applyFont="1" applyFill="1" applyBorder="1" applyAlignment="1">
      <alignment vertical="center" wrapText="1"/>
    </xf>
    <xf numFmtId="180" fontId="8" fillId="7" borderId="0" xfId="5" applyNumberFormat="1" applyFont="1" applyFill="1" applyBorder="1" applyAlignment="1">
      <alignment vertical="center"/>
    </xf>
    <xf numFmtId="41" fontId="0" fillId="3" borderId="0" xfId="5" applyFont="1" applyFill="1" applyAlignment="1"/>
    <xf numFmtId="0" fontId="8" fillId="3" borderId="0" xfId="0" applyFont="1" applyFill="1" applyAlignment="1"/>
    <xf numFmtId="0" fontId="0" fillId="3" borderId="0" xfId="0" applyFont="1" applyFill="1" applyAlignment="1"/>
    <xf numFmtId="176" fontId="0" fillId="3" borderId="0" xfId="0" applyNumberFormat="1" applyFont="1" applyFill="1" applyBorder="1" applyAlignment="1"/>
    <xf numFmtId="41" fontId="0" fillId="0" borderId="0" xfId="5" applyFont="1"/>
    <xf numFmtId="179" fontId="0" fillId="0" borderId="0" xfId="5" applyNumberFormat="1" applyFont="1"/>
    <xf numFmtId="38" fontId="4" fillId="0" borderId="0" xfId="0" applyNumberFormat="1" applyFont="1" applyFill="1" applyBorder="1" applyAlignment="1"/>
    <xf numFmtId="0" fontId="0" fillId="0" borderId="0" xfId="0" applyFill="1"/>
    <xf numFmtId="180" fontId="2" fillId="0" borderId="0" xfId="5" applyNumberFormat="1" applyFont="1" applyFill="1" applyBorder="1" applyAlignment="1">
      <alignment vertical="center" wrapText="1"/>
    </xf>
    <xf numFmtId="0" fontId="2" fillId="6" borderId="0" xfId="0" applyFont="1" applyFill="1" applyBorder="1" applyAlignment="1">
      <alignment horizontal="left" vertical="center" indent="1"/>
    </xf>
    <xf numFmtId="0" fontId="8" fillId="0" borderId="0" xfId="0" applyFont="1" applyBorder="1" applyAlignment="1"/>
    <xf numFmtId="5" fontId="8" fillId="0" borderId="0" xfId="0" applyNumberFormat="1" applyFont="1" applyBorder="1" applyAlignment="1"/>
    <xf numFmtId="0" fontId="8" fillId="7" borderId="0" xfId="0" applyFont="1" applyFill="1" applyBorder="1" applyAlignment="1">
      <alignment vertical="center" wrapText="1"/>
    </xf>
    <xf numFmtId="0" fontId="8" fillId="8" borderId="0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vertical="center" wrapText="1"/>
    </xf>
    <xf numFmtId="0" fontId="8" fillId="7" borderId="0" xfId="0" applyFont="1" applyFill="1" applyAlignment="1">
      <alignment vertical="center"/>
    </xf>
    <xf numFmtId="5" fontId="8" fillId="7" borderId="0" xfId="0" applyNumberFormat="1" applyFont="1" applyFill="1" applyAlignment="1">
      <alignment vertical="center"/>
    </xf>
    <xf numFmtId="0" fontId="2" fillId="7" borderId="0" xfId="0" applyFont="1" applyFill="1" applyAlignment="1">
      <alignment vertical="center"/>
    </xf>
    <xf numFmtId="165" fontId="2" fillId="7" borderId="0" xfId="6" applyFont="1" applyFill="1" applyAlignment="1">
      <alignment vertical="center"/>
    </xf>
    <xf numFmtId="2" fontId="2" fillId="7" borderId="0" xfId="0" applyNumberFormat="1" applyFont="1" applyFill="1" applyBorder="1" applyAlignment="1">
      <alignment vertical="center"/>
    </xf>
    <xf numFmtId="0" fontId="3" fillId="3" borderId="0" xfId="0" applyFont="1" applyFill="1"/>
    <xf numFmtId="0" fontId="0" fillId="3" borderId="0" xfId="0" applyFill="1"/>
    <xf numFmtId="38" fontId="0" fillId="3" borderId="0" xfId="0" applyNumberFormat="1" applyFill="1"/>
    <xf numFmtId="0" fontId="3" fillId="4" borderId="0" xfId="0" applyFont="1" applyFill="1"/>
    <xf numFmtId="0" fontId="0" fillId="4" borderId="0" xfId="0" applyFill="1"/>
    <xf numFmtId="0" fontId="8" fillId="4" borderId="0" xfId="0" applyFont="1" applyFill="1"/>
    <xf numFmtId="0" fontId="8" fillId="2" borderId="0" xfId="0" applyNumberFormat="1" applyFont="1" applyFill="1" applyBorder="1" applyAlignment="1"/>
    <xf numFmtId="0" fontId="13" fillId="2" borderId="0" xfId="0" applyFont="1" applyFill="1" applyBorder="1" applyAlignment="1">
      <alignment vertical="center"/>
    </xf>
    <xf numFmtId="9" fontId="8" fillId="2" borderId="0" xfId="0" applyNumberFormat="1" applyFont="1" applyFill="1" applyBorder="1" applyAlignment="1">
      <alignment vertical="center"/>
    </xf>
    <xf numFmtId="0" fontId="3" fillId="5" borderId="0" xfId="0" applyFont="1" applyFill="1"/>
    <xf numFmtId="0" fontId="0" fillId="5" borderId="0" xfId="0" applyFill="1"/>
    <xf numFmtId="0" fontId="8" fillId="5" borderId="0" xfId="0" applyFont="1" applyFill="1"/>
    <xf numFmtId="9" fontId="0" fillId="5" borderId="0" xfId="1" applyFont="1" applyFill="1"/>
    <xf numFmtId="168" fontId="0" fillId="4" borderId="0" xfId="1" applyNumberFormat="1" applyFont="1" applyFill="1" applyBorder="1" applyAlignment="1"/>
    <xf numFmtId="178" fontId="0" fillId="4" borderId="0" xfId="5" applyNumberFormat="1" applyFont="1" applyFill="1" applyBorder="1" applyAlignment="1"/>
    <xf numFmtId="180" fontId="0" fillId="8" borderId="0" xfId="5" applyNumberFormat="1" applyFont="1" applyFill="1" applyBorder="1" applyAlignment="1"/>
    <xf numFmtId="0" fontId="8" fillId="3" borderId="0" xfId="0" applyFont="1" applyFill="1"/>
    <xf numFmtId="38" fontId="8" fillId="0" borderId="0" xfId="0" applyNumberFormat="1" applyFont="1" applyFill="1" applyBorder="1" applyAlignment="1">
      <alignment vertical="center"/>
    </xf>
    <xf numFmtId="165" fontId="0" fillId="3" borderId="0" xfId="6" applyFont="1" applyFill="1"/>
    <xf numFmtId="165" fontId="0" fillId="3" borderId="0" xfId="0" applyNumberFormat="1" applyFill="1"/>
    <xf numFmtId="0" fontId="0" fillId="3" borderId="0" xfId="0" applyFont="1" applyFill="1"/>
    <xf numFmtId="9" fontId="0" fillId="4" borderId="0" xfId="1" applyFont="1" applyFill="1"/>
    <xf numFmtId="38" fontId="0" fillId="0" borderId="0" xfId="0" applyNumberFormat="1" applyAlignment="1"/>
    <xf numFmtId="166" fontId="0" fillId="3" borderId="0" xfId="0" applyNumberFormat="1" applyFill="1"/>
    <xf numFmtId="179" fontId="0" fillId="3" borderId="0" xfId="5" applyNumberFormat="1" applyFont="1" applyFill="1"/>
    <xf numFmtId="165" fontId="0" fillId="3" borderId="0" xfId="6" applyFont="1" applyFill="1" applyAlignment="1"/>
    <xf numFmtId="166" fontId="0" fillId="3" borderId="0" xfId="0" applyNumberFormat="1" applyFill="1" applyAlignment="1"/>
    <xf numFmtId="9" fontId="0" fillId="3" borderId="0" xfId="1" applyFont="1" applyFill="1"/>
    <xf numFmtId="166" fontId="0" fillId="0" borderId="0" xfId="0" applyNumberFormat="1"/>
    <xf numFmtId="5" fontId="2" fillId="7" borderId="0" xfId="0" applyNumberFormat="1" applyFont="1" applyFill="1" applyAlignment="1">
      <alignment vertical="center"/>
    </xf>
    <xf numFmtId="9" fontId="2" fillId="4" borderId="0" xfId="1" applyFont="1" applyFill="1" applyBorder="1" applyAlignment="1"/>
    <xf numFmtId="9" fontId="4" fillId="4" borderId="0" xfId="1" applyFont="1" applyFill="1" applyBorder="1" applyAlignment="1"/>
    <xf numFmtId="166" fontId="0" fillId="4" borderId="0" xfId="6" applyNumberFormat="1" applyFont="1" applyFill="1"/>
    <xf numFmtId="9" fontId="2" fillId="4" borderId="0" xfId="1" applyFont="1" applyFill="1" applyBorder="1" applyAlignment="1">
      <alignment vertical="center" wrapText="1"/>
    </xf>
    <xf numFmtId="0" fontId="3" fillId="6" borderId="0" xfId="0" applyFont="1" applyFill="1"/>
    <xf numFmtId="0" fontId="0" fillId="6" borderId="0" xfId="0" applyFill="1"/>
    <xf numFmtId="0" fontId="8" fillId="6" borderId="0" xfId="0" applyFont="1" applyFill="1"/>
    <xf numFmtId="0" fontId="0" fillId="6" borderId="0" xfId="0" applyFill="1" applyAlignment="1">
      <alignment horizontal="right"/>
    </xf>
    <xf numFmtId="166" fontId="0" fillId="6" borderId="0" xfId="6" applyNumberFormat="1" applyFont="1" applyFill="1"/>
    <xf numFmtId="0" fontId="8" fillId="0" borderId="0" xfId="0" applyFont="1" applyFill="1"/>
    <xf numFmtId="0" fontId="0" fillId="6" borderId="0" xfId="0" applyFill="1" applyAlignment="1">
      <alignment horizontal="right" indent="1"/>
    </xf>
    <xf numFmtId="0" fontId="0" fillId="5" borderId="0" xfId="0" applyFont="1" applyFill="1"/>
    <xf numFmtId="11" fontId="0" fillId="4" borderId="0" xfId="5" applyNumberFormat="1" applyFont="1" applyFill="1" applyBorder="1" applyAlignment="1"/>
    <xf numFmtId="11" fontId="0" fillId="5" borderId="0" xfId="5" applyNumberFormat="1" applyFont="1" applyFill="1" applyBorder="1" applyAlignment="1"/>
    <xf numFmtId="0" fontId="4" fillId="5" borderId="0" xfId="0" applyFont="1" applyFill="1" applyBorder="1" applyAlignment="1">
      <alignment vertical="center"/>
    </xf>
    <xf numFmtId="11" fontId="2" fillId="5" borderId="0" xfId="0" applyNumberFormat="1" applyFont="1" applyFill="1" applyAlignment="1"/>
    <xf numFmtId="0" fontId="4" fillId="5" borderId="0" xfId="0" applyFont="1" applyFill="1" applyAlignment="1"/>
    <xf numFmtId="0" fontId="4" fillId="5" borderId="0" xfId="0" applyFont="1" applyFill="1" applyBorder="1" applyAlignment="1">
      <alignment vertical="center" wrapText="1"/>
    </xf>
    <xf numFmtId="11" fontId="0" fillId="5" borderId="0" xfId="5" applyNumberFormat="1" applyFont="1" applyFill="1" applyAlignment="1"/>
    <xf numFmtId="0" fontId="18" fillId="6" borderId="0" xfId="0" applyFont="1" applyFill="1" applyBorder="1" applyAlignment="1">
      <alignment wrapText="1"/>
    </xf>
    <xf numFmtId="169" fontId="28" fillId="6" borderId="0" xfId="0" applyNumberFormat="1" applyFont="1" applyFill="1" applyBorder="1" applyAlignment="1"/>
    <xf numFmtId="0" fontId="20" fillId="6" borderId="0" xfId="0" applyFont="1" applyFill="1" applyBorder="1" applyAlignment="1">
      <alignment wrapText="1"/>
    </xf>
    <xf numFmtId="0" fontId="0" fillId="6" borderId="0" xfId="0" applyFill="1" applyAlignment="1"/>
    <xf numFmtId="11" fontId="0" fillId="8" borderId="0" xfId="5" applyNumberFormat="1" applyFont="1" applyFill="1" applyBorder="1" applyAlignment="1"/>
    <xf numFmtId="11" fontId="18" fillId="8" borderId="0" xfId="5" applyNumberFormat="1" applyFont="1" applyFill="1" applyBorder="1" applyAlignment="1"/>
    <xf numFmtId="49" fontId="3" fillId="9" borderId="0" xfId="0" applyNumberFormat="1" applyFont="1" applyFill="1" applyBorder="1" applyAlignment="1"/>
    <xf numFmtId="0" fontId="0" fillId="9" borderId="0" xfId="0" applyFill="1" applyAlignment="1"/>
    <xf numFmtId="49" fontId="0" fillId="9" borderId="0" xfId="0" applyNumberFormat="1" applyFont="1" applyFill="1" applyBorder="1" applyAlignment="1"/>
    <xf numFmtId="0" fontId="0" fillId="9" borderId="0" xfId="0" applyFont="1" applyFill="1" applyAlignment="1"/>
    <xf numFmtId="49" fontId="8" fillId="9" borderId="0" xfId="0" applyNumberFormat="1" applyFont="1" applyFill="1" applyBorder="1" applyAlignment="1"/>
    <xf numFmtId="0" fontId="8" fillId="9" borderId="0" xfId="0" applyFont="1" applyFill="1" applyAlignment="1"/>
    <xf numFmtId="49" fontId="3" fillId="2" borderId="0" xfId="0" applyNumberFormat="1" applyFont="1" applyFill="1" applyBorder="1" applyAlignment="1"/>
    <xf numFmtId="49" fontId="8" fillId="3" borderId="0" xfId="0" applyNumberFormat="1" applyFont="1" applyFill="1" applyBorder="1" applyAlignment="1"/>
    <xf numFmtId="49" fontId="0" fillId="4" borderId="0" xfId="0" applyNumberFormat="1" applyFont="1" applyFill="1" applyBorder="1" applyAlignment="1"/>
    <xf numFmtId="0" fontId="19" fillId="4" borderId="0" xfId="0" applyFont="1" applyFill="1" applyBorder="1" applyAlignment="1"/>
    <xf numFmtId="11" fontId="19" fillId="4" borderId="0" xfId="5" applyNumberFormat="1" applyFont="1" applyFill="1" applyBorder="1" applyAlignment="1"/>
    <xf numFmtId="178" fontId="18" fillId="4" borderId="0" xfId="5" applyNumberFormat="1" applyFont="1" applyFill="1" applyBorder="1" applyAlignment="1"/>
    <xf numFmtId="0" fontId="8" fillId="4" borderId="0" xfId="0" applyFont="1" applyFill="1" applyAlignment="1"/>
    <xf numFmtId="0" fontId="0" fillId="4" borderId="0" xfId="0" applyFill="1" applyAlignment="1"/>
    <xf numFmtId="0" fontId="0" fillId="4" borderId="0" xfId="0" applyFont="1" applyFill="1" applyAlignment="1"/>
    <xf numFmtId="0" fontId="8" fillId="4" borderId="0" xfId="0" applyFont="1" applyFill="1" applyAlignment="1">
      <alignment horizontal="left" indent="1"/>
    </xf>
    <xf numFmtId="176" fontId="0" fillId="4" borderId="0" xfId="0" applyNumberFormat="1" applyFill="1" applyAlignment="1"/>
    <xf numFmtId="179" fontId="18" fillId="4" borderId="0" xfId="5" applyNumberFormat="1" applyFont="1" applyFill="1" applyBorder="1" applyAlignment="1"/>
    <xf numFmtId="179" fontId="0" fillId="4" borderId="0" xfId="5" applyNumberFormat="1" applyFont="1" applyFill="1" applyBorder="1" applyAlignment="1"/>
    <xf numFmtId="0" fontId="4" fillId="4" borderId="0" xfId="0" applyFont="1" applyFill="1" applyBorder="1" applyAlignment="1"/>
    <xf numFmtId="0" fontId="0" fillId="5" borderId="0" xfId="0" applyFill="1" applyAlignment="1"/>
    <xf numFmtId="49" fontId="0" fillId="5" borderId="0" xfId="0" applyNumberFormat="1" applyFont="1" applyFill="1" applyBorder="1" applyAlignment="1"/>
    <xf numFmtId="0" fontId="0" fillId="5" borderId="0" xfId="0" applyFont="1" applyFill="1" applyAlignment="1"/>
    <xf numFmtId="49" fontId="8" fillId="5" borderId="0" xfId="0" applyNumberFormat="1" applyFont="1" applyFill="1" applyBorder="1" applyAlignment="1"/>
    <xf numFmtId="0" fontId="8" fillId="5" borderId="0" xfId="0" applyFont="1" applyFill="1" applyAlignment="1"/>
    <xf numFmtId="165" fontId="0" fillId="5" borderId="0" xfId="6" applyFont="1" applyFill="1" applyAlignment="1"/>
    <xf numFmtId="165" fontId="0" fillId="5" borderId="0" xfId="0" applyNumberFormat="1" applyFill="1" applyAlignment="1"/>
    <xf numFmtId="11" fontId="0" fillId="5" borderId="0" xfId="0" applyNumberFormat="1" applyFill="1" applyAlignment="1"/>
    <xf numFmtId="41" fontId="0" fillId="5" borderId="0" xfId="5" applyFont="1" applyFill="1" applyAlignment="1"/>
    <xf numFmtId="0" fontId="29" fillId="0" borderId="0" xfId="0" applyFont="1" applyFill="1" applyAlignment="1"/>
    <xf numFmtId="176" fontId="0" fillId="8" borderId="0" xfId="0" applyNumberFormat="1" applyFont="1" applyFill="1" applyBorder="1" applyAlignment="1"/>
    <xf numFmtId="0" fontId="13" fillId="5" borderId="0" xfId="0" applyFont="1" applyFill="1" applyBorder="1" applyAlignment="1">
      <alignment vertical="center"/>
    </xf>
    <xf numFmtId="0" fontId="19" fillId="5" borderId="0" xfId="0" applyFont="1" applyFill="1" applyBorder="1" applyAlignment="1"/>
    <xf numFmtId="49" fontId="3" fillId="5" borderId="0" xfId="0" applyNumberFormat="1" applyFont="1" applyFill="1" applyBorder="1" applyAlignment="1"/>
    <xf numFmtId="49" fontId="3" fillId="4" borderId="0" xfId="0" applyNumberFormat="1" applyFont="1" applyFill="1" applyBorder="1" applyAlignment="1"/>
    <xf numFmtId="49" fontId="3" fillId="3" borderId="0" xfId="0" applyNumberFormat="1" applyFont="1" applyFill="1" applyBorder="1" applyAlignment="1"/>
    <xf numFmtId="179" fontId="0" fillId="5" borderId="0" xfId="5" applyNumberFormat="1" applyFont="1" applyFill="1" applyAlignment="1"/>
    <xf numFmtId="0" fontId="8" fillId="6" borderId="0" xfId="0" applyNumberFormat="1" applyFont="1" applyFill="1"/>
    <xf numFmtId="181" fontId="0" fillId="0" borderId="0" xfId="0" applyNumberFormat="1"/>
    <xf numFmtId="41" fontId="0" fillId="0" borderId="0" xfId="5" applyFont="1" applyFill="1" applyBorder="1" applyAlignment="1"/>
    <xf numFmtId="41" fontId="18" fillId="0" borderId="0" xfId="5" applyFont="1" applyFill="1" applyBorder="1" applyAlignment="1"/>
    <xf numFmtId="0" fontId="4" fillId="2" borderId="0" xfId="0" applyFont="1" applyFill="1" applyBorder="1" applyAlignment="1">
      <alignment vertical="center"/>
    </xf>
    <xf numFmtId="11" fontId="2" fillId="2" borderId="0" xfId="0" applyNumberFormat="1" applyFont="1" applyFill="1" applyBorder="1" applyAlignment="1"/>
    <xf numFmtId="179" fontId="2" fillId="2" borderId="0" xfId="5" applyNumberFormat="1" applyFont="1" applyFill="1" applyBorder="1" applyAlignment="1">
      <alignment vertical="center"/>
    </xf>
    <xf numFmtId="0" fontId="8" fillId="0" borderId="0" xfId="5" applyNumberFormat="1" applyFont="1" applyFill="1"/>
    <xf numFmtId="165" fontId="0" fillId="0" borderId="0" xfId="6" applyFont="1" applyFill="1"/>
    <xf numFmtId="9" fontId="0" fillId="0" borderId="0" xfId="1" applyFont="1"/>
    <xf numFmtId="178" fontId="8" fillId="2" borderId="0" xfId="5" applyNumberFormat="1" applyFont="1" applyFill="1" applyBorder="1" applyAlignment="1">
      <alignment vertical="center"/>
    </xf>
    <xf numFmtId="178" fontId="2" fillId="2" borderId="0" xfId="5" applyNumberFormat="1" applyFont="1" applyFill="1" applyBorder="1" applyAlignment="1">
      <alignment vertical="center"/>
    </xf>
    <xf numFmtId="9" fontId="0" fillId="2" borderId="0" xfId="0" applyNumberFormat="1" applyFont="1" applyFill="1" applyBorder="1" applyAlignment="1">
      <alignment vertical="center"/>
    </xf>
    <xf numFmtId="9" fontId="18" fillId="2" borderId="0" xfId="1" applyFont="1" applyFill="1" applyBorder="1" applyAlignment="1"/>
    <xf numFmtId="165" fontId="0" fillId="5" borderId="0" xfId="6" applyFont="1" applyFill="1"/>
    <xf numFmtId="178" fontId="0" fillId="5" borderId="0" xfId="5" applyNumberFormat="1" applyFont="1" applyFill="1"/>
    <xf numFmtId="176" fontId="0" fillId="5" borderId="0" xfId="5" applyNumberFormat="1" applyFont="1" applyFill="1"/>
    <xf numFmtId="9" fontId="2" fillId="0" borderId="0" xfId="1" applyFont="1" applyFill="1"/>
    <xf numFmtId="165" fontId="0" fillId="0" borderId="0" xfId="6" applyFont="1"/>
    <xf numFmtId="165" fontId="2" fillId="0" borderId="0" xfId="6" applyFont="1"/>
    <xf numFmtId="0" fontId="3" fillId="10" borderId="0" xfId="0" applyFont="1" applyFill="1" applyBorder="1" applyAlignment="1">
      <alignment vertical="center"/>
    </xf>
    <xf numFmtId="0" fontId="2" fillId="10" borderId="0" xfId="0" applyFont="1" applyFill="1" applyBorder="1" applyAlignment="1">
      <alignment vertical="center"/>
    </xf>
    <xf numFmtId="0" fontId="8" fillId="10" borderId="0" xfId="0" applyFont="1" applyFill="1" applyBorder="1" applyAlignment="1">
      <alignment vertical="center"/>
    </xf>
    <xf numFmtId="0" fontId="8" fillId="10" borderId="0" xfId="0" applyFont="1" applyFill="1" applyBorder="1" applyAlignment="1">
      <alignment vertical="center" wrapText="1"/>
    </xf>
    <xf numFmtId="168" fontId="2" fillId="10" borderId="0" xfId="0" applyNumberFormat="1" applyFont="1" applyFill="1" applyBorder="1" applyAlignment="1">
      <alignment vertical="center"/>
    </xf>
    <xf numFmtId="0" fontId="0" fillId="10" borderId="0" xfId="0" applyFont="1" applyFill="1" applyBorder="1" applyAlignment="1">
      <alignment vertical="center" wrapText="1"/>
    </xf>
    <xf numFmtId="165" fontId="2" fillId="10" borderId="0" xfId="0" applyNumberFormat="1" applyFont="1" applyFill="1" applyBorder="1" applyAlignment="1">
      <alignment vertical="center"/>
    </xf>
    <xf numFmtId="0" fontId="0" fillId="10" borderId="0" xfId="0" applyFont="1" applyFill="1" applyBorder="1" applyAlignment="1">
      <alignment vertical="center"/>
    </xf>
    <xf numFmtId="9" fontId="2" fillId="10" borderId="0" xfId="0" applyNumberFormat="1" applyFont="1" applyFill="1" applyBorder="1" applyAlignment="1">
      <alignment vertical="center"/>
    </xf>
    <xf numFmtId="2" fontId="2" fillId="4" borderId="0" xfId="1" applyNumberFormat="1" applyFont="1" applyFill="1" applyBorder="1" applyAlignment="1"/>
    <xf numFmtId="0" fontId="0" fillId="0" borderId="0" xfId="0" applyNumberFormat="1"/>
    <xf numFmtId="9" fontId="0" fillId="0" borderId="0" xfId="1" applyFont="1" applyFill="1"/>
    <xf numFmtId="41" fontId="2" fillId="2" borderId="0" xfId="5" applyFont="1" applyFill="1" applyBorder="1" applyAlignment="1"/>
    <xf numFmtId="0" fontId="0" fillId="4" borderId="0" xfId="0" applyFont="1" applyFill="1" applyBorder="1" applyAlignment="1">
      <alignment vertical="center"/>
    </xf>
    <xf numFmtId="0" fontId="0" fillId="8" borderId="0" xfId="0" applyFill="1"/>
    <xf numFmtId="0" fontId="8" fillId="8" borderId="0" xfId="0" applyFont="1" applyFill="1"/>
    <xf numFmtId="176" fontId="0" fillId="6" borderId="0" xfId="0" applyNumberFormat="1" applyFont="1" applyFill="1" applyBorder="1" applyAlignment="1"/>
    <xf numFmtId="9" fontId="2" fillId="4" borderId="0" xfId="1" applyNumberFormat="1" applyFont="1" applyFill="1" applyBorder="1" applyAlignment="1"/>
    <xf numFmtId="3" fontId="8" fillId="2" borderId="0" xfId="0" applyNumberFormat="1" applyFont="1" applyFill="1" applyBorder="1" applyAlignment="1"/>
    <xf numFmtId="9" fontId="2" fillId="5" borderId="0" xfId="1" applyFont="1" applyFill="1"/>
    <xf numFmtId="9" fontId="0" fillId="5" borderId="0" xfId="5" applyNumberFormat="1" applyFont="1" applyFill="1"/>
    <xf numFmtId="178" fontId="2" fillId="5" borderId="0" xfId="5" applyNumberFormat="1" applyFont="1" applyFill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right" indent="1"/>
    </xf>
    <xf numFmtId="41" fontId="2" fillId="5" borderId="0" xfId="5" applyNumberFormat="1" applyFont="1" applyFill="1"/>
    <xf numFmtId="0" fontId="8" fillId="0" borderId="0" xfId="1" applyNumberFormat="1" applyFont="1"/>
    <xf numFmtId="11" fontId="0" fillId="3" borderId="0" xfId="0" applyNumberFormat="1" applyFont="1" applyFill="1" applyAlignment="1"/>
    <xf numFmtId="11" fontId="0" fillId="3" borderId="0" xfId="0" applyNumberFormat="1" applyFill="1" applyAlignment="1"/>
    <xf numFmtId="1" fontId="0" fillId="3" borderId="0" xfId="5" applyNumberFormat="1" applyFont="1" applyFill="1" applyAlignment="1"/>
    <xf numFmtId="9" fontId="0" fillId="0" borderId="0" xfId="1" applyFont="1" applyFill="1" applyBorder="1" applyAlignment="1"/>
    <xf numFmtId="165" fontId="0" fillId="0" borderId="0" xfId="6" applyFont="1" applyFill="1" applyBorder="1" applyAlignment="1"/>
    <xf numFmtId="0" fontId="2" fillId="0" borderId="0" xfId="0" applyNumberFormat="1" applyFont="1" applyFill="1" applyBorder="1" applyAlignment="1">
      <alignment vertical="center"/>
    </xf>
    <xf numFmtId="0" fontId="3" fillId="8" borderId="0" xfId="0" applyFont="1" applyFill="1"/>
    <xf numFmtId="0" fontId="25" fillId="8" borderId="0" xfId="0" applyFont="1" applyFill="1"/>
    <xf numFmtId="2" fontId="8" fillId="8" borderId="0" xfId="0" applyNumberFormat="1" applyFont="1" applyFill="1"/>
    <xf numFmtId="2" fontId="8" fillId="8" borderId="0" xfId="5" applyNumberFormat="1" applyFont="1" applyFill="1"/>
    <xf numFmtId="176" fontId="8" fillId="8" borderId="0" xfId="5" applyNumberFormat="1" applyFont="1" applyFill="1"/>
    <xf numFmtId="169" fontId="8" fillId="8" borderId="0" xfId="0" applyNumberFormat="1" applyFont="1" applyFill="1"/>
    <xf numFmtId="2" fontId="0" fillId="8" borderId="0" xfId="6" applyNumberFormat="1" applyFont="1" applyFill="1"/>
    <xf numFmtId="176" fontId="0" fillId="8" borderId="0" xfId="6" applyNumberFormat="1" applyFont="1" applyFill="1"/>
    <xf numFmtId="176" fontId="0" fillId="8" borderId="0" xfId="0" applyNumberFormat="1" applyFill="1"/>
    <xf numFmtId="2" fontId="0" fillId="8" borderId="0" xfId="0" applyNumberFormat="1" applyFill="1"/>
    <xf numFmtId="2" fontId="3" fillId="8" borderId="0" xfId="0" applyNumberFormat="1" applyFont="1" applyFill="1"/>
    <xf numFmtId="2" fontId="25" fillId="8" borderId="0" xfId="0" applyNumberFormat="1" applyFont="1" applyFill="1"/>
    <xf numFmtId="2" fontId="8" fillId="8" borderId="0" xfId="1" applyNumberFormat="1" applyFont="1" applyFill="1"/>
    <xf numFmtId="176" fontId="8" fillId="8" borderId="0" xfId="1" applyNumberFormat="1" applyFont="1" applyFill="1"/>
    <xf numFmtId="2" fontId="2" fillId="8" borderId="0" xfId="5" applyNumberFormat="1" applyFont="1" applyFill="1"/>
    <xf numFmtId="176" fontId="2" fillId="8" borderId="0" xfId="5" applyNumberFormat="1" applyFont="1" applyFill="1"/>
    <xf numFmtId="164" fontId="8" fillId="7" borderId="0" xfId="0" applyNumberFormat="1" applyFont="1" applyFill="1" applyBorder="1" applyAlignment="1"/>
    <xf numFmtId="164" fontId="0" fillId="7" borderId="0" xfId="0" applyNumberFormat="1" applyFont="1" applyFill="1" applyBorder="1" applyAlignment="1"/>
    <xf numFmtId="0" fontId="2" fillId="7" borderId="0" xfId="0" applyFont="1" applyFill="1" applyBorder="1" applyAlignment="1"/>
    <xf numFmtId="5" fontId="2" fillId="7" borderId="0" xfId="0" applyNumberFormat="1" applyFont="1" applyFill="1" applyBorder="1" applyAlignment="1"/>
    <xf numFmtId="0" fontId="8" fillId="7" borderId="0" xfId="0" applyFont="1" applyFill="1" applyBorder="1" applyAlignment="1"/>
    <xf numFmtId="164" fontId="2" fillId="7" borderId="0" xfId="0" applyNumberFormat="1" applyFont="1" applyFill="1" applyBorder="1" applyAlignment="1"/>
    <xf numFmtId="0" fontId="2" fillId="7" borderId="0" xfId="0" applyNumberFormat="1" applyFont="1" applyFill="1" applyBorder="1" applyAlignment="1"/>
    <xf numFmtId="166" fontId="0" fillId="7" borderId="0" xfId="0" applyNumberFormat="1" applyFont="1" applyFill="1" applyBorder="1" applyAlignment="1">
      <alignment vertical="center" wrapText="1"/>
    </xf>
    <xf numFmtId="166" fontId="2" fillId="7" borderId="0" xfId="0" applyNumberFormat="1" applyFont="1" applyFill="1" applyBorder="1" applyAlignment="1"/>
    <xf numFmtId="166" fontId="2" fillId="7" borderId="0" xfId="6" applyNumberFormat="1" applyFont="1" applyFill="1" applyBorder="1" applyAlignment="1"/>
    <xf numFmtId="0" fontId="2" fillId="7" borderId="0" xfId="0" applyNumberFormat="1" applyFont="1" applyFill="1" applyBorder="1" applyAlignment="1">
      <alignment vertical="center"/>
    </xf>
    <xf numFmtId="166" fontId="2" fillId="7" borderId="0" xfId="6" applyNumberFormat="1" applyFont="1" applyFill="1" applyBorder="1" applyAlignment="1">
      <alignment vertical="center"/>
    </xf>
    <xf numFmtId="0" fontId="2" fillId="7" borderId="0" xfId="5" applyNumberFormat="1" applyFont="1" applyFill="1" applyBorder="1" applyAlignment="1"/>
    <xf numFmtId="0" fontId="0" fillId="7" borderId="0" xfId="5" applyNumberFormat="1" applyFont="1" applyFill="1" applyBorder="1" applyAlignment="1"/>
    <xf numFmtId="164" fontId="8" fillId="2" borderId="0" xfId="0" applyNumberFormat="1" applyFont="1" applyFill="1" applyBorder="1" applyAlignment="1"/>
    <xf numFmtId="0" fontId="8" fillId="2" borderId="0" xfId="0" applyFont="1" applyFill="1" applyBorder="1" applyAlignment="1">
      <alignment vertical="center" wrapText="1"/>
    </xf>
    <xf numFmtId="164" fontId="0" fillId="2" borderId="0" xfId="0" applyNumberFormat="1" applyFont="1" applyFill="1" applyBorder="1" applyAlignment="1"/>
    <xf numFmtId="164" fontId="2" fillId="2" borderId="0" xfId="0" applyNumberFormat="1" applyFont="1" applyFill="1" applyBorder="1" applyAlignment="1"/>
    <xf numFmtId="0" fontId="2" fillId="2" borderId="0" xfId="0" applyNumberFormat="1" applyFont="1" applyFill="1" applyBorder="1" applyAlignment="1"/>
    <xf numFmtId="166" fontId="0" fillId="2" borderId="0" xfId="0" applyNumberFormat="1" applyFont="1" applyFill="1" applyBorder="1" applyAlignment="1">
      <alignment vertical="center" wrapText="1"/>
    </xf>
    <xf numFmtId="166" fontId="2" fillId="2" borderId="0" xfId="0" applyNumberFormat="1" applyFont="1" applyFill="1" applyBorder="1" applyAlignment="1"/>
    <xf numFmtId="166" fontId="2" fillId="2" borderId="0" xfId="6" applyNumberFormat="1" applyFont="1" applyFill="1" applyBorder="1" applyAlignment="1"/>
    <xf numFmtId="0" fontId="2" fillId="2" borderId="0" xfId="0" applyNumberFormat="1" applyFont="1" applyFill="1" applyBorder="1" applyAlignment="1">
      <alignment vertical="center"/>
    </xf>
    <xf numFmtId="166" fontId="2" fillId="2" borderId="0" xfId="6" applyNumberFormat="1" applyFont="1" applyFill="1" applyBorder="1" applyAlignment="1">
      <alignment vertical="center"/>
    </xf>
    <xf numFmtId="0" fontId="2" fillId="2" borderId="0" xfId="5" applyNumberFormat="1" applyFont="1" applyFill="1" applyBorder="1" applyAlignment="1"/>
    <xf numFmtId="0" fontId="0" fillId="2" borderId="0" xfId="5" applyNumberFormat="1" applyFont="1" applyFill="1" applyBorder="1" applyAlignment="1"/>
    <xf numFmtId="2" fontId="0" fillId="3" borderId="0" xfId="0" applyNumberFormat="1" applyFont="1" applyFill="1" applyBorder="1" applyAlignment="1"/>
    <xf numFmtId="2" fontId="0" fillId="2" borderId="0" xfId="0" applyNumberFormat="1" applyFont="1" applyFill="1" applyBorder="1" applyAlignment="1"/>
    <xf numFmtId="179" fontId="0" fillId="5" borderId="0" xfId="5" applyNumberFormat="1" applyFont="1" applyFill="1" applyBorder="1" applyAlignment="1"/>
    <xf numFmtId="43" fontId="0" fillId="0" borderId="0" xfId="0" applyNumberFormat="1" applyAlignment="1"/>
    <xf numFmtId="41" fontId="0" fillId="0" borderId="0" xfId="5" applyFont="1" applyAlignment="1"/>
    <xf numFmtId="43" fontId="0" fillId="8" borderId="0" xfId="0" applyNumberFormat="1" applyFont="1" applyFill="1" applyBorder="1" applyAlignment="1"/>
    <xf numFmtId="178" fontId="0" fillId="0" borderId="0" xfId="5" applyNumberFormat="1" applyFont="1" applyAlignment="1"/>
    <xf numFmtId="11" fontId="0" fillId="0" borderId="0" xfId="0" applyNumberFormat="1" applyAlignment="1"/>
    <xf numFmtId="179" fontId="0" fillId="8" borderId="0" xfId="5" applyNumberFormat="1" applyFont="1" applyFill="1" applyBorder="1" applyAlignment="1"/>
    <xf numFmtId="0" fontId="14" fillId="0" borderId="0" xfId="4" applyAlignment="1"/>
    <xf numFmtId="41" fontId="2" fillId="8" borderId="0" xfId="5" applyFont="1" applyFill="1" applyBorder="1" applyAlignment="1"/>
    <xf numFmtId="9" fontId="0" fillId="8" borderId="0" xfId="0" applyNumberFormat="1" applyFont="1" applyFill="1" applyBorder="1" applyAlignment="1"/>
    <xf numFmtId="165" fontId="2" fillId="0" borderId="0" xfId="6" applyFont="1" applyFill="1" applyBorder="1" applyAlignment="1"/>
    <xf numFmtId="41" fontId="2" fillId="3" borderId="0" xfId="5" applyFont="1" applyFill="1" applyAlignment="1"/>
    <xf numFmtId="38" fontId="6" fillId="2" borderId="0" xfId="0" applyNumberFormat="1" applyFont="1" applyFill="1" applyBorder="1" applyAlignment="1">
      <alignment horizontal="right"/>
    </xf>
    <xf numFmtId="38" fontId="2" fillId="2" borderId="0" xfId="0" applyNumberFormat="1" applyFont="1" applyFill="1" applyBorder="1" applyAlignment="1">
      <alignment horizontal="left"/>
    </xf>
    <xf numFmtId="0" fontId="10" fillId="0" borderId="0" xfId="0" applyFont="1"/>
    <xf numFmtId="175" fontId="10" fillId="0" borderId="0" xfId="0" applyNumberFormat="1" applyFont="1"/>
    <xf numFmtId="0" fontId="2" fillId="0" borderId="0" xfId="0" applyFont="1"/>
    <xf numFmtId="0" fontId="37" fillId="0" borderId="0" xfId="0" applyFont="1"/>
    <xf numFmtId="0" fontId="3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4" fillId="4" borderId="0" xfId="0" applyFont="1" applyFill="1" applyAlignment="1">
      <alignment vertical="center" wrapText="1"/>
    </xf>
    <xf numFmtId="3" fontId="2" fillId="4" borderId="0" xfId="0" applyNumberFormat="1" applyFont="1" applyFill="1"/>
    <xf numFmtId="0" fontId="4" fillId="4" borderId="0" xfId="0" applyFont="1" applyFill="1"/>
    <xf numFmtId="3" fontId="0" fillId="0" borderId="0" xfId="0" applyNumberFormat="1"/>
    <xf numFmtId="166" fontId="0" fillId="0" borderId="0" xfId="6" applyNumberFormat="1" applyFont="1"/>
    <xf numFmtId="0" fontId="4" fillId="3" borderId="0" xfId="0" applyFont="1" applyFill="1" applyAlignment="1">
      <alignment vertical="center" wrapText="1"/>
    </xf>
    <xf numFmtId="11" fontId="18" fillId="3" borderId="0" xfId="0" applyNumberFormat="1" applyFont="1" applyFill="1"/>
    <xf numFmtId="165" fontId="0" fillId="4" borderId="0" xfId="6" applyFont="1" applyFill="1"/>
    <xf numFmtId="165" fontId="8" fillId="4" borderId="0" xfId="6" applyFont="1" applyFill="1"/>
    <xf numFmtId="165" fontId="13" fillId="4" borderId="0" xfId="6" applyFont="1" applyFill="1" applyBorder="1" applyAlignment="1"/>
    <xf numFmtId="165" fontId="2" fillId="4" borderId="0" xfId="6" applyFont="1" applyFill="1" applyBorder="1" applyAlignment="1"/>
    <xf numFmtId="165" fontId="2" fillId="4" borderId="0" xfId="6" applyFont="1" applyFill="1" applyBorder="1" applyAlignment="1">
      <alignment vertical="center" wrapText="1"/>
    </xf>
    <xf numFmtId="180" fontId="2" fillId="4" borderId="0" xfId="5" applyNumberFormat="1" applyFont="1" applyFill="1" applyBorder="1" applyAlignment="1">
      <alignment vertical="center" wrapText="1"/>
    </xf>
    <xf numFmtId="38" fontId="4" fillId="0" borderId="0" xfId="0" applyNumberFormat="1" applyFont="1"/>
    <xf numFmtId="165" fontId="8" fillId="4" borderId="0" xfId="6" applyFont="1" applyFill="1" applyBorder="1" applyAlignment="1"/>
    <xf numFmtId="165" fontId="0" fillId="4" borderId="0" xfId="6" applyFont="1" applyFill="1" applyBorder="1" applyAlignment="1">
      <alignment vertical="center" wrapText="1"/>
    </xf>
    <xf numFmtId="180" fontId="0" fillId="4" borderId="0" xfId="5" applyNumberFormat="1" applyFont="1" applyFill="1" applyBorder="1" applyAlignment="1">
      <alignment vertical="center" wrapText="1"/>
    </xf>
    <xf numFmtId="165" fontId="8" fillId="8" borderId="0" xfId="6" applyFont="1" applyFill="1"/>
    <xf numFmtId="182" fontId="0" fillId="8" borderId="0" xfId="6" applyNumberFormat="1" applyFont="1" applyFill="1"/>
    <xf numFmtId="165" fontId="0" fillId="8" borderId="0" xfId="6" applyFont="1" applyFill="1"/>
    <xf numFmtId="166" fontId="0" fillId="8" borderId="0" xfId="0" applyNumberFormat="1" applyFill="1"/>
    <xf numFmtId="183" fontId="0" fillId="8" borderId="0" xfId="6" applyNumberFormat="1" applyFont="1" applyFill="1"/>
    <xf numFmtId="166" fontId="21" fillId="8" borderId="0" xfId="0" applyNumberFormat="1" applyFont="1" applyFill="1"/>
    <xf numFmtId="165" fontId="8" fillId="5" borderId="0" xfId="6" applyFont="1" applyFill="1"/>
    <xf numFmtId="165" fontId="21" fillId="0" borderId="0" xfId="0" applyNumberFormat="1" applyFont="1"/>
    <xf numFmtId="165" fontId="21" fillId="5" borderId="0" xfId="6" applyFont="1" applyFill="1"/>
    <xf numFmtId="0" fontId="21" fillId="5" borderId="0" xfId="0" applyFont="1" applyFill="1"/>
    <xf numFmtId="165" fontId="2" fillId="5" borderId="0" xfId="6" applyFont="1" applyFill="1"/>
    <xf numFmtId="0" fontId="3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165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38" fontId="0" fillId="0" borderId="0" xfId="0" applyNumberFormat="1"/>
    <xf numFmtId="165" fontId="2" fillId="0" borderId="0" xfId="6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21" fillId="0" borderId="0" xfId="0" applyFont="1"/>
    <xf numFmtId="0" fontId="9" fillId="0" borderId="0" xfId="0" applyFont="1"/>
    <xf numFmtId="0" fontId="4" fillId="0" borderId="0" xfId="0" applyFont="1" applyAlignment="1">
      <alignment wrapText="1"/>
    </xf>
    <xf numFmtId="166" fontId="2" fillId="0" borderId="0" xfId="0" applyNumberFormat="1" applyFont="1" applyAlignment="1">
      <alignment wrapText="1"/>
    </xf>
    <xf numFmtId="5" fontId="2" fillId="0" borderId="0" xfId="0" applyNumberFormat="1" applyFont="1"/>
    <xf numFmtId="165" fontId="2" fillId="0" borderId="0" xfId="0" applyNumberFormat="1" applyFont="1"/>
    <xf numFmtId="165" fontId="2" fillId="0" borderId="0" xfId="0" applyNumberFormat="1" applyFont="1" applyAlignment="1">
      <alignment vertical="center"/>
    </xf>
    <xf numFmtId="5" fontId="4" fillId="0" borderId="0" xfId="0" applyNumberFormat="1" applyFont="1"/>
    <xf numFmtId="8" fontId="21" fillId="4" borderId="0" xfId="0" applyNumberFormat="1" applyFont="1" applyFill="1"/>
    <xf numFmtId="43" fontId="0" fillId="0" borderId="0" xfId="0" applyNumberFormat="1" applyFill="1" applyAlignment="1"/>
    <xf numFmtId="0" fontId="8" fillId="0" borderId="0" xfId="0" applyFont="1" applyFill="1" applyAlignment="1"/>
    <xf numFmtId="0" fontId="0" fillId="0" borderId="0" xfId="0" applyFont="1" applyFill="1" applyAlignment="1"/>
    <xf numFmtId="41" fontId="0" fillId="0" borderId="0" xfId="5" applyFont="1" applyFill="1" applyAlignment="1"/>
    <xf numFmtId="43" fontId="0" fillId="4" borderId="0" xfId="0" applyNumberFormat="1" applyFill="1" applyAlignment="1"/>
    <xf numFmtId="0" fontId="39" fillId="2" borderId="0" xfId="0" applyFont="1" applyFill="1" applyBorder="1" applyAlignment="1">
      <alignment horizontal="right" vertical="center"/>
    </xf>
    <xf numFmtId="0" fontId="40" fillId="2" borderId="0" xfId="0" applyFont="1" applyFill="1" applyBorder="1" applyAlignment="1">
      <alignment horizontal="right" vertical="center"/>
    </xf>
    <xf numFmtId="11" fontId="8" fillId="2" borderId="0" xfId="0" applyNumberFormat="1" applyFont="1" applyFill="1" applyBorder="1" applyAlignment="1">
      <alignment vertical="center"/>
    </xf>
    <xf numFmtId="11" fontId="2" fillId="2" borderId="0" xfId="5" applyNumberFormat="1" applyFont="1" applyFill="1" applyBorder="1" applyAlignment="1">
      <alignment vertical="center"/>
    </xf>
    <xf numFmtId="41" fontId="2" fillId="2" borderId="0" xfId="5" applyFont="1" applyFill="1" applyBorder="1" applyAlignment="1">
      <alignment vertical="center"/>
    </xf>
    <xf numFmtId="2" fontId="19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78" fontId="0" fillId="8" borderId="0" xfId="5" applyNumberFormat="1" applyFont="1" applyFill="1" applyBorder="1" applyAlignment="1"/>
    <xf numFmtId="3" fontId="8" fillId="2" borderId="0" xfId="0" applyNumberFormat="1" applyFont="1" applyFill="1" applyBorder="1" applyAlignment="1">
      <alignment vertical="center"/>
    </xf>
    <xf numFmtId="3" fontId="2" fillId="2" borderId="0" xfId="0" applyNumberFormat="1" applyFont="1" applyFill="1" applyBorder="1" applyAlignment="1">
      <alignment vertical="center"/>
    </xf>
    <xf numFmtId="4" fontId="2" fillId="2" borderId="0" xfId="0" applyNumberFormat="1" applyFont="1" applyFill="1" applyBorder="1" applyAlignment="1">
      <alignment vertical="center"/>
    </xf>
    <xf numFmtId="43" fontId="2" fillId="0" borderId="0" xfId="0" applyNumberFormat="1" applyFont="1" applyFill="1" applyBorder="1" applyAlignment="1">
      <alignment vertical="center"/>
    </xf>
    <xf numFmtId="41" fontId="0" fillId="8" borderId="0" xfId="0" applyNumberFormat="1" applyFont="1" applyFill="1" applyBorder="1" applyAlignment="1"/>
    <xf numFmtId="165" fontId="8" fillId="8" borderId="0" xfId="6" applyFont="1" applyFill="1" applyBorder="1" applyAlignment="1"/>
    <xf numFmtId="41" fontId="8" fillId="8" borderId="0" xfId="5" applyFont="1" applyFill="1" applyBorder="1" applyAlignment="1"/>
    <xf numFmtId="2" fontId="0" fillId="8" borderId="0" xfId="6" applyNumberFormat="1" applyFont="1" applyFill="1" applyBorder="1" applyAlignment="1"/>
    <xf numFmtId="184" fontId="0" fillId="8" borderId="0" xfId="0" applyNumberFormat="1" applyFont="1" applyFill="1" applyBorder="1" applyAlignment="1"/>
    <xf numFmtId="41" fontId="0" fillId="8" borderId="0" xfId="5" applyNumberFormat="1" applyFont="1" applyFill="1" applyBorder="1" applyAlignment="1"/>
    <xf numFmtId="166" fontId="0" fillId="8" borderId="0" xfId="0" applyNumberFormat="1" applyFont="1" applyFill="1" applyBorder="1" applyAlignment="1"/>
    <xf numFmtId="9" fontId="19" fillId="2" borderId="0" xfId="1" applyFont="1" applyFill="1" applyBorder="1" applyAlignment="1"/>
    <xf numFmtId="1" fontId="0" fillId="8" borderId="0" xfId="6" applyNumberFormat="1" applyFont="1" applyFill="1" applyBorder="1" applyAlignment="1"/>
    <xf numFmtId="0" fontId="8" fillId="6" borderId="0" xfId="0" applyFont="1" applyFill="1" applyAlignment="1">
      <alignment horizontal="center"/>
    </xf>
  </cellXfs>
  <cellStyles count="7">
    <cellStyle name="Comma" xfId="5" builtinId="3" customBuiltin="1"/>
    <cellStyle name="Currency" xfId="6" builtinId="4" customBuiltin="1"/>
    <cellStyle name="Hyperlink" xfId="4" builtinId="8"/>
    <cellStyle name="Normal" xfId="0" builtinId="0" customBuiltin="1"/>
    <cellStyle name="Normal 2 19" xfId="2" xr:uid="{0ED0A927-4023-440D-B775-D72DDE26ED67}"/>
    <cellStyle name="Normal 34" xfId="3" xr:uid="{6B9F8983-B9AF-4A2B-A165-1F69AB45589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 baseline="0"/>
              <a:t>Cost Breakdown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9D-8F45-8FF4-F5B6ADA61C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9D-8F45-8FF4-F5B6ADA61C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9D-8F45-8FF4-F5B6ADA61C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9D-8F45-8FF4-F5B6ADA61C3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9D-8F45-8FF4-F5B6ADA61C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Results!$F$7:$F$11</c:f>
              <c:strCache>
                <c:ptCount val="5"/>
                <c:pt idx="0">
                  <c:v>CapEx</c:v>
                </c:pt>
                <c:pt idx="1">
                  <c:v>Replacements</c:v>
                </c:pt>
                <c:pt idx="2">
                  <c:v>Fixed OpEx</c:v>
                </c:pt>
                <c:pt idx="3">
                  <c:v>Variable OpEx</c:v>
                </c:pt>
                <c:pt idx="4">
                  <c:v>Taxes &amp; Working Capital</c:v>
                </c:pt>
              </c:strCache>
            </c:strRef>
          </c:cat>
          <c:val>
            <c:numRef>
              <c:f>Results!$I$7:$I$11</c:f>
              <c:numCache>
                <c:formatCode>0%</c:formatCode>
                <c:ptCount val="5"/>
                <c:pt idx="0">
                  <c:v>0.15836252900582942</c:v>
                </c:pt>
                <c:pt idx="1">
                  <c:v>0.17919606922532974</c:v>
                </c:pt>
                <c:pt idx="2">
                  <c:v>0.1546548339238763</c:v>
                </c:pt>
                <c:pt idx="3">
                  <c:v>0.47955920165500782</c:v>
                </c:pt>
                <c:pt idx="4">
                  <c:v>2.822736618995671E-2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3-184A-B3B7-1AA85E12E75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/>
              <a:t>Direct Capital Cost by Process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BA6-6042-BD49-EAFBB36BDF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BA6-6042-BD49-EAFBB36BDF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BA6-6042-BD49-EAFBB36BDF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BA6-6042-BD49-EAFBB36BDF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BA6-6042-BD49-EAFBB36BDF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542-7D49-9AC7-2BCA896FD523}"/>
              </c:ext>
            </c:extLst>
          </c:dPt>
          <c:cat>
            <c:strRef>
              <c:f>Results!$A$32:$A$37</c:f>
              <c:strCache>
                <c:ptCount val="6"/>
                <c:pt idx="0">
                  <c:v>Intake</c:v>
                </c:pt>
                <c:pt idx="1">
                  <c:v>Screening</c:v>
                </c:pt>
                <c:pt idx="2">
                  <c:v>Microfiltration</c:v>
                </c:pt>
                <c:pt idx="3">
                  <c:v>Nanofiltration</c:v>
                </c:pt>
                <c:pt idx="4">
                  <c:v>Electrodialysis</c:v>
                </c:pt>
                <c:pt idx="5">
                  <c:v>CO2 stripping</c:v>
                </c:pt>
              </c:strCache>
            </c:strRef>
          </c:cat>
          <c:val>
            <c:numRef>
              <c:f>Results!$E$32:$E$37</c:f>
              <c:numCache>
                <c:formatCode>0%</c:formatCode>
                <c:ptCount val="6"/>
                <c:pt idx="0">
                  <c:v>0.16314745345151097</c:v>
                </c:pt>
                <c:pt idx="1">
                  <c:v>0.21190898516679638</c:v>
                </c:pt>
                <c:pt idx="2">
                  <c:v>0.11229047168588173</c:v>
                </c:pt>
                <c:pt idx="3">
                  <c:v>2.3490264870466855E-2</c:v>
                </c:pt>
                <c:pt idx="4">
                  <c:v>4.8422053463648342E-2</c:v>
                </c:pt>
                <c:pt idx="5">
                  <c:v>0.44074077136169587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3-184A-B3B7-1AA85E12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/>
              <a:t>Electricity Cost by Process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1E-B344-BB79-CDFC9E6482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1E-B344-BB79-CDFC9E64826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1E-B344-BB79-CDFC9E6482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C1E-B344-BB79-CDFC9E6482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C1E-B344-BB79-CDFC9E64826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C1E-B344-BB79-CDFC9E648263}"/>
              </c:ext>
            </c:extLst>
          </c:dPt>
          <c:cat>
            <c:strRef>
              <c:f>Results!$A$32:$A$37</c:f>
              <c:strCache>
                <c:ptCount val="6"/>
                <c:pt idx="0">
                  <c:v>Intake</c:v>
                </c:pt>
                <c:pt idx="1">
                  <c:v>Screening</c:v>
                </c:pt>
                <c:pt idx="2">
                  <c:v>Microfiltration</c:v>
                </c:pt>
                <c:pt idx="3">
                  <c:v>Nanofiltration</c:v>
                </c:pt>
                <c:pt idx="4">
                  <c:v>Electrodialysis</c:v>
                </c:pt>
                <c:pt idx="5">
                  <c:v>CO2 stripping</c:v>
                </c:pt>
              </c:strCache>
            </c:strRef>
          </c:cat>
          <c:val>
            <c:numRef>
              <c:f>Results!$F$32:$F$37</c:f>
              <c:numCache>
                <c:formatCode>0%</c:formatCode>
                <c:ptCount val="6"/>
                <c:pt idx="0">
                  <c:v>0.17541439545787646</c:v>
                </c:pt>
                <c:pt idx="1">
                  <c:v>0</c:v>
                </c:pt>
                <c:pt idx="2">
                  <c:v>7.0947854895487368E-3</c:v>
                </c:pt>
                <c:pt idx="3">
                  <c:v>6.1923303558401232E-3</c:v>
                </c:pt>
                <c:pt idx="4">
                  <c:v>0.69519674050895885</c:v>
                </c:pt>
                <c:pt idx="5">
                  <c:v>0.11610174818777573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C1E-B344-BB79-CDFC9E648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/>
              <a:t>Price Breakdown: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397359420981469"/>
          <c:y val="0.12847222222222221"/>
          <c:w val="0.74824862801240755"/>
          <c:h val="0.490879811898512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Results!$A$91</c:f>
              <c:strCache>
                <c:ptCount val="1"/>
                <c:pt idx="0">
                  <c:v>Intake/screening CapEx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Results!$B$91:$E$91</c:f>
              <c:numCache>
                <c:formatCode>"$"#,##0.00</c:formatCode>
                <c:ptCount val="4"/>
                <c:pt idx="0">
                  <c:v>48.64</c:v>
                </c:pt>
                <c:pt idx="1">
                  <c:v>48.64</c:v>
                </c:pt>
                <c:pt idx="2">
                  <c:v>48.64</c:v>
                </c:pt>
                <c:pt idx="3">
                  <c:v>48.64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B-0F41-B69F-052165F8859F}"/>
            </c:ext>
          </c:extLst>
        </c:ser>
        <c:ser>
          <c:idx val="1"/>
          <c:order val="1"/>
          <c:tx>
            <c:strRef>
              <c:f>Results!$A$92</c:f>
              <c:strCache>
                <c:ptCount val="1"/>
                <c:pt idx="0">
                  <c:v>Electrodialysis CapEx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Results!$B$92:$E$92</c:f>
              <c:numCache>
                <c:formatCode>"$"#,##0.00</c:formatCode>
                <c:ptCount val="4"/>
                <c:pt idx="0">
                  <c:v>22.15</c:v>
                </c:pt>
                <c:pt idx="1">
                  <c:v>22.15</c:v>
                </c:pt>
                <c:pt idx="2">
                  <c:v>22.15</c:v>
                </c:pt>
                <c:pt idx="3">
                  <c:v>22.15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9B-0F41-B69F-052165F8859F}"/>
            </c:ext>
          </c:extLst>
        </c:ser>
        <c:ser>
          <c:idx val="2"/>
          <c:order val="2"/>
          <c:tx>
            <c:strRef>
              <c:f>Results!$A$93</c:f>
              <c:strCache>
                <c:ptCount val="1"/>
                <c:pt idx="0">
                  <c:v>CO2 stripping CapEx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Results!$B$93:$E$93</c:f>
              <c:numCache>
                <c:formatCode>"$"#,##0.00</c:formatCode>
                <c:ptCount val="4"/>
                <c:pt idx="0">
                  <c:v>79.17</c:v>
                </c:pt>
                <c:pt idx="1">
                  <c:v>79.17</c:v>
                </c:pt>
                <c:pt idx="2">
                  <c:v>79.17</c:v>
                </c:pt>
                <c:pt idx="3">
                  <c:v>79.17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9B-0F41-B69F-052165F8859F}"/>
            </c:ext>
          </c:extLst>
        </c:ser>
        <c:ser>
          <c:idx val="3"/>
          <c:order val="3"/>
          <c:tx>
            <c:strRef>
              <c:f>Results!$A$94</c:f>
              <c:strCache>
                <c:ptCount val="1"/>
                <c:pt idx="0">
                  <c:v>Intake electricity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Results!$B$94:$E$94</c:f>
              <c:numCache>
                <c:formatCode>"$"#,##0.00</c:formatCode>
                <c:ptCount val="4"/>
                <c:pt idx="0">
                  <c:v>20.945799999999998</c:v>
                </c:pt>
                <c:pt idx="1">
                  <c:v>20.945799999999998</c:v>
                </c:pt>
                <c:pt idx="2">
                  <c:v>20.945799999999998</c:v>
                </c:pt>
                <c:pt idx="3">
                  <c:v>20.945799999999998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9B-0F41-B69F-052165F8859F}"/>
            </c:ext>
          </c:extLst>
        </c:ser>
        <c:ser>
          <c:idx val="4"/>
          <c:order val="4"/>
          <c:tx>
            <c:strRef>
              <c:f>Results!$A$95</c:f>
              <c:strCache>
                <c:ptCount val="1"/>
                <c:pt idx="0">
                  <c:v>Electrodialysis electricity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Results!$B$95:$E$95</c:f>
              <c:numCache>
                <c:formatCode>"$"#,##0.00</c:formatCode>
                <c:ptCount val="4"/>
                <c:pt idx="0">
                  <c:v>33.204700000000003</c:v>
                </c:pt>
                <c:pt idx="1">
                  <c:v>66.409499999999994</c:v>
                </c:pt>
                <c:pt idx="2">
                  <c:v>99.614199999999997</c:v>
                </c:pt>
                <c:pt idx="3">
                  <c:v>132.81899999999999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9B-0F41-B69F-052165F8859F}"/>
            </c:ext>
          </c:extLst>
        </c:ser>
        <c:ser>
          <c:idx val="5"/>
          <c:order val="5"/>
          <c:tx>
            <c:strRef>
              <c:f>Results!$A$96</c:f>
              <c:strCache>
                <c:ptCount val="1"/>
                <c:pt idx="0">
                  <c:v>Fixed OpEx &amp; 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Results!$B$96:$E$96</c:f>
              <c:numCache>
                <c:formatCode>"$"#,##0.00</c:formatCode>
                <c:ptCount val="4"/>
                <c:pt idx="0">
                  <c:v>282.29000000000002</c:v>
                </c:pt>
                <c:pt idx="1">
                  <c:v>282.77999999999997</c:v>
                </c:pt>
                <c:pt idx="2">
                  <c:v>283.27999999999997</c:v>
                </c:pt>
                <c:pt idx="3">
                  <c:v>283.77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9B-0F41-B69F-052165F88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86131840"/>
        <c:axId val="2086133488"/>
      </c:barChart>
      <c:catAx>
        <c:axId val="208613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1"/>
                  <a:t>Voltage (V)</a:t>
                </a:r>
              </a:p>
            </c:rich>
          </c:tx>
          <c:layout>
            <c:manualLayout>
              <c:xMode val="edge"/>
              <c:yMode val="edge"/>
              <c:x val="0.48545355126063788"/>
              <c:y val="0.697527887139107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3488"/>
        <c:crosses val="autoZero"/>
        <c:auto val="1"/>
        <c:lblAlgn val="ctr"/>
        <c:lblOffset val="100"/>
        <c:noMultiLvlLbl val="0"/>
      </c:catAx>
      <c:valAx>
        <c:axId val="20861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1"/>
                  <a:t>CO</a:t>
                </a:r>
                <a:r>
                  <a:rPr lang="en-US" sz="1400" b="1" baseline="-25000"/>
                  <a:t>2</a:t>
                </a:r>
                <a:r>
                  <a:rPr lang="en-US" sz="1400" b="1"/>
                  <a:t> Price ($/ton)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686456692913385E-2"/>
          <c:y val="0.79233240376202974"/>
          <c:w val="0.9301776664280601"/>
          <c:h val="0.192083059930008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sz="1600" b="1"/>
              <a:t>Current Density Sweep</a:t>
            </a:r>
          </a:p>
        </c:rich>
      </c:tx>
      <c:layout>
        <c:manualLayout>
          <c:xMode val="edge"/>
          <c:yMode val="edge"/>
          <c:x val="0.30138252604788035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Results!$A$57:$A$69</c:f>
              <c:numCache>
                <c:formatCode>_(* #,##0.0_);_(* \(#,##0.0\);_(* "-"_);_(@_)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Results!$B$57:$B$69</c:f>
              <c:numCache>
                <c:formatCode>"$"#,##0</c:formatCode>
                <c:ptCount val="13"/>
                <c:pt idx="0">
                  <c:v>238.2</c:v>
                </c:pt>
                <c:pt idx="1">
                  <c:v>185.5</c:v>
                </c:pt>
                <c:pt idx="2">
                  <c:v>168</c:v>
                </c:pt>
                <c:pt idx="3">
                  <c:v>159.20000000000002</c:v>
                </c:pt>
                <c:pt idx="4">
                  <c:v>146</c:v>
                </c:pt>
                <c:pt idx="5">
                  <c:v>141.69999999999999</c:v>
                </c:pt>
                <c:pt idx="6">
                  <c:v>139.5</c:v>
                </c:pt>
                <c:pt idx="7">
                  <c:v>138.19999999999999</c:v>
                </c:pt>
                <c:pt idx="8">
                  <c:v>137.30000000000001</c:v>
                </c:pt>
                <c:pt idx="9">
                  <c:v>136.6</c:v>
                </c:pt>
                <c:pt idx="10">
                  <c:v>136.19999999999999</c:v>
                </c:pt>
                <c:pt idx="11">
                  <c:v>135.80000000000001</c:v>
                </c:pt>
                <c:pt idx="12">
                  <c:v>135.5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B-0A4C-8E7E-0225643C5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953152"/>
        <c:axId val="1740752687"/>
      </c:barChart>
      <c:catAx>
        <c:axId val="10195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600" b="1"/>
                  <a:t>Current Density (mA/cm</a:t>
                </a:r>
                <a:r>
                  <a:rPr lang="en-US" sz="1600" b="1" baseline="30000"/>
                  <a:t>2</a:t>
                </a:r>
                <a:r>
                  <a:rPr lang="en-US" sz="1600" b="1" baseline="0"/>
                  <a:t>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33749781277340335"/>
              <c:y val="0.93055555555555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740752687"/>
        <c:crosses val="autoZero"/>
        <c:auto val="1"/>
        <c:lblAlgn val="ctr"/>
        <c:lblOffset val="100"/>
        <c:tickLblSkip val="3"/>
        <c:noMultiLvlLbl val="0"/>
      </c:catAx>
      <c:valAx>
        <c:axId val="174075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chemeClr val="tx1"/>
                    </a:solidFill>
                  </a:rPr>
                  <a:t>CO</a:t>
                </a:r>
                <a:r>
                  <a:rPr lang="en-US" sz="1600" b="1" baseline="-25000">
                    <a:solidFill>
                      <a:schemeClr val="tx1"/>
                    </a:solidFill>
                  </a:rPr>
                  <a:t>2</a:t>
                </a:r>
                <a:r>
                  <a:rPr lang="en-US" sz="1600" b="1" baseline="0">
                    <a:solidFill>
                      <a:schemeClr val="tx1"/>
                    </a:solidFill>
                  </a:rPr>
                  <a:t> Price ($/ton)</a:t>
                </a:r>
                <a:endParaRPr lang="en-US" sz="16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0101010101010102E-2"/>
              <c:y val="0.252323381452318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0195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b="1"/>
              <a:t>Sensitivity Analysis: 10 kilotons</a:t>
            </a:r>
            <a:r>
              <a:rPr lang="en-US" b="1" baseline="0"/>
              <a:t> CO</a:t>
            </a:r>
            <a:r>
              <a:rPr lang="en-US" b="1" baseline="-25000"/>
              <a:t>2</a:t>
            </a:r>
            <a:r>
              <a:rPr lang="en-US" b="1" baseline="0"/>
              <a:t>/year, $0.05/kWh</a:t>
            </a:r>
            <a:endParaRPr lang="en-US" b="1"/>
          </a:p>
        </c:rich>
      </c:tx>
      <c:layout>
        <c:manualLayout>
          <c:xMode val="edge"/>
          <c:yMode val="edge"/>
          <c:x val="0.15084317585301837"/>
          <c:y val="1.944444444444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Results!$B$163</c:f>
              <c:strCache>
                <c:ptCount val="1"/>
                <c:pt idx="0">
                  <c:v>50% less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EBC77A4-4AC3-B441-A349-A6CB70BD9D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18-4C4B-987A-5C7DAF0B55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8A1A33-5673-DC45-84A7-650CB3113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18-4C4B-987A-5C7DAF0B55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C56BBF-DE34-F443-8DA2-E287C64CA0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18-4C4B-987A-5C7DAF0B55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899011-8564-8C46-BA4C-A871F93BF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18-4C4B-987A-5C7DAF0B55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179CF1-7C88-174C-9113-B5A8CC10EC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18-4C4B-987A-5C7DAF0B55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863CDD-C593-F84C-AE0B-F703CD1FC2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18-4C4B-987A-5C7DAF0B55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93BCEF-5BD8-A749-8FD9-E902EC9AD1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18-4C4B-987A-5C7DAF0B5529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Results!$A$164:$A$170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Results!$B$164:$B$170</c:f>
              <c:numCache>
                <c:formatCode>"$"#,##0.00</c:formatCode>
                <c:ptCount val="7"/>
                <c:pt idx="0">
                  <c:v>-77.63</c:v>
                </c:pt>
                <c:pt idx="1">
                  <c:v>-52.649999999999977</c:v>
                </c:pt>
                <c:pt idx="2">
                  <c:v>-42.409999999999968</c:v>
                </c:pt>
                <c:pt idx="3">
                  <c:v>-6.2400000000000091</c:v>
                </c:pt>
                <c:pt idx="4">
                  <c:v>-9.3600000000000136</c:v>
                </c:pt>
                <c:pt idx="5">
                  <c:v>-4.4800000000000182</c:v>
                </c:pt>
                <c:pt idx="6">
                  <c:v>-3.8600000000000136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Results!$D$164:$D$171</c15:f>
                <c15:dlblRangeCache>
                  <c:ptCount val="8"/>
                  <c:pt idx="0">
                    <c:v>$469.01</c:v>
                  </c:pt>
                  <c:pt idx="1">
                    <c:v>$493.99</c:v>
                  </c:pt>
                  <c:pt idx="2">
                    <c:v>$504.23</c:v>
                  </c:pt>
                  <c:pt idx="3">
                    <c:v>$540.40</c:v>
                  </c:pt>
                  <c:pt idx="4">
                    <c:v>$537.28</c:v>
                  </c:pt>
                  <c:pt idx="5">
                    <c:v>$542.16</c:v>
                  </c:pt>
                  <c:pt idx="6">
                    <c:v>$542.78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3318-4C4B-987A-5C7DAF0B5529}"/>
            </c:ext>
          </c:extLst>
        </c:ser>
        <c:ser>
          <c:idx val="1"/>
          <c:order val="1"/>
          <c:tx>
            <c:strRef>
              <c:f>Results!$C$163</c:f>
              <c:strCache>
                <c:ptCount val="1"/>
                <c:pt idx="0">
                  <c:v>50% more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9665F50-1AB2-E747-9C02-390DC0A0E0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18-4C4B-987A-5C7DAF0B55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26532C-6682-484E-AD48-B1D123B9A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18-4C4B-987A-5C7DAF0B55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44BD33-41A8-0942-B56B-63B1B155FD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18-4C4B-987A-5C7DAF0B55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206E6A-6ED7-3B42-B987-BB797272DB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18-4C4B-987A-5C7DAF0B55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15D2CA-80CA-7D4C-B54E-83DEC19679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18-4C4B-987A-5C7DAF0B55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270153-C483-E94D-97D1-217E8CAD2E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18-4C4B-987A-5C7DAF0B55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5E18A8-E9D2-4045-9D8C-0FC06BD824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18-4C4B-987A-5C7DAF0B5529}"/>
                </c:ext>
              </c:extLst>
            </c:dLbl>
            <c:numFmt formatCode="&quot;$&quot;\+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Results!$A$164:$A$170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Results!$C$164:$C$170</c:f>
              <c:numCache>
                <c:formatCode>"$"#,##0.00</c:formatCode>
                <c:ptCount val="7"/>
                <c:pt idx="0">
                  <c:v>77.639999999999986</c:v>
                </c:pt>
                <c:pt idx="1">
                  <c:v>52.659999999999968</c:v>
                </c:pt>
                <c:pt idx="2">
                  <c:v>42.419999999999959</c:v>
                </c:pt>
                <c:pt idx="3">
                  <c:v>18.730000000000018</c:v>
                </c:pt>
                <c:pt idx="4">
                  <c:v>9.3700000000000045</c:v>
                </c:pt>
                <c:pt idx="5">
                  <c:v>4.4900000000000091</c:v>
                </c:pt>
                <c:pt idx="6">
                  <c:v>3.8700000000000045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Results!$F$164:$F$171</c15:f>
                <c15:dlblRangeCache>
                  <c:ptCount val="8"/>
                  <c:pt idx="0">
                    <c:v>$624.28</c:v>
                  </c:pt>
                  <c:pt idx="1">
                    <c:v>$599.30</c:v>
                  </c:pt>
                  <c:pt idx="2">
                    <c:v>$589.06</c:v>
                  </c:pt>
                  <c:pt idx="3">
                    <c:v>$565.37</c:v>
                  </c:pt>
                  <c:pt idx="4">
                    <c:v>$556.01</c:v>
                  </c:pt>
                  <c:pt idx="5">
                    <c:v>$551.13</c:v>
                  </c:pt>
                  <c:pt idx="6">
                    <c:v>$550.51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318-4C4B-987A-5C7DAF0B5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7499520"/>
        <c:axId val="1957690336"/>
      </c:barChart>
      <c:catAx>
        <c:axId val="19574995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690336"/>
        <c:crosses val="autoZero"/>
        <c:auto val="1"/>
        <c:lblAlgn val="ctr"/>
        <c:lblOffset val="100"/>
        <c:noMultiLvlLbl val="0"/>
      </c:catAx>
      <c:valAx>
        <c:axId val="1957690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b="1"/>
                  <a:t>CO</a:t>
                </a:r>
                <a:r>
                  <a:rPr lang="en-US" b="1" baseline="-25000"/>
                  <a:t>2</a:t>
                </a:r>
                <a:r>
                  <a:rPr lang="en-US" b="1" baseline="0"/>
                  <a:t> Price ($/ton)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5223147106611673"/>
              <c:y val="8.16666666666666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499520"/>
        <c:crossesAt val="1"/>
        <c:crossBetween val="between"/>
        <c:majorUnit val="3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026012373453319"/>
          <c:y val="0.93090266841644798"/>
          <c:w val="0.29757499062617171"/>
          <c:h val="4.9652887139107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b="1"/>
              <a:t>Sensitivity Analysis: 1</a:t>
            </a:r>
            <a:r>
              <a:rPr lang="en-US" b="1" baseline="0"/>
              <a:t> megaton CO</a:t>
            </a:r>
            <a:r>
              <a:rPr lang="en-US" b="1" baseline="-25000"/>
              <a:t>2</a:t>
            </a:r>
            <a:r>
              <a:rPr lang="en-US" b="1" baseline="0"/>
              <a:t>/year, $0.02/kWh</a:t>
            </a:r>
            <a:endParaRPr lang="en-US" b="1"/>
          </a:p>
        </c:rich>
      </c:tx>
      <c:layout>
        <c:manualLayout>
          <c:xMode val="edge"/>
          <c:yMode val="edge"/>
          <c:x val="0.14529761904761901"/>
          <c:y val="1.666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Results!$B$203</c:f>
              <c:strCache>
                <c:ptCount val="1"/>
                <c:pt idx="0">
                  <c:v>50% less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F6E9BB4-2A06-D941-9D6C-F7AD337A2B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17-604E-850C-72492FA4C1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CF7F43-AF18-6942-9EEA-0D19D7EE3B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17-604E-850C-72492FA4C1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71D980-DDF4-CB45-8C29-F14AB47F14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17-604E-850C-72492FA4C1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57A6BA-6F6A-664E-9A5E-A164D5DBBD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17-604E-850C-72492FA4C1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9A49BE-1F84-204B-95BB-2F09C2C8FB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17-604E-850C-72492FA4C1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E688AB-0736-3645-828F-13B357208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17-604E-850C-72492FA4C1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51C694-BE2D-8C48-B288-0FB17901CC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17-604E-850C-72492FA4C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Results!$A$204:$A$210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Results!$B$204:$B$210</c:f>
              <c:numCache>
                <c:formatCode>"$"#,##0.00</c:formatCode>
                <c:ptCount val="7"/>
                <c:pt idx="0">
                  <c:v>-31.049999999999997</c:v>
                </c:pt>
                <c:pt idx="1">
                  <c:v>-21.060000000000002</c:v>
                </c:pt>
                <c:pt idx="2">
                  <c:v>-6.7199999999999989</c:v>
                </c:pt>
                <c:pt idx="3">
                  <c:v>-0.99000000000000909</c:v>
                </c:pt>
                <c:pt idx="4">
                  <c:v>-1.480000000000004</c:v>
                </c:pt>
                <c:pt idx="5">
                  <c:v>-0.71000000000000796</c:v>
                </c:pt>
                <c:pt idx="6">
                  <c:v>-0.60999999999999943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Results!$D$204:$D$210</c15:f>
                <c15:dlblRangeCache>
                  <c:ptCount val="7"/>
                  <c:pt idx="0">
                    <c:v>$84.26</c:v>
                  </c:pt>
                  <c:pt idx="1">
                    <c:v>$94.25</c:v>
                  </c:pt>
                  <c:pt idx="2">
                    <c:v>$108.59</c:v>
                  </c:pt>
                  <c:pt idx="3">
                    <c:v>$114.32</c:v>
                  </c:pt>
                  <c:pt idx="4">
                    <c:v>$113.83</c:v>
                  </c:pt>
                  <c:pt idx="5">
                    <c:v>$114.60</c:v>
                  </c:pt>
                  <c:pt idx="6">
                    <c:v>$114.70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4017-604E-850C-72492FA4C1B6}"/>
            </c:ext>
          </c:extLst>
        </c:ser>
        <c:ser>
          <c:idx val="1"/>
          <c:order val="1"/>
          <c:tx>
            <c:strRef>
              <c:f>Results!$C$203</c:f>
              <c:strCache>
                <c:ptCount val="1"/>
                <c:pt idx="0">
                  <c:v>50% more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F6D6DE7-A21E-4446-8C6D-43FB7DBDA9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17-604E-850C-72492FA4C1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B22DC4-2F90-3D4E-A4AC-72DDE2CD8B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17-604E-850C-72492FA4C1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1AAACF-BE65-0D4A-888A-CA61EC6C2C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17-604E-850C-72492FA4C1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8436C2-AC9B-E24B-A73B-B43FD82B13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17-604E-850C-72492FA4C1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97523B-2BCF-A14C-94B8-C21AA71C83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17-604E-850C-72492FA4C1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E55E23-4CCB-A245-9AE2-48077977F0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17-604E-850C-72492FA4C1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09FF2D-557A-C042-8299-D692ED9A5F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17-604E-850C-72492FA4C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Results!$A$204:$A$210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Results!$C$204:$C$210</c:f>
              <c:numCache>
                <c:formatCode>"$"#,##0.00</c:formatCode>
                <c:ptCount val="7"/>
                <c:pt idx="0">
                  <c:v>31.060000000000002</c:v>
                </c:pt>
                <c:pt idx="1">
                  <c:v>21.060000000000002</c:v>
                </c:pt>
                <c:pt idx="2">
                  <c:v>6.730000000000004</c:v>
                </c:pt>
                <c:pt idx="3">
                  <c:v>2.9699999999999989</c:v>
                </c:pt>
                <c:pt idx="4">
                  <c:v>1.4899999999999949</c:v>
                </c:pt>
                <c:pt idx="5">
                  <c:v>0.70999999999999375</c:v>
                </c:pt>
                <c:pt idx="6">
                  <c:v>0.62000000000000455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Results!$F$204:$F$210</c15:f>
                <c15:dlblRangeCache>
                  <c:ptCount val="7"/>
                  <c:pt idx="0">
                    <c:v>$146.37</c:v>
                  </c:pt>
                  <c:pt idx="1">
                    <c:v>$136.37</c:v>
                  </c:pt>
                  <c:pt idx="2">
                    <c:v>$122.04</c:v>
                  </c:pt>
                  <c:pt idx="3">
                    <c:v>$118.28</c:v>
                  </c:pt>
                  <c:pt idx="4">
                    <c:v>$116.80</c:v>
                  </c:pt>
                  <c:pt idx="5">
                    <c:v>$116.02</c:v>
                  </c:pt>
                  <c:pt idx="6">
                    <c:v>$115.93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4017-604E-850C-72492FA4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7499520"/>
        <c:axId val="1957690336"/>
      </c:barChart>
      <c:catAx>
        <c:axId val="19574995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690336"/>
        <c:crosses val="autoZero"/>
        <c:auto val="1"/>
        <c:lblAlgn val="ctr"/>
        <c:lblOffset val="100"/>
        <c:noMultiLvlLbl val="0"/>
      </c:catAx>
      <c:valAx>
        <c:axId val="1957690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b="1"/>
                  <a:t>CO</a:t>
                </a:r>
                <a:r>
                  <a:rPr lang="en-US" b="1" baseline="-25000"/>
                  <a:t>2</a:t>
                </a:r>
                <a:r>
                  <a:rPr lang="en-US" b="1" baseline="0"/>
                  <a:t> Price ($/ton)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5223147106611673"/>
              <c:y val="8.16666666666666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499520"/>
        <c:crossesAt val="1"/>
        <c:crossBetween val="between"/>
        <c:majorUnit val="3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026012373453319"/>
          <c:y val="0.93090266841644798"/>
          <c:w val="0.29757499062617171"/>
          <c:h val="4.9652887139107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sz="1600" b="1"/>
              <a:t>Different Vacuum</a:t>
            </a:r>
            <a:r>
              <a:rPr lang="en-US" sz="1600" b="1" baseline="0"/>
              <a:t> Pumps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'Process and cost assumptions'!$B$136</c:f>
              <c:strCache>
                <c:ptCount val="1"/>
                <c:pt idx="0">
                  <c:v>10 kilotons/year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'Process and cost assumptions'!$A$137:$A$140</c:f>
              <c:strCache>
                <c:ptCount val="4"/>
                <c:pt idx="0">
                  <c:v>150 Torr</c:v>
                </c:pt>
                <c:pt idx="1">
                  <c:v>70 Torr</c:v>
                </c:pt>
                <c:pt idx="2">
                  <c:v>20 Torr</c:v>
                </c:pt>
                <c:pt idx="3">
                  <c:v>2 Torr</c:v>
                </c:pt>
              </c:strCache>
            </c:strRef>
          </c:cat>
          <c:val>
            <c:numRef>
              <c:f>'Process and cost assumptions'!$B$137:$B$140</c:f>
              <c:numCache>
                <c:formatCode>"$"#,##0</c:formatCode>
                <c:ptCount val="4"/>
                <c:pt idx="0">
                  <c:v>519</c:v>
                </c:pt>
                <c:pt idx="1">
                  <c:v>537</c:v>
                </c:pt>
                <c:pt idx="2">
                  <c:v>621</c:v>
                </c:pt>
                <c:pt idx="3">
                  <c:v>1625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4-FF46-89C1-09150E7125C7}"/>
            </c:ext>
          </c:extLst>
        </c:ser>
        <c:ser>
          <c:idx val="1"/>
          <c:order val="1"/>
          <c:tx>
            <c:strRef>
              <c:f>'Process and cost assumptions'!$C$136</c:f>
              <c:strCache>
                <c:ptCount val="1"/>
                <c:pt idx="0">
                  <c:v>1 megaton/year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'Process and cost assumptions'!$A$137:$A$140</c:f>
              <c:strCache>
                <c:ptCount val="4"/>
                <c:pt idx="0">
                  <c:v>150 Torr</c:v>
                </c:pt>
                <c:pt idx="1">
                  <c:v>70 Torr</c:v>
                </c:pt>
                <c:pt idx="2">
                  <c:v>20 Torr</c:v>
                </c:pt>
                <c:pt idx="3">
                  <c:v>2 Torr</c:v>
                </c:pt>
              </c:strCache>
            </c:strRef>
          </c:cat>
          <c:val>
            <c:numRef>
              <c:f>'Process and cost assumptions'!$C$137:$C$140</c:f>
              <c:numCache>
                <c:formatCode>"$"#,##0</c:formatCode>
                <c:ptCount val="4"/>
                <c:pt idx="0">
                  <c:v>112</c:v>
                </c:pt>
                <c:pt idx="1">
                  <c:v>117</c:v>
                </c:pt>
                <c:pt idx="2">
                  <c:v>132</c:v>
                </c:pt>
                <c:pt idx="3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4-FF46-89C1-09150E712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103440"/>
        <c:axId val="813455152"/>
      </c:barChart>
      <c:catAx>
        <c:axId val="801103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400" b="1"/>
                  <a:t>Vacuum Pump</a:t>
                </a:r>
                <a:r>
                  <a:rPr lang="en-US" sz="1400" b="1" baseline="0"/>
                  <a:t> Base Pressure</a:t>
                </a:r>
                <a:endParaRPr lang="en-US" sz="1400" b="1"/>
              </a:p>
            </c:rich>
          </c:tx>
          <c:layout>
            <c:manualLayout>
              <c:xMode val="edge"/>
              <c:yMode val="edge"/>
              <c:x val="0.30409715089961581"/>
              <c:y val="0.85459098862642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13455152"/>
        <c:crosses val="autoZero"/>
        <c:auto val="1"/>
        <c:lblAlgn val="ctr"/>
        <c:lblOffset val="100"/>
        <c:noMultiLvlLbl val="0"/>
      </c:catAx>
      <c:valAx>
        <c:axId val="813455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400" b="1"/>
                  <a:t>CO</a:t>
                </a:r>
                <a:r>
                  <a:rPr lang="en-US" sz="1400" b="1" baseline="-25000"/>
                  <a:t>2</a:t>
                </a:r>
                <a:r>
                  <a:rPr lang="en-US" sz="1400" b="1" baseline="0"/>
                  <a:t> Price ($/Ton)</a:t>
                </a:r>
                <a:endParaRPr 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011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>
                <a:solidFill>
                  <a:schemeClr val="tx1"/>
                </a:solidFill>
              </a:rPr>
              <a:t>Concentration vs. 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56541795911869"/>
          <c:y val="0.12263888888888889"/>
          <c:w val="0.66013242662848959"/>
          <c:h val="0.71388888888888891"/>
        </c:manualLayout>
      </c:layout>
      <c:lineChart>
        <c:grouping val="standard"/>
        <c:varyColors val="0"/>
        <c:ser>
          <c:idx val="0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acidity'!$A$6:$A$146</c:f>
              <c:numCache>
                <c:formatCode>0.00E+00</c:formatCode>
                <c:ptCount val="14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  <c:pt idx="81">
                  <c:v>1.0940768713502265E-5</c:v>
                </c:pt>
                <c:pt idx="82">
                  <c:v>8.4141892058832465E-6</c:v>
                </c:pt>
                <c:pt idx="83">
                  <c:v>6.4235036674791253E-6</c:v>
                </c:pt>
                <c:pt idx="84">
                  <c:v>4.862418904101922E-6</c:v>
                </c:pt>
                <c:pt idx="85">
                  <c:v>3.6455557214278915E-6</c:v>
                </c:pt>
                <c:pt idx="86">
                  <c:v>2.7041389092563821E-6</c:v>
                </c:pt>
                <c:pt idx="87">
                  <c:v>1.9825171644743584E-6</c:v>
                </c:pt>
                <c:pt idx="88">
                  <c:v>1.4354157163059531E-6</c:v>
                </c:pt>
                <c:pt idx="89">
                  <c:v>1.0258290970854542E-6</c:v>
                </c:pt>
                <c:pt idx="90">
                  <c:v>7.234530929551166E-7</c:v>
                </c:pt>
                <c:pt idx="91">
                  <c:v>5.0353979081413011E-7</c:v>
                </c:pt>
                <c:pt idx="92">
                  <c:v>3.4605039930018871E-7</c:v>
                </c:pt>
                <c:pt idx="93">
                  <c:v>2.3498842702266509E-7</c:v>
                </c:pt>
                <c:pt idx="94">
                  <c:v>1.5782314269507175E-7</c:v>
                </c:pt>
                <c:pt idx="95">
                  <c:v>1.0495168040560005E-7</c:v>
                </c:pt>
                <c:pt idx="96">
                  <c:v>6.918437266217189E-8</c:v>
                </c:pt>
                <c:pt idx="97">
                  <c:v>4.5261670834071887E-8</c:v>
                </c:pt>
                <c:pt idx="98">
                  <c:v>2.9419638510157709E-8</c:v>
                </c:pt>
                <c:pt idx="99">
                  <c:v>1.9018204756685863E-8</c:v>
                </c:pt>
                <c:pt idx="100">
                  <c:v>1.2238299718050722E-8</c:v>
                </c:pt>
                <c:pt idx="101">
                  <c:v>7.8457718825249225E-9</c:v>
                </c:pt>
                <c:pt idx="102">
                  <c:v>5.0142678746227503E-9</c:v>
                </c:pt>
                <c:pt idx="103">
                  <c:v>3.1965745040752546E-9</c:v>
                </c:pt>
                <c:pt idx="104">
                  <c:v>2.0336415465347846E-9</c:v>
                </c:pt>
                <c:pt idx="105">
                  <c:v>1.2916562891255322E-9</c:v>
                </c:pt>
                <c:pt idx="106">
                  <c:v>8.1929878265047393E-10</c:v>
                </c:pt>
                <c:pt idx="107">
                  <c:v>5.1912774162139209E-10</c:v>
                </c:pt>
                <c:pt idx="108">
                  <c:v>3.2865096146676254E-10</c:v>
                </c:pt>
                <c:pt idx="109">
                  <c:v>2.0792114737678272E-10</c:v>
                </c:pt>
                <c:pt idx="110">
                  <c:v>1.3146958463948284E-10</c:v>
                </c:pt>
                <c:pt idx="111">
                  <c:v>8.309267616423688E-11</c:v>
                </c:pt>
                <c:pt idx="112">
                  <c:v>5.2498805312249651E-11</c:v>
                </c:pt>
                <c:pt idx="113">
                  <c:v>3.3160112606715995E-11</c:v>
                </c:pt>
                <c:pt idx="114">
                  <c:v>2.0940496192604672E-11</c:v>
                </c:pt>
                <c:pt idx="115">
                  <c:v>1.3221534634615015E-11</c:v>
                </c:pt>
                <c:pt idx="116">
                  <c:v>8.3467279010100735E-12</c:v>
                </c:pt>
                <c:pt idx="117">
                  <c:v>5.2686885626462359E-12</c:v>
                </c:pt>
                <c:pt idx="118">
                  <c:v>3.325450943411474E-12</c:v>
                </c:pt>
                <c:pt idx="119">
                  <c:v>2.0987859885179991E-12</c:v>
                </c:pt>
                <c:pt idx="120">
                  <c:v>1.3245293930026226E-12</c:v>
                </c:pt>
                <c:pt idx="121">
                  <c:v>8.3586442144077911E-13</c:v>
                </c:pt>
                <c:pt idx="122">
                  <c:v>5.274664237435464E-13</c:v>
                </c:pt>
                <c:pt idx="123">
                  <c:v>3.328447218316052E-13</c:v>
                </c:pt>
                <c:pt idx="124">
                  <c:v>2.100288218253432E-13</c:v>
                </c:pt>
                <c:pt idx="125">
                  <c:v>1.3252825044685584E-13</c:v>
                </c:pt>
                <c:pt idx="126">
                  <c:v>8.3624195616509574E-14</c:v>
                </c:pt>
                <c:pt idx="127">
                  <c:v>5.2765567312695674E-14</c:v>
                </c:pt>
                <c:pt idx="128">
                  <c:v>3.3293958466582192E-14</c:v>
                </c:pt>
                <c:pt idx="129">
                  <c:v>2.100763712261501E-14</c:v>
                </c:pt>
                <c:pt idx="130">
                  <c:v>1.3255208373345701E-14</c:v>
                </c:pt>
                <c:pt idx="131">
                  <c:v>8.3636141405140954E-15</c:v>
                </c:pt>
                <c:pt idx="132">
                  <c:v>5.2771554727741153E-15</c:v>
                </c:pt>
                <c:pt idx="133">
                  <c:v>3.3296959417251623E-15</c:v>
                </c:pt>
                <c:pt idx="134">
                  <c:v>2.1009141214402274E-15</c:v>
                </c:pt>
                <c:pt idx="135">
                  <c:v>1.3255962226296396E-15</c:v>
                </c:pt>
                <c:pt idx="136">
                  <c:v>8.3639919704885379E-16</c:v>
                </c:pt>
                <c:pt idx="137">
                  <c:v>5.2773448397176012E-16</c:v>
                </c:pt>
                <c:pt idx="138">
                  <c:v>3.3297908513668638E-16</c:v>
                </c:pt>
                <c:pt idx="139">
                  <c:v>2.1009616894773206E-16</c:v>
                </c:pt>
                <c:pt idx="140">
                  <c:v>1.3256200633360815E-16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E-0641-88E3-58D9E131BD06}"/>
            </c:ext>
          </c:extLst>
        </c:ser>
        <c:ser>
          <c:idx val="1"/>
          <c:order val="1"/>
          <c:tx>
            <c:strRef>
              <c:f>'Carbonate acidity'!$B$5</c:f>
              <c:strCache>
                <c:ptCount val="1"/>
                <c:pt idx="0">
                  <c:v>HCO₃⁻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acidity'!$B$6:$B$146</c:f>
              <c:numCache>
                <c:formatCode>0.00E+00</c:formatCode>
                <c:ptCount val="141"/>
                <c:pt idx="0">
                  <c:v>3.0368411901185413E-9</c:v>
                </c:pt>
                <c:pt idx="1">
                  <c:v>3.8231551793663671E-9</c:v>
                </c:pt>
                <c:pt idx="2">
                  <c:v>4.8130650428499888E-9</c:v>
                </c:pt>
                <c:pt idx="3">
                  <c:v>6.0592864586832253E-9</c:v>
                </c:pt>
                <c:pt idx="4">
                  <c:v>7.6281842602297465E-9</c:v>
                </c:pt>
                <c:pt idx="5">
                  <c:v>9.6033063893306589E-9</c:v>
                </c:pt>
                <c:pt idx="6">
                  <c:v>1.2089832786294652E-8</c:v>
                </c:pt>
                <c:pt idx="7">
                  <c:v>1.5220176062324102E-8</c:v>
                </c:pt>
                <c:pt idx="8">
                  <c:v>1.9161032093419471E-8</c:v>
                </c:pt>
                <c:pt idx="9">
                  <c:v>2.412225581987201E-8</c:v>
                </c:pt>
                <c:pt idx="10">
                  <c:v>3.0368034625686902E-8</c:v>
                </c:pt>
                <c:pt idx="11">
                  <c:v>3.8230953854643209E-8</c:v>
                </c:pt>
                <c:pt idx="12">
                  <c:v>4.8129702763703188E-8</c:v>
                </c:pt>
                <c:pt idx="13">
                  <c:v>6.0591362648697687E-8</c:v>
                </c:pt>
                <c:pt idx="14">
                  <c:v>7.6279462209428816E-8</c:v>
                </c:pt>
                <c:pt idx="15">
                  <c:v>9.6029291262077449E-8</c:v>
                </c:pt>
                <c:pt idx="16">
                  <c:v>1.2089234871966343E-7</c:v>
                </c:pt>
                <c:pt idx="17">
                  <c:v>1.5219228446793826E-7</c:v>
                </c:pt>
                <c:pt idx="18">
                  <c:v>1.9159530253581999E-7</c:v>
                </c:pt>
                <c:pt idx="19">
                  <c:v>2.4119875623126011E-7</c:v>
                </c:pt>
                <c:pt idx="20">
                  <c:v>3.0364262385759108E-7</c:v>
                </c:pt>
                <c:pt idx="21">
                  <c:v>3.8224975492071849E-7</c:v>
                </c:pt>
                <c:pt idx="22">
                  <c:v>4.8120228166032366E-7</c:v>
                </c:pt>
                <c:pt idx="23">
                  <c:v>6.0576347357973618E-7</c:v>
                </c:pt>
                <c:pt idx="24">
                  <c:v>7.6255666441960598E-7</c:v>
                </c:pt>
                <c:pt idx="25">
                  <c:v>9.5991581231936222E-7</c:v>
                </c:pt>
                <c:pt idx="26">
                  <c:v>1.2083258976992235E-6</c:v>
                </c:pt>
                <c:pt idx="27">
                  <c:v>1.5209758771697625E-6</c:v>
                </c:pt>
                <c:pt idx="28">
                  <c:v>1.9144524782352624E-6</c:v>
                </c:pt>
                <c:pt idx="29">
                  <c:v>2.4096099442267768E-6</c:v>
                </c:pt>
                <c:pt idx="30">
                  <c:v>3.032659142133672E-6</c:v>
                </c:pt>
                <c:pt idx="31">
                  <c:v>3.8165294451773473E-6</c:v>
                </c:pt>
                <c:pt idx="32">
                  <c:v>4.8025686772201669E-6</c:v>
                </c:pt>
                <c:pt idx="33">
                  <c:v>6.0426602391453187E-6</c:v>
                </c:pt>
                <c:pt idx="34">
                  <c:v>7.6018522074344E-6</c:v>
                </c:pt>
                <c:pt idx="35">
                  <c:v>9.561610208224406E-6</c:v>
                </c:pt>
                <c:pt idx="36">
                  <c:v>1.2023823086150228E-5</c:v>
                </c:pt>
                <c:pt idx="37">
                  <c:v>1.5115705597294097E-5</c:v>
                </c:pt>
                <c:pt idx="38">
                  <c:v>1.8995751643543136E-5</c:v>
                </c:pt>
                <c:pt idx="39">
                  <c:v>2.3860888378135943E-5</c:v>
                </c:pt>
                <c:pt idx="40">
                  <c:v>2.9954955359723773E-5</c:v>
                </c:pt>
                <c:pt idx="41">
                  <c:v>3.757856768760838E-5</c:v>
                </c:pt>
                <c:pt idx="42">
                  <c:v>4.7100293936704911E-5</c:v>
                </c:pt>
                <c:pt idx="43">
                  <c:v>5.8968855372406337E-5</c:v>
                </c:pt>
                <c:pt idx="44">
                  <c:v>7.3725688593256691E-5</c:v>
                </c:pt>
                <c:pt idx="45">
                  <c:v>9.2016657596142369E-5</c:v>
                </c:pt>
                <c:pt idx="46">
                  <c:v>1.146009027911202E-4</c:v>
                </c:pt>
                <c:pt idx="47">
                  <c:v>1.4235374706816629E-4</c:v>
                </c:pt>
                <c:pt idx="48">
                  <c:v>1.7625928343080238E-4</c:v>
                </c:pt>
                <c:pt idx="49">
                  <c:v>2.173869245422353E-4</c:v>
                </c:pt>
                <c:pt idx="50">
                  <c:v>2.6684521596421112E-4</c:v>
                </c:pt>
                <c:pt idx="51">
                  <c:v>3.2570634052577749E-4</c:v>
                </c:pt>
                <c:pt idx="52">
                  <c:v>3.9489703693802828E-4</c:v>
                </c:pt>
                <c:pt idx="53">
                  <c:v>4.7505728657049024E-4</c:v>
                </c:pt>
                <c:pt idx="54">
                  <c:v>5.6637773274710005E-4</c:v>
                </c:pt>
                <c:pt idx="55">
                  <c:v>6.684394811645153E-4</c:v>
                </c:pt>
                <c:pt idx="56">
                  <c:v>7.8009219229245477E-4</c:v>
                </c:pt>
                <c:pt idx="57">
                  <c:v>8.994120717859339E-4</c:v>
                </c:pt>
                <c:pt idx="58">
                  <c:v>1.0237737963189706E-3</c:v>
                </c:pt>
                <c:pt idx="59">
                  <c:v>1.1500466779203725E-3</c:v>
                </c:pt>
                <c:pt idx="60">
                  <c:v>1.2748906281472726E-3</c:v>
                </c:pt>
                <c:pt idx="61">
                  <c:v>1.3950950373446207E-3</c:v>
                </c:pt>
                <c:pt idx="62">
                  <c:v>1.5078886734689464E-3</c:v>
                </c:pt>
                <c:pt idx="63">
                  <c:v>1.6111587239848431E-3</c:v>
                </c:pt>
                <c:pt idx="64">
                  <c:v>1.7035470377884541E-3</c:v>
                </c:pt>
                <c:pt idx="65">
                  <c:v>1.7844271528592007E-3</c:v>
                </c:pt>
                <c:pt idx="66">
                  <c:v>1.8537924248812172E-3</c:v>
                </c:pt>
                <c:pt idx="67">
                  <c:v>1.9120964535741666E-3</c:v>
                </c:pt>
                <c:pt idx="68">
                  <c:v>1.960083543853327E-3</c:v>
                </c:pt>
                <c:pt idx="69">
                  <c:v>1.9986354592653162E-3</c:v>
                </c:pt>
                <c:pt idx="70">
                  <c:v>2.0286477514344027E-3</c:v>
                </c:pt>
                <c:pt idx="71">
                  <c:v>2.0509385908402699E-3</c:v>
                </c:pt>
                <c:pt idx="72">
                  <c:v>2.0661866720696506E-3</c:v>
                </c:pt>
                <c:pt idx="73">
                  <c:v>2.0748920306971723E-3</c:v>
                </c:pt>
                <c:pt idx="74">
                  <c:v>2.0773534035603935E-3</c:v>
                </c:pt>
                <c:pt idx="75">
                  <c:v>2.0736570209788623E-3</c:v>
                </c:pt>
                <c:pt idx="76">
                  <c:v>2.0636736799323789E-3</c:v>
                </c:pt>
                <c:pt idx="77">
                  <c:v>2.0470631803936852E-3</c:v>
                </c:pt>
                <c:pt idx="78">
                  <c:v>2.0232874988612296E-3</c:v>
                </c:pt>
                <c:pt idx="79">
                  <c:v>1.9916362737541593E-3</c:v>
                </c:pt>
                <c:pt idx="80">
                  <c:v>1.9512700408952967E-3</c:v>
                </c:pt>
                <c:pt idx="81">
                  <c:v>1.9012876937479443E-3</c:v>
                </c:pt>
                <c:pt idx="82">
                  <c:v>1.8408240241281877E-3</c:v>
                </c:pt>
                <c:pt idx="83">
                  <c:v>1.7691798176968981E-3</c:v>
                </c:pt>
                <c:pt idx="84">
                  <c:v>1.6859798163891488E-3</c:v>
                </c:pt>
                <c:pt idx="85">
                  <c:v>1.5913427897169914E-3</c:v>
                </c:pt>
                <c:pt idx="86">
                  <c:v>1.4860348592251511E-3</c:v>
                </c:pt>
                <c:pt idx="87">
                  <c:v>1.3715667747617468E-3</c:v>
                </c:pt>
                <c:pt idx="88">
                  <c:v>1.2501948253532144E-3</c:v>
                </c:pt>
                <c:pt idx="89">
                  <c:v>1.1247992379234525E-3</c:v>
                </c:pt>
                <c:pt idx="90">
                  <c:v>9.9864326569352839E-4</c:v>
                </c:pt>
                <c:pt idx="91">
                  <c:v>8.7505186578508182E-4</c:v>
                </c:pt>
                <c:pt idx="92">
                  <c:v>7.5707578354137074E-4</c:v>
                </c:pt>
                <c:pt idx="93">
                  <c:v>6.472118706581109E-4</c:v>
                </c:pt>
                <c:pt idx="94">
                  <c:v>5.4723099426609654E-4</c:v>
                </c:pt>
                <c:pt idx="95">
                  <c:v>4.581307011725437E-4</c:v>
                </c:pt>
                <c:pt idx="96">
                  <c:v>3.8019640610061415E-4</c:v>
                </c:pt>
                <c:pt idx="97">
                  <c:v>3.1313425678549165E-4</c:v>
                </c:pt>
                <c:pt idx="98">
                  <c:v>2.5623433972017109E-4</c:v>
                </c:pt>
                <c:pt idx="99">
                  <c:v>2.0853046845492626E-4</c:v>
                </c:pt>
                <c:pt idx="100">
                  <c:v>1.6893556356291093E-4</c:v>
                </c:pt>
                <c:pt idx="101">
                  <c:v>1.363438887963036E-4</c:v>
                </c:pt>
                <c:pt idx="102">
                  <c:v>1.0970022828302734E-4</c:v>
                </c:pt>
                <c:pt idx="103">
                  <c:v>8.8040972514830511E-5</c:v>
                </c:pt>
                <c:pt idx="104">
                  <c:v>7.0513846479488751E-5</c:v>
                </c:pt>
                <c:pt idx="105">
                  <c:v>5.6382842001587617E-5</c:v>
                </c:pt>
                <c:pt idx="106">
                  <c:v>4.5023816896822904E-5</c:v>
                </c:pt>
                <c:pt idx="107">
                  <c:v>3.5914864951688183E-5</c:v>
                </c:pt>
                <c:pt idx="108">
                  <c:v>2.8624302124160917E-5</c:v>
                </c:pt>
                <c:pt idx="109">
                  <c:v>2.2798100461571605E-5</c:v>
                </c:pt>
                <c:pt idx="110">
                  <c:v>1.8147854591021878E-5</c:v>
                </c:pt>
                <c:pt idx="111">
                  <c:v>1.44398521501214E-5</c:v>
                </c:pt>
                <c:pt idx="112">
                  <c:v>1.1485487156533838E-5</c:v>
                </c:pt>
                <c:pt idx="113">
                  <c:v>9.1330533947343267E-6</c:v>
                </c:pt>
                <c:pt idx="114">
                  <c:v>7.2608416967369895E-6</c:v>
                </c:pt>
                <c:pt idx="115">
                  <c:v>5.7714091945211595E-6</c:v>
                </c:pt>
                <c:pt idx="116">
                  <c:v>4.5868681445728938E-6</c:v>
                </c:pt>
                <c:pt idx="117">
                  <c:v>3.6450419237650393E-6</c:v>
                </c:pt>
                <c:pt idx="118">
                  <c:v>2.8963466918964973E-6</c:v>
                </c:pt>
                <c:pt idx="119">
                  <c:v>2.3012730747808088E-6</c:v>
                </c:pt>
                <c:pt idx="120">
                  <c:v>1.8283595321048257E-6</c:v>
                </c:pt>
                <c:pt idx="121">
                  <c:v>1.4525658843019012E-6</c:v>
                </c:pt>
                <c:pt idx="122">
                  <c:v>1.1539707997880417E-6</c:v>
                </c:pt>
                <c:pt idx="123">
                  <c:v>9.1673048662321518E-7</c:v>
                </c:pt>
                <c:pt idx="124">
                  <c:v>7.2824732183975428E-7</c:v>
                </c:pt>
                <c:pt idx="125">
                  <c:v>5.7850679539142359E-7</c:v>
                </c:pt>
                <c:pt idx="126">
                  <c:v>4.5954913534737519E-7</c:v>
                </c:pt>
                <c:pt idx="127">
                  <c:v>3.650485366503063E-7</c:v>
                </c:pt>
                <c:pt idx="128">
                  <c:v>2.8997825589903159E-7</c:v>
                </c:pt>
                <c:pt idx="129">
                  <c:v>2.3034416057435566E-7</c:v>
                </c:pt>
                <c:pt idx="130">
                  <c:v>1.8297281062598758E-7</c:v>
                </c:pt>
                <c:pt idx="131">
                  <c:v>1.4534295584725395E-7</c:v>
                </c:pt>
                <c:pt idx="132">
                  <c:v>1.1545158226950557E-7</c:v>
                </c:pt>
                <c:pt idx="133">
                  <c:v>9.1707441360880624E-8</c:v>
                </c:pt>
                <c:pt idx="134">
                  <c:v>7.2846434553943257E-8</c:v>
                </c:pt>
                <c:pt idx="135">
                  <c:v>5.7864373833559741E-8</c:v>
                </c:pt>
                <c:pt idx="136">
                  <c:v>4.5963554564004217E-8</c:v>
                </c:pt>
                <c:pt idx="137">
                  <c:v>3.6510306043358596E-8</c:v>
                </c:pt>
                <c:pt idx="138">
                  <c:v>2.9001265937093998E-8</c:v>
                </c:pt>
                <c:pt idx="139">
                  <c:v>2.30365868344403E-8</c:v>
                </c:pt>
                <c:pt idx="140">
                  <c:v>1.8298650762710018E-8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DE-0641-88E3-58D9E131BD06}"/>
            </c:ext>
          </c:extLst>
        </c:ser>
        <c:ser>
          <c:idx val="2"/>
          <c:order val="2"/>
          <c:tx>
            <c:strRef>
              <c:f>'Carbonate acidity'!$C$5</c:f>
              <c:strCache>
                <c:ptCount val="1"/>
                <c:pt idx="0">
                  <c:v>CO₃²⁻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acidity'!$C$6:$C$146</c:f>
              <c:numCache>
                <c:formatCode>0.00E+00</c:formatCode>
                <c:ptCount val="141"/>
                <c:pt idx="0">
                  <c:v>3.6510861564607388E-18</c:v>
                </c:pt>
                <c:pt idx="1">
                  <c:v>5.786579526247113E-18</c:v>
                </c:pt>
                <c:pt idx="2">
                  <c:v>9.1711063721527455E-18</c:v>
                </c:pt>
                <c:pt idx="3">
                  <c:v>1.4535215822858354E-17</c:v>
                </c:pt>
                <c:pt idx="4">
                  <c:v>2.3036748180224406E-17</c:v>
                </c:pt>
                <c:pt idx="5">
                  <c:v>3.6510752588410108E-17</c:v>
                </c:pt>
                <c:pt idx="6">
                  <c:v>5.7865577826694664E-17</c:v>
                </c:pt>
                <c:pt idx="7">
                  <c:v>9.1710629880928596E-17</c:v>
                </c:pt>
                <c:pt idx="8">
                  <c:v>1.4535129260482507E-16</c:v>
                </c:pt>
                <c:pt idx="9">
                  <c:v>2.3036575466090208E-16</c:v>
                </c:pt>
                <c:pt idx="10">
                  <c:v>3.6510407979693479E-16</c:v>
                </c:pt>
                <c:pt idx="11">
                  <c:v>5.7864890245140868E-16</c:v>
                </c:pt>
                <c:pt idx="12">
                  <c:v>9.1709257983483561E-16</c:v>
                </c:pt>
                <c:pt idx="13">
                  <c:v>1.4534855532994406E-15</c:v>
                </c:pt>
                <c:pt idx="14">
                  <c:v>2.3036029313070511E-15</c:v>
                </c:pt>
                <c:pt idx="15">
                  <c:v>3.6509318274020578E-15</c:v>
                </c:pt>
                <c:pt idx="16">
                  <c:v>5.7862716028793129E-15</c:v>
                </c:pt>
                <c:pt idx="17">
                  <c:v>9.1704919932711791E-15</c:v>
                </c:pt>
                <c:pt idx="18">
                  <c:v>1.4533989998460522E-14</c:v>
                </c:pt>
                <c:pt idx="19">
                  <c:v>2.3034302395844517E-14</c:v>
                </c:pt>
                <c:pt idx="20">
                  <c:v>3.6505872749789444E-14</c:v>
                </c:pt>
                <c:pt idx="21">
                  <c:v>5.7855841627223738E-14</c:v>
                </c:pt>
                <c:pt idx="22">
                  <c:v>9.1691204509803401E-14</c:v>
                </c:pt>
                <c:pt idx="23">
                  <c:v>1.4531253615626649E-13</c:v>
                </c:pt>
                <c:pt idx="24">
                  <c:v>2.3028843106180119E-13</c:v>
                </c:pt>
                <c:pt idx="25">
                  <c:v>3.6494981320425974E-13</c:v>
                </c:pt>
                <c:pt idx="26">
                  <c:v>5.7834113597161467E-13</c:v>
                </c:pt>
                <c:pt idx="27">
                  <c:v>9.1647859497649594E-13</c:v>
                </c:pt>
                <c:pt idx="28">
                  <c:v>1.4522607184483165E-12</c:v>
                </c:pt>
                <c:pt idx="29">
                  <c:v>2.3011596319400995E-12</c:v>
                </c:pt>
                <c:pt idx="30">
                  <c:v>3.6460582289046674E-12</c:v>
                </c:pt>
                <c:pt idx="31">
                  <c:v>5.7765510717361782E-12</c:v>
                </c:pt>
                <c:pt idx="32">
                  <c:v>9.1511059597637514E-12</c:v>
                </c:pt>
                <c:pt idx="33">
                  <c:v>1.4495332300111982E-11</c:v>
                </c:pt>
                <c:pt idx="34">
                  <c:v>2.2957226652083388E-11</c:v>
                </c:pt>
                <c:pt idx="35">
                  <c:v>3.6352228129173542E-11</c:v>
                </c:pt>
                <c:pt idx="36">
                  <c:v>5.7549635537951593E-11</c:v>
                </c:pt>
                <c:pt idx="37">
                  <c:v>9.1081133079274016E-11</c:v>
                </c:pt>
                <c:pt idx="38">
                  <c:v>1.4409751217615593E-10</c:v>
                </c:pt>
                <c:pt idx="39">
                  <c:v>2.2786971497004875E-10</c:v>
                </c:pt>
                <c:pt idx="40">
                  <c:v>3.6013777469548134E-10</c:v>
                </c:pt>
                <c:pt idx="41">
                  <c:v>5.6877463823701092E-10</c:v>
                </c:pt>
                <c:pt idx="42">
                  <c:v>8.9747759900913766E-10</c:v>
                </c:pt>
                <c:pt idx="43">
                  <c:v>1.414564314642276E-9</c:v>
                </c:pt>
                <c:pt idx="44">
                  <c:v>2.2264802010502936E-9</c:v>
                </c:pt>
                <c:pt idx="45">
                  <c:v>3.4983757502913185E-9</c:v>
                </c:pt>
                <c:pt idx="46">
                  <c:v>5.485144068317159E-9</c:v>
                </c:pt>
                <c:pt idx="47">
                  <c:v>8.57766149095282E-9</c:v>
                </c:pt>
                <c:pt idx="48">
                  <c:v>1.3370633980131969E-8</c:v>
                </c:pt>
                <c:pt idx="49">
                  <c:v>2.0760290123583627E-8</c:v>
                </c:pt>
                <c:pt idx="50">
                  <c:v>3.2081851270157371E-8</c:v>
                </c:pt>
                <c:pt idx="51">
                  <c:v>4.9297649538978499E-8</c:v>
                </c:pt>
                <c:pt idx="52">
                  <c:v>7.5246079152549555E-8</c:v>
                </c:pt>
                <c:pt idx="53">
                  <c:v>1.1395830574453687E-7</c:v>
                </c:pt>
                <c:pt idx="54">
                  <c:v>1.7104334084070007E-7</c:v>
                </c:pt>
                <c:pt idx="55">
                  <c:v>2.5413360282076641E-7</c:v>
                </c:pt>
                <c:pt idx="56">
                  <c:v>3.7337559801710683E-7</c:v>
                </c:pt>
                <c:pt idx="57">
                  <c:v>5.4194936568561417E-7</c:v>
                </c:pt>
                <c:pt idx="58">
                  <c:v>7.7661184379006731E-7</c:v>
                </c:pt>
                <c:pt idx="59">
                  <c:v>1.0982860509925406E-6</c:v>
                </c:pt>
                <c:pt idx="60">
                  <c:v>1.5327556602485191E-6</c:v>
                </c:pt>
                <c:pt idx="61">
                  <c:v>2.1115617864104831E-6</c:v>
                </c:pt>
                <c:pt idx="62">
                  <c:v>2.8732226343567898E-6</c:v>
                </c:pt>
                <c:pt idx="63">
                  <c:v>3.8649005848602785E-6</c:v>
                </c:pt>
                <c:pt idx="64">
                  <c:v>5.1446298075550133E-6</c:v>
                </c:pt>
                <c:pt idx="65">
                  <c:v>6.7842028202355843E-6</c:v>
                </c:pt>
                <c:pt idx="66">
                  <c:v>8.8728083946790516E-6</c:v>
                </c:pt>
                <c:pt idx="67">
                  <c:v>1.152152047599899E-5</c:v>
                </c:pt>
                <c:pt idx="68">
                  <c:v>1.4868754215508666E-5</c:v>
                </c:pt>
                <c:pt idx="69">
                  <c:v>1.9086820457579276E-5</c:v>
                </c:pt>
                <c:pt idx="70">
                  <c:v>2.4389710419161683E-5</c:v>
                </c:pt>
                <c:pt idx="71">
                  <c:v>3.1042211740181939E-5</c:v>
                </c:pt>
                <c:pt idx="72">
                  <c:v>3.9370375396079379E-5</c:v>
                </c:pt>
                <c:pt idx="73">
                  <c:v>4.9773193066475831E-5</c:v>
                </c:pt>
                <c:pt idx="74">
                  <c:v>6.2735069849652173E-5</c:v>
                </c:pt>
                <c:pt idx="75">
                  <c:v>7.8838241098184934E-5</c:v>
                </c:pt>
                <c:pt idx="76">
                  <c:v>9.8773632394983532E-5</c:v>
                </c:pt>
                <c:pt idx="77">
                  <c:v>1.2334775426460785E-4</c:v>
                </c:pt>
                <c:pt idx="78">
                  <c:v>1.5348205244730142E-4</c:v>
                </c:pt>
                <c:pt idx="79">
                  <c:v>1.9019978754865864E-4</c:v>
                </c:pt>
                <c:pt idx="80">
                  <c:v>2.3459425725028796E-4</c:v>
                </c:pt>
                <c:pt idx="81">
                  <c:v>2.877715375385539E-4</c:v>
                </c:pt>
                <c:pt idx="82">
                  <c:v>3.5076178666592896E-4</c:v>
                </c:pt>
                <c:pt idx="83">
                  <c:v>4.2439667863562296E-4</c:v>
                </c:pt>
                <c:pt idx="84">
                  <c:v>5.091577647067493E-4</c:v>
                </c:pt>
                <c:pt idx="85">
                  <c:v>6.0501165456158096E-4</c:v>
                </c:pt>
                <c:pt idx="86">
                  <c:v>7.1126100186559267E-4</c:v>
                </c:pt>
                <c:pt idx="87">
                  <c:v>8.2645070807377881E-4</c:v>
                </c:pt>
                <c:pt idx="88">
                  <c:v>9.4836975893047978E-4</c:v>
                </c:pt>
                <c:pt idx="89">
                  <c:v>1.0741749329794621E-3</c:v>
                </c:pt>
                <c:pt idx="90">
                  <c:v>1.2006332812135167E-3</c:v>
                </c:pt>
                <c:pt idx="91">
                  <c:v>1.3244445944241043E-3</c:v>
                </c:pt>
                <c:pt idx="92">
                  <c:v>1.4425781660593294E-3</c:v>
                </c:pt>
                <c:pt idx="93">
                  <c:v>1.5525531409148667E-3</c:v>
                </c:pt>
                <c:pt idx="94">
                  <c:v>1.6526111825912084E-3</c:v>
                </c:pt>
                <c:pt idx="95">
                  <c:v>1.7417643471470507E-3</c:v>
                </c:pt>
                <c:pt idx="96">
                  <c:v>1.8197344095267237E-3</c:v>
                </c:pt>
                <c:pt idx="97">
                  <c:v>1.8868204815436743E-3</c:v>
                </c:pt>
                <c:pt idx="98">
                  <c:v>1.9437362406413187E-3</c:v>
                </c:pt>
                <c:pt idx="99">
                  <c:v>1.9914505133403174E-3</c:v>
                </c:pt>
                <c:pt idx="100">
                  <c:v>2.0310521981373713E-3</c:v>
                </c:pt>
                <c:pt idx="101">
                  <c:v>2.0636482654318141E-3</c:v>
                </c:pt>
                <c:pt idx="102">
                  <c:v>2.0902947574490982E-3</c:v>
                </c:pt>
                <c:pt idx="103">
                  <c:v>2.1119558309106658E-3</c:v>
                </c:pt>
                <c:pt idx="104">
                  <c:v>2.1294841198789645E-3</c:v>
                </c:pt>
                <c:pt idx="105">
                  <c:v>2.1436158663421232E-3</c:v>
                </c:pt>
                <c:pt idx="106">
                  <c:v>2.1549753638043941E-3</c:v>
                </c:pt>
                <c:pt idx="107">
                  <c:v>2.1640846159205708E-3</c:v>
                </c:pt>
                <c:pt idx="108">
                  <c:v>2.1713753692248778E-3</c:v>
                </c:pt>
                <c:pt idx="109">
                  <c:v>2.1772016916172814E-3</c:v>
                </c:pt>
                <c:pt idx="110">
                  <c:v>2.1818520139393932E-3</c:v>
                </c:pt>
                <c:pt idx="111">
                  <c:v>2.1855600647572031E-3</c:v>
                </c:pt>
                <c:pt idx="112">
                  <c:v>2.1885144603446612E-3</c:v>
                </c:pt>
                <c:pt idx="113">
                  <c:v>2.1908669134451529E-3</c:v>
                </c:pt>
                <c:pt idx="114">
                  <c:v>2.1927391373627665E-3</c:v>
                </c:pt>
                <c:pt idx="115">
                  <c:v>2.1942285775839441E-3</c:v>
                </c:pt>
                <c:pt idx="116">
                  <c:v>2.1954131235086996E-3</c:v>
                </c:pt>
                <c:pt idx="117">
                  <c:v>2.1963549528075466E-3</c:v>
                </c:pt>
                <c:pt idx="118">
                  <c:v>2.1971036499826529E-3</c:v>
                </c:pt>
                <c:pt idx="119">
                  <c:v>2.1976987248264333E-3</c:v>
                </c:pt>
                <c:pt idx="120">
                  <c:v>2.1981716391433659E-3</c:v>
                </c:pt>
                <c:pt idx="121">
                  <c:v>2.1985474332798338E-3</c:v>
                </c:pt>
                <c:pt idx="122">
                  <c:v>2.198846028672746E-3</c:v>
                </c:pt>
                <c:pt idx="123">
                  <c:v>2.1990832691805326E-3</c:v>
                </c:pt>
                <c:pt idx="124">
                  <c:v>2.1992717524681317E-3</c:v>
                </c:pt>
                <c:pt idx="125">
                  <c:v>2.1994214930720806E-3</c:v>
                </c:pt>
                <c:pt idx="126">
                  <c:v>2.1995404507810287E-3</c:v>
                </c:pt>
                <c:pt idx="127">
                  <c:v>2.1996349514105842E-3</c:v>
                </c:pt>
                <c:pt idx="128">
                  <c:v>2.1997100217108069E-3</c:v>
                </c:pt>
                <c:pt idx="129">
                  <c:v>2.1997696558184181E-3</c:v>
                </c:pt>
                <c:pt idx="130">
                  <c:v>2.1998170271761187E-3</c:v>
                </c:pt>
                <c:pt idx="131">
                  <c:v>2.1998546570357897E-3</c:v>
                </c:pt>
                <c:pt idx="132">
                  <c:v>2.1998845484124539E-3</c:v>
                </c:pt>
                <c:pt idx="133">
                  <c:v>2.1999082925553098E-3</c:v>
                </c:pt>
                <c:pt idx="134">
                  <c:v>2.1999271535633452E-3</c:v>
                </c:pt>
                <c:pt idx="135">
                  <c:v>2.1999421356248407E-3</c:v>
                </c:pt>
                <c:pt idx="136">
                  <c:v>2.1999540364445996E-3</c:v>
                </c:pt>
                <c:pt idx="137">
                  <c:v>2.1999634896934291E-3</c:v>
                </c:pt>
                <c:pt idx="138">
                  <c:v>2.1999709987337301E-3</c:v>
                </c:pt>
                <c:pt idx="139">
                  <c:v>2.1999769634129555E-3</c:v>
                </c:pt>
                <c:pt idx="140">
                  <c:v>2.1999817013491048E-3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DE-0641-88E3-58D9E131BD06}"/>
            </c:ext>
          </c:extLst>
        </c:ser>
        <c:ser>
          <c:idx val="3"/>
          <c:order val="3"/>
          <c:tx>
            <c:strRef>
              <c:f>'Carbonate acidity'!$D$5</c:f>
              <c:strCache>
                <c:ptCount val="1"/>
                <c:pt idx="0">
                  <c:v>H⁺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acidity'!$D$6:$D$146</c:f>
              <c:numCache>
                <c:formatCode>0.00</c:formatCode>
                <c:ptCount val="141"/>
                <c:pt idx="0">
                  <c:v>1</c:v>
                </c:pt>
                <c:pt idx="1">
                  <c:v>0.79432823472428149</c:v>
                </c:pt>
                <c:pt idx="2">
                  <c:v>0.63095734448019325</c:v>
                </c:pt>
                <c:pt idx="3">
                  <c:v>0.50118723362727224</c:v>
                </c:pt>
                <c:pt idx="4" formatCode="0.00E+00">
                  <c:v>0.3981071705534972</c:v>
                </c:pt>
                <c:pt idx="5" formatCode="0.00E+00">
                  <c:v>0.31622776601683794</c:v>
                </c:pt>
                <c:pt idx="6" formatCode="0.00E+00">
                  <c:v>0.25118864315095801</c:v>
                </c:pt>
                <c:pt idx="7" formatCode="0.00E+00">
                  <c:v>0.19952623149688795</c:v>
                </c:pt>
                <c:pt idx="8" formatCode="0.00E+00">
                  <c:v>0.15848931924611132</c:v>
                </c:pt>
                <c:pt idx="9" formatCode="0.00E+00">
                  <c:v>0.12589254117941667</c:v>
                </c:pt>
                <c:pt idx="10" formatCode="0.00E+00">
                  <c:v>0.1</c:v>
                </c:pt>
                <c:pt idx="11" formatCode="0.00E+00">
                  <c:v>7.9432823472428096E-2</c:v>
                </c:pt>
                <c:pt idx="12" formatCode="0.00E+00">
                  <c:v>6.3095734448019317E-2</c:v>
                </c:pt>
                <c:pt idx="13" formatCode="0.00E+00">
                  <c:v>5.0118723362727206E-2</c:v>
                </c:pt>
                <c:pt idx="14" formatCode="0.00E+00">
                  <c:v>3.9810717055349727E-2</c:v>
                </c:pt>
                <c:pt idx="15" formatCode="0.00E+00">
                  <c:v>3.1622776601683784E-2</c:v>
                </c:pt>
                <c:pt idx="16" formatCode="0.00E+00">
                  <c:v>2.511886431509578E-2</c:v>
                </c:pt>
                <c:pt idx="17" formatCode="0.00E+00">
                  <c:v>1.9952623149688792E-2</c:v>
                </c:pt>
                <c:pt idx="18" formatCode="0.00E+00">
                  <c:v>1.5848931924611124E-2</c:v>
                </c:pt>
                <c:pt idx="19" formatCode="0.00E+00">
                  <c:v>1.2589254117941664E-2</c:v>
                </c:pt>
                <c:pt idx="20" formatCode="0.00E+00">
                  <c:v>0.01</c:v>
                </c:pt>
                <c:pt idx="21" formatCode="0.00E+00">
                  <c:v>7.9432823472428121E-3</c:v>
                </c:pt>
                <c:pt idx="22" formatCode="0.00E+00">
                  <c:v>6.3095734448019251E-3</c:v>
                </c:pt>
                <c:pt idx="23" formatCode="0.00E+00">
                  <c:v>5.0118723362727212E-3</c:v>
                </c:pt>
                <c:pt idx="24" formatCode="0.00E+00">
                  <c:v>3.9810717055349717E-3</c:v>
                </c:pt>
                <c:pt idx="25" formatCode="0.00E+00">
                  <c:v>3.1622776601683764E-3</c:v>
                </c:pt>
                <c:pt idx="26" formatCode="0.00E+00">
                  <c:v>2.5118864315095777E-3</c:v>
                </c:pt>
                <c:pt idx="27" formatCode="0.00E+00">
                  <c:v>1.9952623149688781E-3</c:v>
                </c:pt>
                <c:pt idx="28" formatCode="0.00E+00">
                  <c:v>1.5848931924611134E-3</c:v>
                </c:pt>
                <c:pt idx="29" formatCode="0.00E+00">
                  <c:v>1.2589254117941662E-3</c:v>
                </c:pt>
                <c:pt idx="30" formatCode="0.00E+00">
                  <c:v>1E-3</c:v>
                </c:pt>
                <c:pt idx="31" formatCode="0.00E+00">
                  <c:v>7.9432823472428099E-4</c:v>
                </c:pt>
                <c:pt idx="32" formatCode="0.00E+00">
                  <c:v>6.3095734448019244E-4</c:v>
                </c:pt>
                <c:pt idx="33" formatCode="0.00E+00">
                  <c:v>5.0118723362727209E-4</c:v>
                </c:pt>
                <c:pt idx="34" formatCode="0.00E+00">
                  <c:v>3.9810717055349708E-4</c:v>
                </c:pt>
                <c:pt idx="35" formatCode="0.00E+00">
                  <c:v>3.1622776601683783E-4</c:v>
                </c:pt>
                <c:pt idx="36" formatCode="0.00E+00">
                  <c:v>2.5118864315095774E-4</c:v>
                </c:pt>
                <c:pt idx="37" formatCode="0.00E+00">
                  <c:v>1.9952623149688758E-4</c:v>
                </c:pt>
                <c:pt idx="38" formatCode="0.00E+00">
                  <c:v>1.584893192461112E-4</c:v>
                </c:pt>
                <c:pt idx="39" formatCode="0.00E+00">
                  <c:v>1.2589254117941672E-4</c:v>
                </c:pt>
                <c:pt idx="40" formatCode="0.00E+00">
                  <c:v>1E-4</c:v>
                </c:pt>
                <c:pt idx="41" formatCode="General">
                  <c:v>7.9432823472428153E-5</c:v>
                </c:pt>
                <c:pt idx="42" formatCode="General">
                  <c:v>6.3095734448019279E-5</c:v>
                </c:pt>
                <c:pt idx="43" formatCode="General">
                  <c:v>5.0118723362727238E-5</c:v>
                </c:pt>
                <c:pt idx="44" formatCode="General">
                  <c:v>3.9810717055349634E-5</c:v>
                </c:pt>
                <c:pt idx="45" formatCode="General">
                  <c:v>3.1622776601683748E-5</c:v>
                </c:pt>
                <c:pt idx="46" formatCode="General">
                  <c:v>2.5118864315095791E-5</c:v>
                </c:pt>
                <c:pt idx="47" formatCode="General">
                  <c:v>1.9952623149688769E-5</c:v>
                </c:pt>
                <c:pt idx="48" formatCode="General">
                  <c:v>1.5848931924611131E-5</c:v>
                </c:pt>
                <c:pt idx="49" formatCode="General">
                  <c:v>1.2589254117941658E-5</c:v>
                </c:pt>
                <c:pt idx="50" formatCode="General">
                  <c:v>1.0000000000000001E-5</c:v>
                </c:pt>
                <c:pt idx="51" formatCode="General">
                  <c:v>7.9432823472428065E-6</c:v>
                </c:pt>
                <c:pt idx="52" formatCode="General">
                  <c:v>6.3095734448019212E-6</c:v>
                </c:pt>
                <c:pt idx="53" formatCode="General">
                  <c:v>5.011872336272719E-6</c:v>
                </c:pt>
                <c:pt idx="54" formatCode="General">
                  <c:v>3.9810717055349657E-6</c:v>
                </c:pt>
                <c:pt idx="55" formatCode="General">
                  <c:v>3.1622776601683767E-6</c:v>
                </c:pt>
                <c:pt idx="56" formatCode="General">
                  <c:v>2.5118864315095806E-6</c:v>
                </c:pt>
                <c:pt idx="57" formatCode="General">
                  <c:v>1.9952623149688749E-6</c:v>
                </c:pt>
                <c:pt idx="58" formatCode="General">
                  <c:v>1.5848931924611111E-6</c:v>
                </c:pt>
                <c:pt idx="59" formatCode="General">
                  <c:v>1.2589254117941642E-6</c:v>
                </c:pt>
                <c:pt idx="60" formatCode="General">
                  <c:v>9.9999999999999995E-7</c:v>
                </c:pt>
                <c:pt idx="61" formatCode="General">
                  <c:v>7.9432823472428114E-7</c:v>
                </c:pt>
                <c:pt idx="62" formatCode="General">
                  <c:v>6.3095734448019254E-7</c:v>
                </c:pt>
                <c:pt idx="63" formatCode="General">
                  <c:v>5.0118723362727218E-7</c:v>
                </c:pt>
                <c:pt idx="64" formatCode="General">
                  <c:v>3.9810717055349618E-7</c:v>
                </c:pt>
                <c:pt idx="65" formatCode="General">
                  <c:v>3.1622776601683734E-7</c:v>
                </c:pt>
                <c:pt idx="66" formatCode="General">
                  <c:v>2.511886431509578E-7</c:v>
                </c:pt>
                <c:pt idx="67" formatCode="General">
                  <c:v>1.9952623149688761E-7</c:v>
                </c:pt>
                <c:pt idx="68" formatCode="General">
                  <c:v>1.5848931924611122E-7</c:v>
                </c:pt>
                <c:pt idx="69" formatCode="General">
                  <c:v>1.2589254117941651E-7</c:v>
                </c:pt>
                <c:pt idx="70" formatCode="General">
                  <c:v>9.9999999999999995E-8</c:v>
                </c:pt>
                <c:pt idx="71" formatCode="General">
                  <c:v>7.943282347242818E-8</c:v>
                </c:pt>
                <c:pt idx="72" formatCode="General">
                  <c:v>6.3095734448019177E-8</c:v>
                </c:pt>
                <c:pt idx="73" formatCode="General">
                  <c:v>5.0118723362727164E-8</c:v>
                </c:pt>
                <c:pt idx="74" formatCode="General">
                  <c:v>3.981071705534957E-8</c:v>
                </c:pt>
                <c:pt idx="75" formatCode="General">
                  <c:v>3.1622776601683699E-8</c:v>
                </c:pt>
                <c:pt idx="76" formatCode="General">
                  <c:v>2.5118864315095751E-8</c:v>
                </c:pt>
                <c:pt idx="77" formatCode="General">
                  <c:v>1.9952623149688773E-8</c:v>
                </c:pt>
                <c:pt idx="78" formatCode="General">
                  <c:v>1.5848931924611133E-8</c:v>
                </c:pt>
                <c:pt idx="79" formatCode="General">
                  <c:v>1.2589254117941638E-8</c:v>
                </c:pt>
                <c:pt idx="80" formatCode="General">
                  <c:v>1E-8</c:v>
                </c:pt>
                <c:pt idx="81" formatCode="General">
                  <c:v>7.9432823472428087E-9</c:v>
                </c:pt>
                <c:pt idx="82" formatCode="General">
                  <c:v>6.3095734448019329E-9</c:v>
                </c:pt>
                <c:pt idx="83" formatCode="General">
                  <c:v>5.0118723362727114E-9</c:v>
                </c:pt>
                <c:pt idx="84" formatCode="General">
                  <c:v>3.9810717055349665E-9</c:v>
                </c:pt>
                <c:pt idx="85" formatCode="General">
                  <c:v>3.1622776601683779E-9</c:v>
                </c:pt>
                <c:pt idx="86" formatCode="General">
                  <c:v>2.5118864315095812E-9</c:v>
                </c:pt>
                <c:pt idx="87" formatCode="General">
                  <c:v>1.9952623149688824E-9</c:v>
                </c:pt>
                <c:pt idx="88" formatCode="General">
                  <c:v>1.584893192461106E-9</c:v>
                </c:pt>
                <c:pt idx="89" formatCode="General">
                  <c:v>1.2589254117941623E-9</c:v>
                </c:pt>
                <c:pt idx="90" formatCode="General">
                  <c:v>1.0000000000000001E-9</c:v>
                </c:pt>
                <c:pt idx="91" formatCode="General">
                  <c:v>7.9432823472428E-10</c:v>
                </c:pt>
                <c:pt idx="92" formatCode="General">
                  <c:v>6.309573444801927E-10</c:v>
                </c:pt>
                <c:pt idx="93" formatCode="General">
                  <c:v>5.011872336272705E-10</c:v>
                </c:pt>
                <c:pt idx="94" formatCode="General">
                  <c:v>3.9810717055349621E-10</c:v>
                </c:pt>
                <c:pt idx="95" formatCode="General">
                  <c:v>3.1622776601683744E-10</c:v>
                </c:pt>
                <c:pt idx="96" formatCode="General">
                  <c:v>2.5118864315095784E-10</c:v>
                </c:pt>
                <c:pt idx="97" formatCode="General">
                  <c:v>1.9952623149688802E-10</c:v>
                </c:pt>
                <c:pt idx="98" formatCode="General">
                  <c:v>1.5848931924611098E-10</c:v>
                </c:pt>
                <c:pt idx="99" formatCode="General">
                  <c:v>1.2589254117941656E-10</c:v>
                </c:pt>
                <c:pt idx="100" formatCode="General">
                  <c:v>1E-10</c:v>
                </c:pt>
                <c:pt idx="101" formatCode="General">
                  <c:v>7.943282347242792E-11</c:v>
                </c:pt>
                <c:pt idx="102" formatCode="General">
                  <c:v>6.3095734448019192E-11</c:v>
                </c:pt>
                <c:pt idx="103" formatCode="General">
                  <c:v>5.0118723362726993E-11</c:v>
                </c:pt>
                <c:pt idx="104" formatCode="General">
                  <c:v>3.9810717055349579E-11</c:v>
                </c:pt>
                <c:pt idx="105" formatCode="General">
                  <c:v>3.162277660168371E-11</c:v>
                </c:pt>
                <c:pt idx="106" formatCode="General">
                  <c:v>2.5118864315095759E-11</c:v>
                </c:pt>
                <c:pt idx="107" formatCode="General">
                  <c:v>1.995262314968878E-11</c:v>
                </c:pt>
                <c:pt idx="108" formatCode="General">
                  <c:v>1.5848931924611082E-11</c:v>
                </c:pt>
                <c:pt idx="109" formatCode="General">
                  <c:v>1.2589254117941641E-11</c:v>
                </c:pt>
                <c:pt idx="110" formatCode="General">
                  <c:v>9.9999999999999994E-12</c:v>
                </c:pt>
                <c:pt idx="111" formatCode="General">
                  <c:v>7.9432823472428101E-12</c:v>
                </c:pt>
                <c:pt idx="112" formatCode="General">
                  <c:v>6.3095734448019345E-12</c:v>
                </c:pt>
                <c:pt idx="113" formatCode="General">
                  <c:v>5.0118723362726945E-12</c:v>
                </c:pt>
                <c:pt idx="114" formatCode="General">
                  <c:v>3.9810717055349533E-12</c:v>
                </c:pt>
                <c:pt idx="115" formatCode="General">
                  <c:v>3.1622776601683669E-12</c:v>
                </c:pt>
                <c:pt idx="116" formatCode="General">
                  <c:v>2.5118864315095726E-12</c:v>
                </c:pt>
                <c:pt idx="117" formatCode="General">
                  <c:v>1.9952623149688759E-12</c:v>
                </c:pt>
                <c:pt idx="118" formatCode="General">
                  <c:v>1.5848931924611065E-12</c:v>
                </c:pt>
                <c:pt idx="119" formatCode="General">
                  <c:v>1.2589254117941629E-12</c:v>
                </c:pt>
                <c:pt idx="120" formatCode="General">
                  <c:v>9.9999999999999998E-13</c:v>
                </c:pt>
                <c:pt idx="121" formatCode="General">
                  <c:v>7.9432823472428024E-13</c:v>
                </c:pt>
                <c:pt idx="122" formatCode="General">
                  <c:v>6.3095734448019283E-13</c:v>
                </c:pt>
                <c:pt idx="123" formatCode="General">
                  <c:v>5.0118723362727066E-13</c:v>
                </c:pt>
                <c:pt idx="124" formatCode="General">
                  <c:v>3.9810717055349631E-13</c:v>
                </c:pt>
                <c:pt idx="125" formatCode="General">
                  <c:v>3.1622776601683746E-13</c:v>
                </c:pt>
                <c:pt idx="126" formatCode="General">
                  <c:v>2.511886431509579E-13</c:v>
                </c:pt>
                <c:pt idx="127" formatCode="General">
                  <c:v>1.9952623149688807E-13</c:v>
                </c:pt>
                <c:pt idx="128" formatCode="General">
                  <c:v>1.5848931924611046E-13</c:v>
                </c:pt>
                <c:pt idx="129" formatCode="General">
                  <c:v>1.2589254117941612E-13</c:v>
                </c:pt>
                <c:pt idx="130" formatCode="General">
                  <c:v>1E-13</c:v>
                </c:pt>
                <c:pt idx="131" formatCode="General">
                  <c:v>7.9432823472427931E-14</c:v>
                </c:pt>
                <c:pt idx="132" formatCode="General">
                  <c:v>6.3095734448019215E-14</c:v>
                </c:pt>
                <c:pt idx="133" formatCode="General">
                  <c:v>5.0118723362727011E-14</c:v>
                </c:pt>
                <c:pt idx="134" formatCode="General">
                  <c:v>3.9810717055349592E-14</c:v>
                </c:pt>
                <c:pt idx="135" formatCode="General">
                  <c:v>3.1622776601683714E-14</c:v>
                </c:pt>
                <c:pt idx="136" formatCode="General">
                  <c:v>2.511886431509576E-14</c:v>
                </c:pt>
                <c:pt idx="137" formatCode="General">
                  <c:v>1.9952623149688784E-14</c:v>
                </c:pt>
                <c:pt idx="138" formatCode="General">
                  <c:v>1.5848931924611084E-14</c:v>
                </c:pt>
                <c:pt idx="139" formatCode="General">
                  <c:v>1.2589254117941644E-14</c:v>
                </c:pt>
                <c:pt idx="140" formatCode="General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DE-0641-88E3-58D9E131BD06}"/>
            </c:ext>
          </c:extLst>
        </c:ser>
        <c:ser>
          <c:idx val="4"/>
          <c:order val="4"/>
          <c:tx>
            <c:strRef>
              <c:f>'Carbonate acidity'!$E$5</c:f>
              <c:strCache>
                <c:ptCount val="1"/>
                <c:pt idx="0">
                  <c:v>OH⁻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'Carbonate acidity'!$E$6:$E$146</c:f>
              <c:numCache>
                <c:formatCode>0.00E+00</c:formatCode>
                <c:ptCount val="141"/>
                <c:pt idx="0">
                  <c:v>6.0255958607435464E-14</c:v>
                </c:pt>
                <c:pt idx="1">
                  <c:v>7.5857757502917909E-14</c:v>
                </c:pt>
                <c:pt idx="2">
                  <c:v>9.549925860214291E-14</c:v>
                </c:pt>
                <c:pt idx="3">
                  <c:v>1.2022644346174119E-13</c:v>
                </c:pt>
                <c:pt idx="4">
                  <c:v>1.5135612484362054E-13</c:v>
                </c:pt>
                <c:pt idx="5">
                  <c:v>1.9054607179632417E-13</c:v>
                </c:pt>
                <c:pt idx="6">
                  <c:v>2.3988329190194817E-13</c:v>
                </c:pt>
                <c:pt idx="7">
                  <c:v>3.0199517204020016E-13</c:v>
                </c:pt>
                <c:pt idx="8">
                  <c:v>3.8018939632056036E-13</c:v>
                </c:pt>
                <c:pt idx="9">
                  <c:v>4.7863009232263685E-13</c:v>
                </c:pt>
                <c:pt idx="10">
                  <c:v>6.025595860743553E-13</c:v>
                </c:pt>
                <c:pt idx="11">
                  <c:v>7.5857757502917993E-13</c:v>
                </c:pt>
                <c:pt idx="12">
                  <c:v>9.5499258602143024E-13</c:v>
                </c:pt>
                <c:pt idx="13">
                  <c:v>1.2022644346174088E-12</c:v>
                </c:pt>
                <c:pt idx="14">
                  <c:v>1.5135612484362015E-12</c:v>
                </c:pt>
                <c:pt idx="15">
                  <c:v>1.905460717963237E-12</c:v>
                </c:pt>
                <c:pt idx="16">
                  <c:v>2.3988329190194755E-12</c:v>
                </c:pt>
                <c:pt idx="17">
                  <c:v>3.0199517204020161E-12</c:v>
                </c:pt>
                <c:pt idx="18">
                  <c:v>3.8018939632056084E-12</c:v>
                </c:pt>
                <c:pt idx="19">
                  <c:v>4.7863009232263738E-12</c:v>
                </c:pt>
                <c:pt idx="20">
                  <c:v>6.0255958607435596E-12</c:v>
                </c:pt>
                <c:pt idx="21">
                  <c:v>7.5857757502918081E-12</c:v>
                </c:pt>
                <c:pt idx="22">
                  <c:v>9.5499258602143472E-12</c:v>
                </c:pt>
                <c:pt idx="23">
                  <c:v>1.2022644346174101E-11</c:v>
                </c:pt>
                <c:pt idx="24">
                  <c:v>1.5135612484362034E-11</c:v>
                </c:pt>
                <c:pt idx="25">
                  <c:v>1.9054607179632392E-11</c:v>
                </c:pt>
                <c:pt idx="26">
                  <c:v>2.3988329190194783E-11</c:v>
                </c:pt>
                <c:pt idx="27">
                  <c:v>3.0199517204020087E-11</c:v>
                </c:pt>
                <c:pt idx="28">
                  <c:v>3.801893963205585E-11</c:v>
                </c:pt>
                <c:pt idx="29">
                  <c:v>4.786300923226362E-11</c:v>
                </c:pt>
                <c:pt idx="30">
                  <c:v>6.0255958607435443E-11</c:v>
                </c:pt>
                <c:pt idx="31">
                  <c:v>7.5857757502918162E-11</c:v>
                </c:pt>
                <c:pt idx="32">
                  <c:v>9.5499258602143585E-11</c:v>
                </c:pt>
                <c:pt idx="33">
                  <c:v>1.2022644346174114E-10</c:v>
                </c:pt>
                <c:pt idx="34">
                  <c:v>1.5135612484362048E-10</c:v>
                </c:pt>
                <c:pt idx="35">
                  <c:v>1.9054607179632416E-10</c:v>
                </c:pt>
                <c:pt idx="36">
                  <c:v>2.3988329190194809E-10</c:v>
                </c:pt>
                <c:pt idx="37">
                  <c:v>3.0199517204020115E-10</c:v>
                </c:pt>
                <c:pt idx="38">
                  <c:v>3.801893963205603E-10</c:v>
                </c:pt>
                <c:pt idx="39">
                  <c:v>4.7863009232263674E-10</c:v>
                </c:pt>
                <c:pt idx="40">
                  <c:v>6.0255958607435515E-10</c:v>
                </c:pt>
                <c:pt idx="41">
                  <c:v>7.5857757502917976E-10</c:v>
                </c:pt>
                <c:pt idx="42">
                  <c:v>9.5499258602143329E-10</c:v>
                </c:pt>
                <c:pt idx="43">
                  <c:v>1.2022644346174043E-9</c:v>
                </c:pt>
                <c:pt idx="44">
                  <c:v>1.5135612484362064E-9</c:v>
                </c:pt>
                <c:pt idx="45">
                  <c:v>1.9054607179632502E-9</c:v>
                </c:pt>
                <c:pt idx="46">
                  <c:v>2.3988329190194835E-9</c:v>
                </c:pt>
                <c:pt idx="47">
                  <c:v>3.0199517204020151E-9</c:v>
                </c:pt>
                <c:pt idx="48">
                  <c:v>3.8018939632055936E-9</c:v>
                </c:pt>
                <c:pt idx="49">
                  <c:v>4.7863009232263728E-9</c:v>
                </c:pt>
                <c:pt idx="50">
                  <c:v>6.0255958607435582E-9</c:v>
                </c:pt>
                <c:pt idx="51">
                  <c:v>7.5857757502918059E-9</c:v>
                </c:pt>
                <c:pt idx="52">
                  <c:v>9.5499258602143453E-9</c:v>
                </c:pt>
                <c:pt idx="53">
                  <c:v>1.2022644346174099E-8</c:v>
                </c:pt>
                <c:pt idx="54">
                  <c:v>1.5135612484362029E-8</c:v>
                </c:pt>
                <c:pt idx="55">
                  <c:v>1.9054607179632389E-8</c:v>
                </c:pt>
                <c:pt idx="56">
                  <c:v>2.3988329190194778E-8</c:v>
                </c:pt>
                <c:pt idx="57">
                  <c:v>3.0199517204020188E-8</c:v>
                </c:pt>
                <c:pt idx="58">
                  <c:v>3.8018939632056113E-8</c:v>
                </c:pt>
                <c:pt idx="59">
                  <c:v>4.7863009232263782E-8</c:v>
                </c:pt>
                <c:pt idx="60">
                  <c:v>6.0255958607435649E-8</c:v>
                </c:pt>
                <c:pt idx="61">
                  <c:v>7.5857757502918145E-8</c:v>
                </c:pt>
                <c:pt idx="62">
                  <c:v>9.5499258602143212E-8</c:v>
                </c:pt>
                <c:pt idx="63">
                  <c:v>1.202264434617409E-7</c:v>
                </c:pt>
                <c:pt idx="64">
                  <c:v>1.5135612484362072E-7</c:v>
                </c:pt>
                <c:pt idx="65">
                  <c:v>1.9054607179632443E-7</c:v>
                </c:pt>
                <c:pt idx="66">
                  <c:v>2.3988329190194845E-7</c:v>
                </c:pt>
                <c:pt idx="67">
                  <c:v>3.0199517204020165E-7</c:v>
                </c:pt>
                <c:pt idx="68">
                  <c:v>3.8018939632056089E-7</c:v>
                </c:pt>
                <c:pt idx="69">
                  <c:v>4.7863009232263745E-7</c:v>
                </c:pt>
                <c:pt idx="70">
                  <c:v>6.0255958607435604E-7</c:v>
                </c:pt>
                <c:pt idx="71">
                  <c:v>7.5857757502918092E-7</c:v>
                </c:pt>
                <c:pt idx="72">
                  <c:v>9.5499258602143498E-7</c:v>
                </c:pt>
                <c:pt idx="73">
                  <c:v>1.2022644346174125E-6</c:v>
                </c:pt>
                <c:pt idx="74">
                  <c:v>1.5135612484362091E-6</c:v>
                </c:pt>
                <c:pt idx="75">
                  <c:v>1.9054607179632462E-6</c:v>
                </c:pt>
                <c:pt idx="76">
                  <c:v>2.3988329190194872E-6</c:v>
                </c:pt>
                <c:pt idx="77">
                  <c:v>3.0199517204020095E-6</c:v>
                </c:pt>
                <c:pt idx="78">
                  <c:v>3.8018939632055997E-6</c:v>
                </c:pt>
                <c:pt idx="79">
                  <c:v>4.7863009232263885E-6</c:v>
                </c:pt>
                <c:pt idx="80">
                  <c:v>6.025595860743557E-6</c:v>
                </c:pt>
                <c:pt idx="81">
                  <c:v>7.5857757502918187E-6</c:v>
                </c:pt>
                <c:pt idx="82">
                  <c:v>9.5499258602143265E-6</c:v>
                </c:pt>
                <c:pt idx="83">
                  <c:v>1.2022644346174118E-5</c:v>
                </c:pt>
                <c:pt idx="84">
                  <c:v>1.5135612484362051E-5</c:v>
                </c:pt>
                <c:pt idx="85">
                  <c:v>1.9054607179632416E-5</c:v>
                </c:pt>
                <c:pt idx="86">
                  <c:v>2.3988329190194812E-5</c:v>
                </c:pt>
                <c:pt idx="87">
                  <c:v>3.0199517204020019E-5</c:v>
                </c:pt>
                <c:pt idx="88">
                  <c:v>3.8018939632056239E-5</c:v>
                </c:pt>
                <c:pt idx="89">
                  <c:v>4.7863009232263932E-5</c:v>
                </c:pt>
                <c:pt idx="90">
                  <c:v>6.0255958607435637E-5</c:v>
                </c:pt>
                <c:pt idx="91">
                  <c:v>7.5857757502918399E-5</c:v>
                </c:pt>
                <c:pt idx="92">
                  <c:v>9.5499258602143526E-5</c:v>
                </c:pt>
                <c:pt idx="93">
                  <c:v>1.202264434617413E-4</c:v>
                </c:pt>
                <c:pt idx="94">
                  <c:v>1.5135612484362069E-4</c:v>
                </c:pt>
                <c:pt idx="95">
                  <c:v>1.9054607179632438E-4</c:v>
                </c:pt>
                <c:pt idx="96">
                  <c:v>2.3988329190194837E-4</c:v>
                </c:pt>
                <c:pt idx="97">
                  <c:v>3.019951720402005E-4</c:v>
                </c:pt>
                <c:pt idx="98">
                  <c:v>3.8018939632056113E-4</c:v>
                </c:pt>
                <c:pt idx="99">
                  <c:v>4.7863009232263772E-4</c:v>
                </c:pt>
                <c:pt idx="100">
                  <c:v>6.0255958607435649E-4</c:v>
                </c:pt>
                <c:pt idx="101">
                  <c:v>7.5857757502918483E-4</c:v>
                </c:pt>
                <c:pt idx="102">
                  <c:v>9.5499258602143634E-4</c:v>
                </c:pt>
                <c:pt idx="103">
                  <c:v>1.2022644346174176E-3</c:v>
                </c:pt>
                <c:pt idx="104">
                  <c:v>1.5135612484362126E-3</c:v>
                </c:pt>
                <c:pt idx="105">
                  <c:v>1.905460717963251E-3</c:v>
                </c:pt>
                <c:pt idx="106">
                  <c:v>2.3988329190194929E-3</c:v>
                </c:pt>
                <c:pt idx="107">
                  <c:v>3.0199517204020161E-3</c:v>
                </c:pt>
                <c:pt idx="108">
                  <c:v>3.8018939632056123E-3</c:v>
                </c:pt>
                <c:pt idx="109">
                  <c:v>4.7863009232263784E-3</c:v>
                </c:pt>
                <c:pt idx="110">
                  <c:v>6.0255958607435666E-3</c:v>
                </c:pt>
                <c:pt idx="111">
                  <c:v>7.5857757502918169E-3</c:v>
                </c:pt>
                <c:pt idx="112">
                  <c:v>9.5499258602143242E-3</c:v>
                </c:pt>
                <c:pt idx="113">
                  <c:v>1.2022644346174179E-2</c:v>
                </c:pt>
                <c:pt idx="114">
                  <c:v>1.5135612484362128E-2</c:v>
                </c:pt>
                <c:pt idx="115">
                  <c:v>1.9054607179632515E-2</c:v>
                </c:pt>
                <c:pt idx="116">
                  <c:v>2.3988329190194935E-2</c:v>
                </c:pt>
                <c:pt idx="117">
                  <c:v>3.0199517204020185E-2</c:v>
                </c:pt>
                <c:pt idx="118">
                  <c:v>3.8018939632056263E-2</c:v>
                </c:pt>
                <c:pt idx="119">
                  <c:v>4.7863009232263991E-2</c:v>
                </c:pt>
                <c:pt idx="120">
                  <c:v>6.025595860743567E-2</c:v>
                </c:pt>
                <c:pt idx="121">
                  <c:v>7.5857757502918483E-2</c:v>
                </c:pt>
                <c:pt idx="122">
                  <c:v>9.5499258602143686E-2</c:v>
                </c:pt>
                <c:pt idx="123">
                  <c:v>0.12022644346174129</c:v>
                </c:pt>
                <c:pt idx="124">
                  <c:v>0.15135612484362068</c:v>
                </c:pt>
                <c:pt idx="125">
                  <c:v>0.19054607179632441</c:v>
                </c:pt>
                <c:pt idx="126">
                  <c:v>0.23988329190194846</c:v>
                </c:pt>
                <c:pt idx="127">
                  <c:v>0.3019951720402006</c:v>
                </c:pt>
                <c:pt idx="128">
                  <c:v>0.38018939632056276</c:v>
                </c:pt>
                <c:pt idx="129">
                  <c:v>0.47863009232263992</c:v>
                </c:pt>
                <c:pt idx="130">
                  <c:v>0.60255958607435678</c:v>
                </c:pt>
                <c:pt idx="131">
                  <c:v>0.7585775750291851</c:v>
                </c:pt>
                <c:pt idx="132">
                  <c:v>0.95499258602143688</c:v>
                </c:pt>
                <c:pt idx="133">
                  <c:v>1.2022644346174181</c:v>
                </c:pt>
                <c:pt idx="134">
                  <c:v>1.5135612484362135</c:v>
                </c:pt>
                <c:pt idx="135">
                  <c:v>1.9054607179632523</c:v>
                </c:pt>
                <c:pt idx="136">
                  <c:v>2.3988329190194952</c:v>
                </c:pt>
                <c:pt idx="137">
                  <c:v>3.0199517204020196</c:v>
                </c:pt>
                <c:pt idx="138">
                  <c:v>3.8018939632056128</c:v>
                </c:pt>
                <c:pt idx="139">
                  <c:v>4.7863009232263813</c:v>
                </c:pt>
                <c:pt idx="140">
                  <c:v>6.0255958607435698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DE-0641-88E3-58D9E131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4648752"/>
        <c:axId val="1224652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2"/>
        <c:noMultiLvlLbl val="0"/>
      </c:catAx>
      <c:valAx>
        <c:axId val="1224652384"/>
        <c:scaling>
          <c:logBase val="10"/>
          <c:orientation val="minMax"/>
          <c:max val="1.0000000000000002E-2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16404199475054"/>
          <c:y val="0.34260416666666665"/>
          <c:w val="0.20136781197804818"/>
          <c:h val="0.39873277559055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Catalytic Turnover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9-DA4F-894E-D731DC042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1"/>
          <c:tx>
            <c:strRef>
              <c:f>'Carbonate acidity'!$P$5</c:f>
              <c:strCache>
                <c:ptCount val="1"/>
                <c:pt idx="0">
                  <c:v>Extractable CO2/Added H+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acidity'!$P$6:$P$86</c:f>
              <c:numCache>
                <c:formatCode>_(* #,##0.00_);_(* \(#,##0.00\);_(* "-"_);_(@_)</c:formatCode>
                <c:ptCount val="81"/>
                <c:pt idx="0">
                  <c:v>2.1945448237872824E-3</c:v>
                </c:pt>
                <c:pt idx="1">
                  <c:v>2.7609955813688429E-3</c:v>
                </c:pt>
                <c:pt idx="2">
                  <c:v>3.4730820836315181E-3</c:v>
                </c:pt>
                <c:pt idx="3">
                  <c:v>4.3679131059400321E-3</c:v>
                </c:pt>
                <c:pt idx="4">
                  <c:v>5.491858861215288E-3</c:v>
                </c:pt>
                <c:pt idx="5">
                  <c:v>6.9027499988667217E-3</c:v>
                </c:pt>
                <c:pt idx="6">
                  <c:v>8.6725334040106405E-3</c:v>
                </c:pt>
                <c:pt idx="7">
                  <c:v>1.0890440941686693E-2</c:v>
                </c:pt>
                <c:pt idx="8">
                  <c:v>1.3666709035443919E-2</c:v>
                </c:pt>
                <c:pt idx="9">
                  <c:v>1.7136848124912913E-2</c:v>
                </c:pt>
                <c:pt idx="10">
                  <c:v>2.1466389999173774E-2</c:v>
                </c:pt>
                <c:pt idx="11">
                  <c:v>2.6855922009347645E-2</c:v>
                </c:pt>
                <c:pt idx="12">
                  <c:v>3.354603059091632E-2</c:v>
                </c:pt>
                <c:pt idx="13">
                  <c:v>4.1821501126829683E-2</c:v>
                </c:pt>
                <c:pt idx="14">
                  <c:v>5.2013740449760044E-2</c:v>
                </c:pt>
                <c:pt idx="15">
                  <c:v>6.4499903806676695E-2</c:v>
                </c:pt>
                <c:pt idx="16">
                  <c:v>7.9696663117374528E-2</c:v>
                </c:pt>
                <c:pt idx="17">
                  <c:v>9.8046067513497731E-2</c:v>
                </c:pt>
                <c:pt idx="18">
                  <c:v>0.11999075627813741</c:v>
                </c:pt>
                <c:pt idx="19">
                  <c:v>0.14593626264198922</c:v>
                </c:pt>
                <c:pt idx="20">
                  <c:v>0.17619976487675312</c:v>
                </c:pt>
                <c:pt idx="21">
                  <c:v>0.21094779250843551</c:v>
                </c:pt>
                <c:pt idx="22">
                  <c:v>0.25013004935443101</c:v>
                </c:pt>
                <c:pt idx="23">
                  <c:v>0.29342176507274753</c:v>
                </c:pt>
                <c:pt idx="24">
                  <c:v>0.340190791524554</c:v>
                </c:pt>
                <c:pt idx="25">
                  <c:v>0.389505257055829</c:v>
                </c:pt>
                <c:pt idx="26">
                  <c:v>0.44019089429480818</c:v>
                </c:pt>
                <c:pt idx="27">
                  <c:v>0.49093466458234275</c:v>
                </c:pt>
                <c:pt idx="28">
                  <c:v>0.54041707458718125</c:v>
                </c:pt>
                <c:pt idx="29">
                  <c:v>0.58744582401313628</c:v>
                </c:pt>
                <c:pt idx="30">
                  <c:v>0.63106295221927855</c:v>
                </c:pt>
                <c:pt idx="31">
                  <c:v>0.67060670728056671</c:v>
                </c:pt>
                <c:pt idx="32">
                  <c:v>0.70572344503505424</c:v>
                </c:pt>
                <c:pt idx="33">
                  <c:v>0.73633773472578168</c:v>
                </c:pt>
                <c:pt idx="34">
                  <c:v>0.76259614602595616</c:v>
                </c:pt>
                <c:pt idx="35">
                  <c:v>0.78480110733884922</c:v>
                </c:pt>
                <c:pt idx="36">
                  <c:v>0.80334768557399339</c:v>
                </c:pt>
                <c:pt idx="37">
                  <c:v>0.81867091607123299</c:v>
                </c:pt>
                <c:pt idx="38">
                  <c:v>0.83120654637153046</c:v>
                </c:pt>
                <c:pt idx="39">
                  <c:v>0.8413647546866595</c:v>
                </c:pt>
                <c:pt idx="40">
                  <c:v>0.8495146552082008</c:v>
                </c:pt>
                <c:pt idx="41">
                  <c:v>0.85597683571207528</c:v>
                </c:pt>
                <c:pt idx="42">
                  <c:v>0.86102131509746049</c:v>
                </c:pt>
                <c:pt idx="43">
                  <c:v>0.86486877335161039</c:v>
                </c:pt>
                <c:pt idx="44">
                  <c:v>0.86769344601429588</c:v>
                </c:pt>
                <c:pt idx="45">
                  <c:v>0.86962656124822957</c:v>
                </c:pt>
                <c:pt idx="46">
                  <c:v>0.87075958224880656</c:v>
                </c:pt>
                <c:pt idx="47">
                  <c:v>0.87114679805479622</c:v>
                </c:pt>
                <c:pt idx="48">
                  <c:v>0.87080699966967023</c:v>
                </c:pt>
                <c:pt idx="49">
                  <c:v>0.86972411060651933</c:v>
                </c:pt>
                <c:pt idx="50">
                  <c:v>0.86784673714359128</c:v>
                </c:pt>
                <c:pt idx="51">
                  <c:v>0.8650866883213344</c:v>
                </c:pt>
                <c:pt idx="52">
                  <c:v>0.86131661301201778</c:v>
                </c:pt>
                <c:pt idx="53">
                  <c:v>0.85636703563461269</c:v>
                </c:pt>
                <c:pt idx="54">
                  <c:v>0.85002326830515673</c:v>
                </c:pt>
                <c:pt idx="55">
                  <c:v>0.84202295896152879</c:v>
                </c:pt>
                <c:pt idx="56">
                  <c:v>0.83205541758818224</c:v>
                </c:pt>
                <c:pt idx="57">
                  <c:v>0.81976433877381083</c:v>
                </c:pt>
                <c:pt idx="58">
                  <c:v>0.8047560537243228</c:v>
                </c:pt>
                <c:pt idx="59">
                  <c:v>0.78661586126248983</c:v>
                </c:pt>
                <c:pt idx="60">
                  <c:v>0.76493504902955001</c:v>
                </c:pt>
                <c:pt idx="61">
                  <c:v>0.73935053658609984</c:v>
                </c:pt>
                <c:pt idx="62">
                  <c:v>0.70959719926153764</c:v>
                </c:pt>
                <c:pt idx="63">
                  <c:v>0.67556955181072664</c:v>
                </c:pt>
                <c:pt idx="64">
                  <c:v>0.63738477825425632</c:v>
                </c:pt>
                <c:pt idx="65">
                  <c:v>0.59543421185119161</c:v>
                </c:pt>
                <c:pt idx="66">
                  <c:v>0.55040748634093783</c:v>
                </c:pt>
                <c:pt idx="67">
                  <c:v>0.50327533923730317</c:v>
                </c:pt>
                <c:pt idx="68">
                  <c:v>0.4552250168929286</c:v>
                </c:pt>
                <c:pt idx="69">
                  <c:v>0.40755514657198744</c:v>
                </c:pt>
                <c:pt idx="70">
                  <c:v>0.36155025315584555</c:v>
                </c:pt>
                <c:pt idx="71">
                  <c:v>0.31836295240116719</c:v>
                </c:pt>
                <c:pt idx="72">
                  <c:v>0.27893072129651358</c:v>
                </c:pt>
                <c:pt idx="73">
                  <c:v>0.24394551736967432</c:v>
                </c:pt>
                <c:pt idx="74">
                  <c:v>0.21388471291736139</c:v>
                </c:pt>
                <c:pt idx="75">
                  <c:v>0.18911026915069212</c:v>
                </c:pt>
                <c:pt idx="76">
                  <c:v>0.17006483940626099</c:v>
                </c:pt>
                <c:pt idx="77">
                  <c:v>0.15768227560374226</c:v>
                </c:pt>
                <c:pt idx="78">
                  <c:v>0.15448760750890422</c:v>
                </c:pt>
                <c:pt idx="79">
                  <c:v>0.16881134410483797</c:v>
                </c:pt>
                <c:pt idx="80">
                  <c:v>0.24399475347636634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9-DA4F-894E-D731DC042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Extractable CO</a:t>
                </a:r>
                <a:r>
                  <a:rPr lang="en-US" baseline="-25000">
                    <a:solidFill>
                      <a:schemeClr val="accent2"/>
                    </a:solidFill>
                  </a:rPr>
                  <a:t>2</a:t>
                </a:r>
                <a:r>
                  <a:rPr lang="en-US">
                    <a:solidFill>
                      <a:schemeClr val="accent2"/>
                    </a:solidFill>
                  </a:rPr>
                  <a:t>/H</a:t>
                </a:r>
                <a:r>
                  <a:rPr lang="en-US" baseline="30000">
                    <a:solidFill>
                      <a:schemeClr val="accent2"/>
                    </a:solidFill>
                  </a:rPr>
                  <a:t>+</a:t>
                </a:r>
                <a:r>
                  <a:rPr lang="en-US">
                    <a:solidFill>
                      <a:schemeClr val="accent2"/>
                    </a:solidFill>
                  </a:rPr>
                  <a:t> Added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.00_);_(* \(#,##0.0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Oceanwater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0C-844D-B6D5-5F3233F5B921}"/>
            </c:ext>
          </c:extLst>
        </c:ser>
        <c:ser>
          <c:idx val="5"/>
          <c:order val="1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0C-844D-B6D5-5F3233F5B921}"/>
            </c:ext>
          </c:extLst>
        </c:ser>
        <c:ser>
          <c:idx val="6"/>
          <c:order val="2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0C-844D-B6D5-5F3233F5B921}"/>
            </c:ext>
          </c:extLst>
        </c:ser>
        <c:ser>
          <c:idx val="7"/>
          <c:order val="3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0C-844D-B6D5-5F3233F5B921}"/>
            </c:ext>
          </c:extLst>
        </c:ser>
        <c:ser>
          <c:idx val="2"/>
          <c:order val="4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0C-844D-B6D5-5F3233F5B921}"/>
            </c:ext>
          </c:extLst>
        </c:ser>
        <c:ser>
          <c:idx val="3"/>
          <c:order val="5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60C-844D-B6D5-5F3233F5B921}"/>
            </c:ext>
          </c:extLst>
        </c:ser>
        <c:ser>
          <c:idx val="0"/>
          <c:order val="6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60C-844D-B6D5-5F3233F5B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7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0C-844D-B6D5-5F3233F5B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layout>
            <c:manualLayout>
              <c:xMode val="edge"/>
              <c:yMode val="edge"/>
              <c:x val="1.5151515151515152E-2"/>
              <c:y val="0.20608513779527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orientation val="minMax"/>
          <c:min val="1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L</a:t>
                </a:r>
                <a:r>
                  <a:rPr lang="en-US" baseline="-25000">
                    <a:solidFill>
                      <a:schemeClr val="accent2"/>
                    </a:solidFill>
                  </a:rPr>
                  <a:t>OW</a:t>
                </a:r>
                <a:r>
                  <a:rPr lang="en-US">
                    <a:solidFill>
                      <a:schemeClr val="accent2"/>
                    </a:solidFill>
                  </a:rPr>
                  <a:t>/kg CO</a:t>
                </a:r>
                <a:r>
                  <a:rPr lang="en-US" baseline="-25000">
                    <a:solidFill>
                      <a:schemeClr val="accent2"/>
                    </a:solidFill>
                  </a:rPr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Extraction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D8-E645-ABA3-D283E33A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1"/>
          <c:tx>
            <c:strRef>
              <c:f>'Carbonate acidity'!$Q$5</c:f>
              <c:strCache>
                <c:ptCount val="1"/>
                <c:pt idx="0">
                  <c:v>Extraction Efficiency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acidity'!$Q$6:$Q$86</c:f>
              <c:numCache>
                <c:formatCode>0%</c:formatCode>
                <c:ptCount val="81"/>
                <c:pt idx="0">
                  <c:v>0.99999861961763914</c:v>
                </c:pt>
                <c:pt idx="1">
                  <c:v>0.99999826220218857</c:v>
                </c:pt>
                <c:pt idx="2">
                  <c:v>0.9999978122431582</c:v>
                </c:pt>
                <c:pt idx="3">
                  <c:v>0.99999724577887583</c:v>
                </c:pt>
                <c:pt idx="4">
                  <c:v>0.99999653264350774</c:v>
                </c:pt>
                <c:pt idx="5">
                  <c:v>0.99999563486071563</c:v>
                </c:pt>
                <c:pt idx="6">
                  <c:v>0.99999450462143469</c:v>
                </c:pt>
                <c:pt idx="7">
                  <c:v>0.99999308173811174</c:v>
                </c:pt>
                <c:pt idx="8">
                  <c:v>0.99999129043989132</c:v>
                </c:pt>
                <c:pt idx="9">
                  <c:v>0.99998903533815875</c:v>
                </c:pt>
                <c:pt idx="10">
                  <c:v>0.99998619634773145</c:v>
                </c:pt>
                <c:pt idx="11">
                  <c:v>0.99998262229343937</c:v>
                </c:pt>
                <c:pt idx="12">
                  <c:v>0.99997812286196341</c:v>
                </c:pt>
                <c:pt idx="13">
                  <c:v>0.9999724584708628</c:v>
                </c:pt>
                <c:pt idx="14">
                  <c:v>0.99996532751613043</c:v>
                </c:pt>
                <c:pt idx="15">
                  <c:v>0.99995635032049401</c:v>
                </c:pt>
                <c:pt idx="16">
                  <c:v>0.99994504892976999</c:v>
                </c:pt>
                <c:pt idx="17">
                  <c:v>0.99993082168470993</c:v>
                </c:pt>
                <c:pt idx="18">
                  <c:v>0.99991291121951364</c:v>
                </c:pt>
                <c:pt idx="19">
                  <c:v>0.999890364191243</c:v>
                </c:pt>
                <c:pt idx="20">
                  <c:v>0.99986198060892573</c:v>
                </c:pt>
                <c:pt idx="21">
                  <c:v>0.99982625008510162</c:v>
                </c:pt>
                <c:pt idx="22">
                  <c:v>0.99978127164847674</c:v>
                </c:pt>
                <c:pt idx="23">
                  <c:v>0.9997246529005035</c:v>
                </c:pt>
                <c:pt idx="24">
                  <c:v>0.99965338322967801</c:v>
                </c:pt>
                <c:pt idx="25">
                  <c:v>0.99956367446487771</c:v>
                </c:pt>
                <c:pt idx="26">
                  <c:v>0.99945076069270899</c:v>
                </c:pt>
                <c:pt idx="27">
                  <c:v>0.99930864691197785</c:v>
                </c:pt>
                <c:pt idx="28">
                  <c:v>0.99912979366795629</c:v>
                </c:pt>
                <c:pt idx="29">
                  <c:v>0.99890472170664257</c:v>
                </c:pt>
                <c:pt idx="30">
                  <c:v>0.99862151691445822</c:v>
                </c:pt>
                <c:pt idx="31">
                  <c:v>0.99826521126285062</c:v>
                </c:pt>
                <c:pt idx="32">
                  <c:v>0.99781701007803347</c:v>
                </c:pt>
                <c:pt idx="33">
                  <c:v>0.99725332966614644</c:v>
                </c:pt>
                <c:pt idx="34">
                  <c:v>0.99654460219788155</c:v>
                </c:pt>
                <c:pt idx="35">
                  <c:v>0.99565379701797607</c:v>
                </c:pt>
                <c:pt idx="36">
                  <c:v>0.99453459971100633</c:v>
                </c:pt>
                <c:pt idx="37">
                  <c:v>0.99312918332798761</c:v>
                </c:pt>
                <c:pt idx="38">
                  <c:v>0.99136550193588391</c:v>
                </c:pt>
                <c:pt idx="39">
                  <c:v>0.98915403806915869</c:v>
                </c:pt>
                <c:pt idx="40">
                  <c:v>0.98638394750113711</c:v>
                </c:pt>
                <c:pt idx="41">
                  <c:v>0.98291857433534235</c:v>
                </c:pt>
                <c:pt idx="42">
                  <c:v>0.97859036753895268</c:v>
                </c:pt>
                <c:pt idx="43">
                  <c:v>0.97319533184694496</c:v>
                </c:pt>
                <c:pt idx="44">
                  <c:v>0.96648731133024635</c:v>
                </c:pt>
                <c:pt idx="45">
                  <c:v>0.95817265637641247</c:v>
                </c:pt>
                <c:pt idx="46">
                  <c:v>0.94790618730218701</c:v>
                </c:pt>
                <c:pt idx="47">
                  <c:v>0.93528985239561013</c:v>
                </c:pt>
                <c:pt idx="48">
                  <c:v>0.91987606633418972</c:v>
                </c:pt>
                <c:pt idx="49">
                  <c:v>0.90117832507620066</c:v>
                </c:pt>
                <c:pt idx="50">
                  <c:v>0.87869213735659957</c:v>
                </c:pt>
                <c:pt idx="51">
                  <c:v>0.85192925537485609</c:v>
                </c:pt>
                <c:pt idx="52">
                  <c:v>0.82046714408309951</c:v>
                </c:pt>
                <c:pt idx="53">
                  <c:v>0.78401307051080238</c:v>
                </c:pt>
                <c:pt idx="54">
                  <c:v>0.74247782905093596</c:v>
                </c:pt>
                <c:pt idx="55">
                  <c:v>0.69604835692393818</c:v>
                </c:pt>
                <c:pt idx="56">
                  <c:v>0.64524292368614922</c:v>
                </c:pt>
                <c:pt idx="57">
                  <c:v>0.59092999038562743</c:v>
                </c:pt>
                <c:pt idx="58">
                  <c:v>0.53429526901692703</c:v>
                </c:pt>
                <c:pt idx="59">
                  <c:v>0.47675228910392498</c:v>
                </c:pt>
                <c:pt idx="60">
                  <c:v>0.41980755281476317</c:v>
                </c:pt>
                <c:pt idx="61">
                  <c:v>0.36490609130407675</c:v>
                </c:pt>
                <c:pt idx="62">
                  <c:v>0.31329004722577136</c:v>
                </c:pt>
                <c:pt idx="63">
                  <c:v>0.26589835246831667</c:v>
                </c:pt>
                <c:pt idx="64">
                  <c:v>0.22332196927454143</c:v>
                </c:pt>
                <c:pt idx="65">
                  <c:v>0.18581302014571088</c:v>
                </c:pt>
                <c:pt idx="66">
                  <c:v>0.15333398487459274</c:v>
                </c:pt>
                <c:pt idx="67">
                  <c:v>0.1256281936135612</c:v>
                </c:pt>
                <c:pt idx="68">
                  <c:v>0.10229440996871114</c:v>
                </c:pt>
                <c:pt idx="69">
                  <c:v>8.2853509216865767E-2</c:v>
                </c:pt>
                <c:pt idx="70">
                  <c:v>6.6801153702925234E-2</c:v>
                </c:pt>
                <c:pt idx="71">
                  <c:v>5.3645089736158419E-2</c:v>
                </c:pt>
                <c:pt idx="72">
                  <c:v>4.2928614788304564E-2</c:v>
                </c:pt>
                <c:pt idx="73">
                  <c:v>3.4243080107432537E-2</c:v>
                </c:pt>
                <c:pt idx="74">
                  <c:v>2.7232512086342926E-2</c:v>
                </c:pt>
                <c:pt idx="75">
                  <c:v>2.1593062692251173E-2</c:v>
                </c:pt>
                <c:pt idx="76">
                  <c:v>1.7069403487562619E-2</c:v>
                </c:pt>
                <c:pt idx="77">
                  <c:v>1.3449575155321284E-2</c:v>
                </c:pt>
                <c:pt idx="78">
                  <c:v>1.0559294859758621E-2</c:v>
                </c:pt>
                <c:pt idx="79">
                  <c:v>8.2563357714463964E-3</c:v>
                </c:pt>
                <c:pt idx="80">
                  <c:v>6.4253190247343314E-3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D8-E645-ABA3-D283E33A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Extraction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Added Acid vs. 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D-1147-9B4E-3DD5C29CB55E}"/>
            </c:ext>
          </c:extLst>
        </c:ser>
        <c:ser>
          <c:idx val="3"/>
          <c:order val="1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D-1147-9B4E-3DD5C29CB55E}"/>
            </c:ext>
          </c:extLst>
        </c:ser>
        <c:ser>
          <c:idx val="0"/>
          <c:order val="2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D-1147-9B4E-3DD5C29C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3"/>
          <c:tx>
            <c:strRef>
              <c:f>'Carbonate acidity'!$L$5</c:f>
              <c:strCache>
                <c:ptCount val="1"/>
                <c:pt idx="0">
                  <c:v>H+ / OH− added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acidity'!$L$6:$L$86</c:f>
              <c:numCache>
                <c:formatCode>0.00E+00</c:formatCode>
                <c:ptCount val="81"/>
                <c:pt idx="0">
                  <c:v>1.0024844055643916</c:v>
                </c:pt>
                <c:pt idx="1">
                  <c:v>0.79681263950234338</c:v>
                </c:pt>
                <c:pt idx="2">
                  <c:v>0.63344174826832567</c:v>
                </c:pt>
                <c:pt idx="3">
                  <c:v>0.50367163616915855</c:v>
                </c:pt>
                <c:pt idx="4">
                  <c:v>0.40059157152645453</c:v>
                </c:pt>
                <c:pt idx="5">
                  <c:v>0.3187121650146339</c:v>
                </c:pt>
                <c:pt idx="6">
                  <c:v>0.25367303966217819</c:v>
                </c:pt>
                <c:pt idx="7">
                  <c:v>0.20201062487770272</c:v>
                </c:pt>
                <c:pt idx="8">
                  <c:v>0.16097370868599176</c:v>
                </c:pt>
                <c:pt idx="9">
                  <c:v>0.12837692565797476</c:v>
                </c:pt>
                <c:pt idx="10">
                  <c:v>0.10248437823265508</c:v>
                </c:pt>
                <c:pt idx="11">
                  <c:v>8.1917193842007505E-2</c:v>
                </c:pt>
                <c:pt idx="12">
                  <c:v>6.5580094918652715E-2</c:v>
                </c:pt>
                <c:pt idx="13">
                  <c:v>5.2603071371452384E-2</c:v>
                </c:pt>
                <c:pt idx="14">
                  <c:v>4.229504937566235E-2</c:v>
                </c:pt>
                <c:pt idx="15">
                  <c:v>3.4107089171772756E-2</c:v>
                </c:pt>
                <c:pt idx="16">
                  <c:v>2.7603152021629652E-2</c:v>
                </c:pt>
                <c:pt idx="17">
                  <c:v>2.2436879555659026E-2</c:v>
                </c:pt>
                <c:pt idx="18">
                  <c:v>1.8333148926770623E-2</c:v>
                </c:pt>
                <c:pt idx="19">
                  <c:v>1.5073421515646061E-2</c:v>
                </c:pt>
                <c:pt idx="20">
                  <c:v>1.248410495257053E-2</c:v>
                </c:pt>
                <c:pt idx="21">
                  <c:v>1.04273086910794E-2</c:v>
                </c:pt>
                <c:pt idx="22">
                  <c:v>8.7935008340799536E-3</c:v>
                </c:pt>
                <c:pt idx="23">
                  <c:v>7.4956751617788683E-3</c:v>
                </c:pt>
                <c:pt idx="24">
                  <c:v>6.4647177345673601E-3</c:v>
                </c:pt>
                <c:pt idx="25">
                  <c:v>5.6457263258645465E-3</c:v>
                </c:pt>
                <c:pt idx="26">
                  <c:v>4.9950866817598631E-3</c:v>
                </c:pt>
                <c:pt idx="27">
                  <c:v>4.478149908352231E-3</c:v>
                </c:pt>
                <c:pt idx="28">
                  <c:v>4.0673873003524135E-3</c:v>
                </c:pt>
                <c:pt idx="29">
                  <c:v>3.7409243506776073E-3</c:v>
                </c:pt>
                <c:pt idx="30">
                  <c:v>3.4813758746027879E-3</c:v>
                </c:pt>
                <c:pt idx="31">
                  <c:v>3.2749202191612405E-3</c:v>
                </c:pt>
                <c:pt idx="32">
                  <c:v>3.1105632632944984E-3</c:v>
                </c:pt>
                <c:pt idx="33">
                  <c:v>2.9795530254640152E-3</c:v>
                </c:pt>
                <c:pt idx="34">
                  <c:v>2.8749137223684812E-3</c:v>
                </c:pt>
                <c:pt idx="35">
                  <c:v>2.7910744938510821E-3</c:v>
                </c:pt>
                <c:pt idx="36">
                  <c:v>2.7235730663752412E-3</c:v>
                </c:pt>
                <c:pt idx="37">
                  <c:v>2.6688186430351519E-3</c:v>
                </c:pt>
                <c:pt idx="38">
                  <c:v>2.6239015005111439E-3</c:v>
                </c:pt>
                <c:pt idx="39">
                  <c:v>2.5864393197247556E-3</c:v>
                </c:pt>
                <c:pt idx="40">
                  <c:v>2.5544523230981377E-3</c:v>
                </c:pt>
                <c:pt idx="41">
                  <c:v>2.5262609609509649E-3</c:v>
                </c:pt>
                <c:pt idx="42">
                  <c:v>2.500401291856527E-3</c:v>
                </c:pt>
                <c:pt idx="43">
                  <c:v>2.4755544378902536E-3</c:v>
                </c:pt>
                <c:pt idx="44">
                  <c:v>2.450487663233439E-3</c:v>
                </c:pt>
                <c:pt idx="45">
                  <c:v>2.4240058180863195E-3</c:v>
                </c:pt>
                <c:pt idx="46">
                  <c:v>2.3949131936959168E-3</c:v>
                </c:pt>
                <c:pt idx="47">
                  <c:v>2.3619873020998172E-3</c:v>
                </c:pt>
                <c:pt idx="48">
                  <c:v>2.3239677066248816E-3</c:v>
                </c:pt>
                <c:pt idx="49">
                  <c:v>2.2795646239875326E-3</c:v>
                </c:pt>
                <c:pt idx="50">
                  <c:v>2.2274931960303843E-3</c:v>
                </c:pt>
                <c:pt idx="51">
                  <c:v>2.1665393620396338E-3</c:v>
                </c:pt>
                <c:pt idx="52">
                  <c:v>2.0956610957156051E-3</c:v>
                </c:pt>
                <c:pt idx="53">
                  <c:v>2.0141232478029436E-3</c:v>
                </c:pt>
                <c:pt idx="54">
                  <c:v>1.9216547179572658E-3</c:v>
                </c:pt>
                <c:pt idx="55">
                  <c:v>1.8186040759758286E-3</c:v>
                </c:pt>
                <c:pt idx="56">
                  <c:v>1.7060575559068268E-3</c:v>
                </c:pt>
                <c:pt idx="57">
                  <c:v>1.5858776935734561E-3</c:v>
                </c:pt>
                <c:pt idx="58">
                  <c:v>1.460628455539275E-3</c:v>
                </c:pt>
                <c:pt idx="59">
                  <c:v>1.333376413673201E-3</c:v>
                </c:pt>
                <c:pt idx="60">
                  <c:v>1.2073922058666194E-3</c:v>
                </c:pt>
                <c:pt idx="61">
                  <c:v>1.0858089108527764E-3</c:v>
                </c:pt>
                <c:pt idx="62">
                  <c:v>9.713089406412147E-4</c:v>
                </c:pt>
                <c:pt idx="63">
                  <c:v>8.659010369285985E-4</c:v>
                </c:pt>
                <c:pt idx="64">
                  <c:v>7.7081905493514233E-4</c:v>
                </c:pt>
                <c:pt idx="65">
                  <c:v>6.8653872448754536E-4</c:v>
                </c:pt>
                <c:pt idx="66">
                  <c:v>6.128818649736705E-4</c:v>
                </c:pt>
                <c:pt idx="67">
                  <c:v>5.4916663782628877E-4</c:v>
                </c:pt>
                <c:pt idx="68">
                  <c:v>4.9436584893157789E-4</c:v>
                </c:pt>
                <c:pt idx="69">
                  <c:v>4.4724676356137867E-4</c:v>
                </c:pt>
                <c:pt idx="70">
                  <c:v>4.0647886943419618E-4</c:v>
                </c:pt>
                <c:pt idx="71">
                  <c:v>3.7070644222080614E-4</c:v>
                </c:pt>
                <c:pt idx="72">
                  <c:v>3.3858928157961388E-4</c:v>
                </c:pt>
                <c:pt idx="73">
                  <c:v>3.08818038751618E-4</c:v>
                </c:pt>
                <c:pt idx="74">
                  <c:v>2.8011130750191791E-4</c:v>
                </c:pt>
                <c:pt idx="75">
                  <c:v>2.5120126017640288E-4</c:v>
                </c:pt>
                <c:pt idx="76">
                  <c:v>2.2081394251594635E-4</c:v>
                </c:pt>
                <c:pt idx="77">
                  <c:v>1.8764991327284338E-4</c:v>
                </c:pt>
                <c:pt idx="78">
                  <c:v>1.5037095250588323E-4</c:v>
                </c:pt>
                <c:pt idx="79">
                  <c:v>1.0759904077241165E-4</c:v>
                </c:pt>
                <c:pt idx="80">
                  <c:v>5.7934450036380521E-5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1D-1147-9B4E-3DD5C29C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logBase val="10"/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logBase val="10"/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Added Acid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Comparison to Eisaman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Eisaman!$B$132</c:f>
              <c:strCache>
                <c:ptCount val="1"/>
                <c:pt idx="0">
                  <c:v>ED CapEx &amp; Replacements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Eisaman!$B$133:$B$138</c:f>
              <c:numCache>
                <c:formatCode>"$"#,##0</c:formatCode>
                <c:ptCount val="6"/>
                <c:pt idx="0">
                  <c:v>55</c:v>
                </c:pt>
                <c:pt idx="1">
                  <c:v>3.5098386890208348</c:v>
                </c:pt>
                <c:pt idx="2">
                  <c:v>24.574683806483076</c:v>
                </c:pt>
                <c:pt idx="3">
                  <c:v>122.87341903241537</c:v>
                </c:pt>
                <c:pt idx="4">
                  <c:v>122.87341903241537</c:v>
                </c:pt>
                <c:pt idx="5">
                  <c:v>122.87341903241534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7-9449-B502-13F23F6610AB}"/>
            </c:ext>
          </c:extLst>
        </c:ser>
        <c:ser>
          <c:idx val="1"/>
          <c:order val="1"/>
          <c:tx>
            <c:strRef>
              <c:f>Eisaman!$C$132</c:f>
              <c:strCache>
                <c:ptCount val="1"/>
                <c:pt idx="0">
                  <c:v>BoP CapEx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Eisaman!$C$133:$C$138</c:f>
              <c:numCache>
                <c:formatCode>"$"#,##0</c:formatCode>
                <c:ptCount val="6"/>
                <c:pt idx="0">
                  <c:v>1225</c:v>
                </c:pt>
                <c:pt idx="1">
                  <c:v>33.898083286780917</c:v>
                </c:pt>
                <c:pt idx="2">
                  <c:v>237.34272490194328</c:v>
                </c:pt>
                <c:pt idx="3">
                  <c:v>243.17080902554795</c:v>
                </c:pt>
                <c:pt idx="4">
                  <c:v>243.17080902554795</c:v>
                </c:pt>
                <c:pt idx="5">
                  <c:v>951.60125540987133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7-9449-B502-13F23F6610AB}"/>
            </c:ext>
          </c:extLst>
        </c:ser>
        <c:ser>
          <c:idx val="2"/>
          <c:order val="2"/>
          <c:tx>
            <c:strRef>
              <c:f>Eisaman!$D$132</c:f>
              <c:strCache>
                <c:ptCount val="1"/>
                <c:pt idx="0">
                  <c:v>ED Electricity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Eisaman!$D$133:$D$138</c:f>
              <c:numCache>
                <c:formatCode>"$"#,##0</c:formatCode>
                <c:ptCount val="6"/>
                <c:pt idx="0">
                  <c:v>58</c:v>
                </c:pt>
                <c:pt idx="1">
                  <c:v>41.505931796508982</c:v>
                </c:pt>
                <c:pt idx="2">
                  <c:v>41.505931796509024</c:v>
                </c:pt>
                <c:pt idx="3">
                  <c:v>41.505931796509024</c:v>
                </c:pt>
                <c:pt idx="4">
                  <c:v>101.68953290144711</c:v>
                </c:pt>
                <c:pt idx="5">
                  <c:v>101.68953290144711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27-9449-B502-13F23F6610AB}"/>
            </c:ext>
          </c:extLst>
        </c:ser>
        <c:ser>
          <c:idx val="3"/>
          <c:order val="3"/>
          <c:tx>
            <c:strRef>
              <c:f>Eisaman!$E$132</c:f>
              <c:strCache>
                <c:ptCount val="1"/>
                <c:pt idx="0">
                  <c:v>BoP Electricity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Eisaman!$E$133:$E$138</c:f>
              <c:numCache>
                <c:formatCode>"$"#,##0</c:formatCode>
                <c:ptCount val="6"/>
                <c:pt idx="0">
                  <c:v>150</c:v>
                </c:pt>
                <c:pt idx="1">
                  <c:v>17.121852043692556</c:v>
                </c:pt>
                <c:pt idx="2">
                  <c:v>17.12185204369257</c:v>
                </c:pt>
                <c:pt idx="3">
                  <c:v>17.12185204369257</c:v>
                </c:pt>
                <c:pt idx="4">
                  <c:v>41.948537507046808</c:v>
                </c:pt>
                <c:pt idx="5">
                  <c:v>41.948537507046808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27-9449-B502-13F23F6610AB}"/>
            </c:ext>
          </c:extLst>
        </c:ser>
        <c:ser>
          <c:idx val="4"/>
          <c:order val="4"/>
          <c:tx>
            <c:strRef>
              <c:f>Eisaman!$F$132</c:f>
              <c:strCache>
                <c:ptCount val="1"/>
                <c:pt idx="0">
                  <c:v>Fixed OpEx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Eisaman!$F$133:$F$138</c:f>
              <c:numCache>
                <c:formatCode>"$"#,##0</c:formatCode>
                <c:ptCount val="6"/>
                <c:pt idx="0">
                  <c:v>350</c:v>
                </c:pt>
                <c:pt idx="1">
                  <c:v>20.887400876678484</c:v>
                </c:pt>
                <c:pt idx="2">
                  <c:v>210.15654633036579</c:v>
                </c:pt>
                <c:pt idx="3">
                  <c:v>244.55403052986219</c:v>
                </c:pt>
                <c:pt idx="4">
                  <c:v>245.81968975179976</c:v>
                </c:pt>
                <c:pt idx="5">
                  <c:v>662.81259213198518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27-9449-B502-13F23F661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86131840"/>
        <c:axId val="2086133488"/>
      </c:barChart>
      <c:catAx>
        <c:axId val="208613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3488"/>
        <c:crosses val="autoZero"/>
        <c:auto val="1"/>
        <c:lblAlgn val="ctr"/>
        <c:lblOffset val="100"/>
        <c:noMultiLvlLbl val="0"/>
      </c:catAx>
      <c:valAx>
        <c:axId val="20861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/>
                  <a:t>CO</a:t>
                </a:r>
                <a:r>
                  <a:rPr lang="en-US" sz="1400" baseline="-25000"/>
                  <a:t>2</a:t>
                </a:r>
                <a:r>
                  <a:rPr lang="en-US" sz="1400" baseline="0"/>
                  <a:t> Price ($/ton)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896356705411823E-2"/>
          <c:y val="0.86177685336502752"/>
          <c:w val="0.93414588801399845"/>
          <c:h val="0.122638750344886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4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1</xdr:row>
      <xdr:rowOff>101600</xdr:rowOff>
    </xdr:from>
    <xdr:to>
      <xdr:col>13</xdr:col>
      <xdr:colOff>190500</xdr:colOff>
      <xdr:row>23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24</xdr:row>
      <xdr:rowOff>73891</xdr:rowOff>
    </xdr:from>
    <xdr:to>
      <xdr:col>11</xdr:col>
      <xdr:colOff>19050</xdr:colOff>
      <xdr:row>46</xdr:row>
      <xdr:rowOff>35791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114300</xdr:colOff>
      <xdr:row>24</xdr:row>
      <xdr:rowOff>88900</xdr:rowOff>
    </xdr:from>
    <xdr:to>
      <xdr:col>15</xdr:col>
      <xdr:colOff>12700</xdr:colOff>
      <xdr:row>46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46</xdr:row>
          <xdr:rowOff>101600</xdr:rowOff>
        </xdr:from>
        <xdr:to>
          <xdr:col>0</xdr:col>
          <xdr:colOff>1689100</xdr:colOff>
          <xdr:row>48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80</xdr:row>
          <xdr:rowOff>152400</xdr:rowOff>
        </xdr:from>
        <xdr:to>
          <xdr:col>0</xdr:col>
          <xdr:colOff>1625600</xdr:colOff>
          <xdr:row>83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Calculate Breakdown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533400</xdr:colOff>
      <xdr:row>77</xdr:row>
      <xdr:rowOff>0</xdr:rowOff>
    </xdr:from>
    <xdr:to>
      <xdr:col>11</xdr:col>
      <xdr:colOff>266700</xdr:colOff>
      <xdr:row>98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266700</xdr:colOff>
      <xdr:row>48</xdr:row>
      <xdr:rowOff>12700</xdr:rowOff>
    </xdr:from>
    <xdr:to>
      <xdr:col>11</xdr:col>
      <xdr:colOff>0</xdr:colOff>
      <xdr:row>70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</xdr:colOff>
          <xdr:row>108</xdr:row>
          <xdr:rowOff>152400</xdr:rowOff>
        </xdr:from>
        <xdr:to>
          <xdr:col>1</xdr:col>
          <xdr:colOff>723900</xdr:colOff>
          <xdr:row>111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2D Sweep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730250</xdr:colOff>
      <xdr:row>171</xdr:row>
      <xdr:rowOff>76200</xdr:rowOff>
    </xdr:from>
    <xdr:to>
      <xdr:col>6</xdr:col>
      <xdr:colOff>717550</xdr:colOff>
      <xdr:row>199</xdr:row>
      <xdr:rowOff>25400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939800</xdr:colOff>
      <xdr:row>212</xdr:row>
      <xdr:rowOff>38100</xdr:rowOff>
    </xdr:from>
    <xdr:to>
      <xdr:col>6</xdr:col>
      <xdr:colOff>927100</xdr:colOff>
      <xdr:row>239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787400</xdr:colOff>
      <xdr:row>3</xdr:row>
      <xdr:rowOff>127000</xdr:rowOff>
    </xdr:from>
    <xdr:to>
      <xdr:col>15</xdr:col>
      <xdr:colOff>406400</xdr:colOff>
      <xdr:row>29</xdr:row>
      <xdr:rowOff>54989</xdr:rowOff>
    </xdr:to>
    <xdr:pic>
      <xdr:nvPicPr>
        <xdr:cNvPr id="4" name="Content Placeholder 21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18100" y="838200"/>
          <a:ext cx="10972800" cy="4461889"/>
        </a:xfrm>
        <a:prstGeom prst="rect">
          <a:avLst/>
        </a:prstGeom>
      </xdr:spPr>
    </xdr:pic>
    <xdr:clientData/>
  </xdr:twoCellAnchor>
  <xdr:twoCellAnchor>
    <xdr:from>
      <xdr:col>3</xdr:col>
      <xdr:colOff>996950</xdr:colOff>
      <xdr:row>133</xdr:row>
      <xdr:rowOff>127000</xdr:rowOff>
    </xdr:from>
    <xdr:to>
      <xdr:col>6</xdr:col>
      <xdr:colOff>577850</xdr:colOff>
      <xdr:row>158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584200</xdr:colOff>
      <xdr:row>4</xdr:row>
      <xdr:rowOff>101600</xdr:rowOff>
    </xdr:from>
    <xdr:to>
      <xdr:col>26</xdr:col>
      <xdr:colOff>25400</xdr:colOff>
      <xdr:row>26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596900</xdr:colOff>
      <xdr:row>27</xdr:row>
      <xdr:rowOff>76200</xdr:rowOff>
    </xdr:from>
    <xdr:to>
      <xdr:col>26</xdr:col>
      <xdr:colOff>38100</xdr:colOff>
      <xdr:row>49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584200</xdr:colOff>
      <xdr:row>75</xdr:row>
      <xdr:rowOff>76200</xdr:rowOff>
    </xdr:from>
    <xdr:to>
      <xdr:col>26</xdr:col>
      <xdr:colOff>25400</xdr:colOff>
      <xdr:row>97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596900</xdr:colOff>
      <xdr:row>51</xdr:row>
      <xdr:rowOff>101600</xdr:rowOff>
    </xdr:from>
    <xdr:to>
      <xdr:col>26</xdr:col>
      <xdr:colOff>38100</xdr:colOff>
      <xdr:row>73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622300</xdr:colOff>
      <xdr:row>99</xdr:row>
      <xdr:rowOff>63500</xdr:rowOff>
    </xdr:from>
    <xdr:to>
      <xdr:col>26</xdr:col>
      <xdr:colOff>63500</xdr:colOff>
      <xdr:row>121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3</xdr:row>
      <xdr:rowOff>114300</xdr:rowOff>
    </xdr:from>
    <xdr:to>
      <xdr:col>5</xdr:col>
      <xdr:colOff>622300</xdr:colOff>
      <xdr:row>30</xdr:row>
      <xdr:rowOff>136259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1003300"/>
          <a:ext cx="7772400" cy="4479659"/>
        </a:xfrm>
        <a:prstGeom prst="rect">
          <a:avLst/>
        </a:prstGeom>
      </xdr:spPr>
    </xdr:pic>
    <xdr:clientData/>
  </xdr:twoCellAnchor>
  <xdr:twoCellAnchor editAs="oneCell">
    <xdr:from>
      <xdr:col>13</xdr:col>
      <xdr:colOff>1125656</xdr:colOff>
      <xdr:row>66</xdr:row>
      <xdr:rowOff>152400</xdr:rowOff>
    </xdr:from>
    <xdr:to>
      <xdr:col>18</xdr:col>
      <xdr:colOff>888999</xdr:colOff>
      <xdr:row>95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02456" y="11925300"/>
          <a:ext cx="6176843" cy="52959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67</xdr:row>
      <xdr:rowOff>35936</xdr:rowOff>
    </xdr:from>
    <xdr:to>
      <xdr:col>24</xdr:col>
      <xdr:colOff>690590</xdr:colOff>
      <xdr:row>94</xdr:row>
      <xdr:rowOff>18382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311100" y="11973936"/>
          <a:ext cx="6151590" cy="5011646"/>
        </a:xfrm>
        <a:prstGeom prst="rect">
          <a:avLst/>
        </a:prstGeom>
      </xdr:spPr>
    </xdr:pic>
    <xdr:clientData/>
  </xdr:twoCellAnchor>
  <xdr:twoCellAnchor editAs="oneCell">
    <xdr:from>
      <xdr:col>5</xdr:col>
      <xdr:colOff>914400</xdr:colOff>
      <xdr:row>3</xdr:row>
      <xdr:rowOff>98136</xdr:rowOff>
    </xdr:from>
    <xdr:to>
      <xdr:col>10</xdr:col>
      <xdr:colOff>927210</xdr:colOff>
      <xdr:row>31</xdr:row>
      <xdr:rowOff>12700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29600" y="987136"/>
          <a:ext cx="6426310" cy="4537364"/>
        </a:xfrm>
        <a:prstGeom prst="rect">
          <a:avLst/>
        </a:prstGeom>
      </xdr:spPr>
    </xdr:pic>
    <xdr:clientData/>
  </xdr:twoCellAnchor>
  <xdr:twoCellAnchor editAs="oneCell">
    <xdr:from>
      <xdr:col>12</xdr:col>
      <xdr:colOff>965200</xdr:colOff>
      <xdr:row>98</xdr:row>
      <xdr:rowOff>149788</xdr:rowOff>
    </xdr:from>
    <xdr:to>
      <xdr:col>17</xdr:col>
      <xdr:colOff>0</xdr:colOff>
      <xdr:row>113</xdr:row>
      <xdr:rowOff>172814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59300" y="17777388"/>
          <a:ext cx="5448300" cy="2613826"/>
        </a:xfrm>
        <a:prstGeom prst="rect">
          <a:avLst/>
        </a:prstGeom>
      </xdr:spPr>
    </xdr:pic>
    <xdr:clientData/>
  </xdr:twoCellAnchor>
  <xdr:twoCellAnchor editAs="oneCell">
    <xdr:from>
      <xdr:col>9</xdr:col>
      <xdr:colOff>660400</xdr:colOff>
      <xdr:row>71</xdr:row>
      <xdr:rowOff>101600</xdr:rowOff>
    </xdr:from>
    <xdr:to>
      <xdr:col>13</xdr:col>
      <xdr:colOff>419100</xdr:colOff>
      <xdr:row>85</xdr:row>
      <xdr:rowOff>139700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06400" y="12700000"/>
          <a:ext cx="4889500" cy="2921000"/>
        </a:xfrm>
        <a:prstGeom prst="rect">
          <a:avLst/>
        </a:prstGeom>
      </xdr:spPr>
    </xdr:pic>
    <xdr:clientData/>
  </xdr:twoCellAnchor>
  <xdr:twoCellAnchor editAs="oneCell">
    <xdr:from>
      <xdr:col>8</xdr:col>
      <xdr:colOff>177800</xdr:colOff>
      <xdr:row>144</xdr:row>
      <xdr:rowOff>152400</xdr:rowOff>
    </xdr:from>
    <xdr:to>
      <xdr:col>14</xdr:col>
      <xdr:colOff>254000</xdr:colOff>
      <xdr:row>172</xdr:row>
      <xdr:rowOff>9259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41100" y="25628600"/>
          <a:ext cx="7772400" cy="4479659"/>
        </a:xfrm>
        <a:prstGeom prst="rect">
          <a:avLst/>
        </a:prstGeom>
      </xdr:spPr>
    </xdr:pic>
    <xdr:clientData/>
  </xdr:twoCellAnchor>
  <xdr:twoCellAnchor>
    <xdr:from>
      <xdr:col>9</xdr:col>
      <xdr:colOff>558800</xdr:colOff>
      <xdr:row>115</xdr:row>
      <xdr:rowOff>88900</xdr:rowOff>
    </xdr:from>
    <xdr:to>
      <xdr:col>14</xdr:col>
      <xdr:colOff>546100</xdr:colOff>
      <xdr:row>142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rawent/Desktop/Caltech/ARPA-E/Working%20Spreadsheets/210805_Ocean%20CO2%20Captu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sults"/>
      <sheetName val="Cash flow analysis"/>
      <sheetName val="Process and cost assumptions"/>
      <sheetName val="Equipment reference"/>
      <sheetName val="Carbonate acidity"/>
      <sheetName val="Eisaman"/>
    </sheetNames>
    <sheetDataSet>
      <sheetData sheetId="0"/>
      <sheetData sheetId="1"/>
      <sheetData sheetId="2"/>
      <sheetData sheetId="3"/>
      <sheetData sheetId="4">
        <row r="20">
          <cell r="B20">
            <v>429.15337302287008</v>
          </cell>
        </row>
      </sheetData>
      <sheetData sheetId="5"/>
      <sheetData sheetId="6">
        <row r="132">
          <cell r="B132" t="str">
            <v>ED CapEx &amp; Replacements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Custom 7">
      <a:dk1>
        <a:srgbClr val="000000"/>
      </a:dk1>
      <a:lt1>
        <a:srgbClr val="FFFFFF"/>
      </a:lt1>
      <a:dk2>
        <a:srgbClr val="515151"/>
      </a:dk2>
      <a:lt2>
        <a:srgbClr val="CACACA"/>
      </a:lt2>
      <a:accent1>
        <a:srgbClr val="419EA6"/>
      </a:accent1>
      <a:accent2>
        <a:srgbClr val="2E4756"/>
      </a:accent2>
      <a:accent3>
        <a:srgbClr val="957186"/>
      </a:accent3>
      <a:accent4>
        <a:srgbClr val="C5D86D"/>
      </a:accent4>
      <a:accent5>
        <a:srgbClr val="E18334"/>
      </a:accent5>
      <a:accent6>
        <a:srgbClr val="919191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7">
    <a:dk1>
      <a:srgbClr val="000000"/>
    </a:dk1>
    <a:lt1>
      <a:srgbClr val="FFFFFF"/>
    </a:lt1>
    <a:dk2>
      <a:srgbClr val="515151"/>
    </a:dk2>
    <a:lt2>
      <a:srgbClr val="CACACA"/>
    </a:lt2>
    <a:accent1>
      <a:srgbClr val="419EA6"/>
    </a:accent1>
    <a:accent2>
      <a:srgbClr val="2E4756"/>
    </a:accent2>
    <a:accent3>
      <a:srgbClr val="957186"/>
    </a:accent3>
    <a:accent4>
      <a:srgbClr val="C5D86D"/>
    </a:accent4>
    <a:accent5>
      <a:srgbClr val="E18334"/>
    </a:accent5>
    <a:accent6>
      <a:srgbClr val="919191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Custom 7">
    <a:dk1>
      <a:srgbClr val="000000"/>
    </a:dk1>
    <a:lt1>
      <a:srgbClr val="FFFFFF"/>
    </a:lt1>
    <a:dk2>
      <a:srgbClr val="515151"/>
    </a:dk2>
    <a:lt2>
      <a:srgbClr val="CACACA"/>
    </a:lt2>
    <a:accent1>
      <a:srgbClr val="419EA6"/>
    </a:accent1>
    <a:accent2>
      <a:srgbClr val="2E4756"/>
    </a:accent2>
    <a:accent3>
      <a:srgbClr val="957186"/>
    </a:accent3>
    <a:accent4>
      <a:srgbClr val="C5D86D"/>
    </a:accent4>
    <a:accent5>
      <a:srgbClr val="E18334"/>
    </a:accent5>
    <a:accent6>
      <a:srgbClr val="919191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23BCA-D328-48DD-B357-C74F4332BC1C}">
  <sheetPr codeName="Sheet1"/>
  <dimension ref="A1:AK1013"/>
  <sheetViews>
    <sheetView zoomScaleNormal="100" workbookViewId="0">
      <pane ySplit="1" topLeftCell="A113" activePane="bottomLeft" state="frozen"/>
      <selection pane="bottomLeft" activeCell="F22" sqref="F22"/>
    </sheetView>
  </sheetViews>
  <sheetFormatPr baseColWidth="10" defaultColWidth="24.83203125" defaultRowHeight="13" x14ac:dyDescent="0.15"/>
  <cols>
    <col min="1" max="1" width="52.33203125" style="187" customWidth="1"/>
    <col min="2" max="8" width="24.83203125" style="100"/>
    <col min="9" max="11" width="24.83203125" style="187"/>
    <col min="12" max="12" width="24.83203125" style="198"/>
    <col min="13" max="16384" width="24.83203125" style="187"/>
  </cols>
  <sheetData>
    <row r="1" spans="1:37" ht="27" x14ac:dyDescent="0.35">
      <c r="A1" s="383" t="s">
        <v>344</v>
      </c>
      <c r="B1" s="205">
        <f>H2_cost_infl*tons_to_kg</f>
        <v>138.15249440013105</v>
      </c>
      <c r="C1" s="204" t="s">
        <v>150</v>
      </c>
      <c r="D1" s="187"/>
      <c r="E1" s="187"/>
      <c r="F1" s="187"/>
      <c r="G1" s="187"/>
      <c r="H1" s="206"/>
      <c r="L1" s="187"/>
    </row>
    <row r="2" spans="1:37" x14ac:dyDescent="0.15">
      <c r="A2" s="3"/>
      <c r="B2" s="3"/>
      <c r="C2" s="3"/>
      <c r="D2" s="3"/>
      <c r="E2" s="3"/>
      <c r="F2" s="207"/>
      <c r="G2" s="207"/>
      <c r="H2" s="208"/>
      <c r="I2" s="209"/>
      <c r="J2" s="210"/>
      <c r="K2" s="90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7" ht="16" x14ac:dyDescent="0.15">
      <c r="A3" s="91" t="s">
        <v>0</v>
      </c>
      <c r="B3" s="670" t="s">
        <v>595</v>
      </c>
      <c r="C3" s="213" t="s">
        <v>607</v>
      </c>
      <c r="D3" s="588"/>
      <c r="E3" s="6"/>
      <c r="F3" s="208"/>
      <c r="G3" s="208"/>
      <c r="H3" s="208"/>
      <c r="L3" s="187"/>
    </row>
    <row r="4" spans="1:37" ht="16" x14ac:dyDescent="0.15">
      <c r="A4" s="91"/>
      <c r="B4" s="671" t="s">
        <v>631</v>
      </c>
      <c r="C4" s="388" t="s">
        <v>608</v>
      </c>
      <c r="D4" s="213"/>
      <c r="E4" s="6"/>
      <c r="F4" s="208"/>
      <c r="G4" s="208"/>
      <c r="H4" s="208"/>
      <c r="L4" s="187"/>
    </row>
    <row r="5" spans="1:37" s="390" customFormat="1" x14ac:dyDescent="0.15">
      <c r="A5" s="388"/>
      <c r="B5" s="388"/>
      <c r="C5" s="388"/>
      <c r="D5" s="388"/>
      <c r="E5" s="388"/>
      <c r="F5" s="389"/>
    </row>
    <row r="6" spans="1:37" ht="15" x14ac:dyDescent="0.2">
      <c r="A6" s="211" t="s">
        <v>107</v>
      </c>
      <c r="B6" s="212">
        <f>D6*tons_to_kg/365</f>
        <v>2739726.0273972601</v>
      </c>
      <c r="C6" s="211" t="s">
        <v>109</v>
      </c>
      <c r="D6" s="543" cm="1">
        <f t="array" ref="D6">_xlfn.IFS(when="future",1000000,when="current",10000)</f>
        <v>1000000</v>
      </c>
      <c r="E6" s="211" t="s">
        <v>128</v>
      </c>
      <c r="F6" s="208"/>
    </row>
    <row r="7" spans="1:37" ht="15" x14ac:dyDescent="0.2">
      <c r="A7" s="211" t="s">
        <v>108</v>
      </c>
      <c r="B7" s="212">
        <f>design_cap*cap_factor</f>
        <v>2465753.4246575343</v>
      </c>
      <c r="C7" s="211" t="s">
        <v>109</v>
      </c>
      <c r="D7" s="212">
        <f>D6*cap_factor</f>
        <v>900000</v>
      </c>
      <c r="E7" s="211" t="s">
        <v>128</v>
      </c>
      <c r="F7" s="208"/>
    </row>
    <row r="8" spans="1:37" x14ac:dyDescent="0.15">
      <c r="A8" s="211" t="s">
        <v>25</v>
      </c>
      <c r="B8" s="92">
        <v>0.9</v>
      </c>
      <c r="C8" s="213"/>
      <c r="D8" s="213"/>
      <c r="E8" s="213"/>
      <c r="F8" s="214"/>
    </row>
    <row r="9" spans="1:37" x14ac:dyDescent="0.15">
      <c r="A9" s="211"/>
      <c r="B9" s="92"/>
      <c r="C9" s="213"/>
      <c r="D9" s="213"/>
      <c r="E9" s="213"/>
      <c r="F9" s="214"/>
    </row>
    <row r="10" spans="1:37" x14ac:dyDescent="0.15">
      <c r="A10" s="224" t="s">
        <v>144</v>
      </c>
      <c r="B10" s="224">
        <v>4</v>
      </c>
      <c r="C10" s="213"/>
      <c r="D10" s="212"/>
      <c r="E10" s="213"/>
      <c r="F10" s="215"/>
    </row>
    <row r="11" spans="1:37" x14ac:dyDescent="0.15">
      <c r="A11" s="226" t="s">
        <v>374</v>
      </c>
      <c r="B11" s="421">
        <v>0.9</v>
      </c>
      <c r="C11" s="421"/>
      <c r="D11" s="213"/>
      <c r="E11" s="213"/>
      <c r="F11" s="215"/>
    </row>
    <row r="12" spans="1:37" x14ac:dyDescent="0.15">
      <c r="A12" s="213" t="s">
        <v>145</v>
      </c>
      <c r="B12" s="213">
        <v>0.4</v>
      </c>
      <c r="C12" s="213"/>
      <c r="D12" s="213"/>
      <c r="E12" s="213"/>
      <c r="F12" s="93"/>
    </row>
    <row r="13" spans="1:37" x14ac:dyDescent="0.15">
      <c r="A13" s="213" t="s">
        <v>448</v>
      </c>
      <c r="B13" s="216">
        <f>LOOKUP(acid_pH,'Carbonate acidity'!F6:F146,'Carbonate acidity'!L6:L146)</f>
        <v>0.40059157152645453</v>
      </c>
      <c r="C13" s="213"/>
      <c r="D13" s="213"/>
      <c r="E13" s="213"/>
      <c r="F13" s="93"/>
    </row>
    <row r="14" spans="1:37" x14ac:dyDescent="0.15">
      <c r="A14" s="213" t="s">
        <v>450</v>
      </c>
      <c r="B14" s="510">
        <f>LOOKUP(OW_pH,'Carbonate acidity'!F6:F146,'Carbonate acidity'!L6:L146)</f>
        <v>2.5544523230981377E-3</v>
      </c>
      <c r="C14" s="213"/>
      <c r="D14" s="213"/>
      <c r="E14" s="213"/>
      <c r="F14" s="93"/>
    </row>
    <row r="15" spans="1:37" ht="15" x14ac:dyDescent="0.2">
      <c r="A15" s="43" t="s">
        <v>449</v>
      </c>
      <c r="B15" s="510">
        <f>LOOKUP(OW_pH,'Carbonate acidity'!F6:F146,'Carbonate acidity'!A6:A146)*ctf</f>
        <v>2.1700446845025019E-3</v>
      </c>
      <c r="C15" s="213"/>
      <c r="D15" s="213"/>
      <c r="E15" s="213"/>
      <c r="F15" s="93"/>
    </row>
    <row r="16" spans="1:37" ht="15" x14ac:dyDescent="0.2">
      <c r="A16" s="213" t="s">
        <v>167</v>
      </c>
      <c r="B16" s="217">
        <f>LOOKUP(OW_pH,'Carbonate acidity'!F6:F146,'Carbonate acidity'!A6:A146)/DIC_concentration</f>
        <v>0.98638394750113711</v>
      </c>
      <c r="C16" s="213"/>
      <c r="D16" s="213"/>
      <c r="E16" s="213"/>
      <c r="F16" s="94"/>
      <c r="AI16" s="3"/>
      <c r="AJ16" s="3"/>
      <c r="AK16" s="3"/>
    </row>
    <row r="17" spans="1:37" s="221" customFormat="1" x14ac:dyDescent="0.15">
      <c r="A17" s="222" t="s">
        <v>528</v>
      </c>
      <c r="B17" s="223">
        <f>LOOKUP(B10,'Carbonate acidity'!F6:F146,'Carbonate acidity'!O6:O146)</f>
        <v>6.4164941303283393E-3</v>
      </c>
      <c r="C17" s="613" t="s">
        <v>529</v>
      </c>
      <c r="D17" s="614">
        <f>1/fraction_oceanwater</f>
        <v>155.84834641605585</v>
      </c>
      <c r="E17" s="220"/>
      <c r="F17" s="94"/>
      <c r="AI17" s="5"/>
      <c r="AJ17" s="5"/>
      <c r="AK17" s="5"/>
    </row>
    <row r="18" spans="1:37" s="221" customFormat="1" x14ac:dyDescent="0.15">
      <c r="A18" s="222" t="s">
        <v>174</v>
      </c>
      <c r="B18" s="223">
        <v>4</v>
      </c>
      <c r="C18" s="43" t="s">
        <v>175</v>
      </c>
      <c r="D18" s="220"/>
      <c r="E18" s="220"/>
      <c r="F18" s="94"/>
      <c r="AI18" s="5"/>
      <c r="AJ18" s="5"/>
      <c r="AK18" s="5"/>
    </row>
    <row r="19" spans="1:37" s="221" customFormat="1" x14ac:dyDescent="0.15">
      <c r="A19" s="222"/>
      <c r="B19" s="223"/>
      <c r="C19" s="43"/>
      <c r="D19" s="220"/>
      <c r="E19" s="220"/>
      <c r="F19" s="94"/>
      <c r="AI19" s="5"/>
      <c r="AJ19" s="5"/>
      <c r="AK19" s="5"/>
    </row>
    <row r="20" spans="1:37" s="221" customFormat="1" x14ac:dyDescent="0.15">
      <c r="A20" s="222"/>
      <c r="B20" s="675" t="s">
        <v>613</v>
      </c>
      <c r="C20" s="676"/>
      <c r="D20" s="678"/>
      <c r="E20" s="220"/>
      <c r="AI20" s="5"/>
      <c r="AJ20" s="5"/>
      <c r="AK20" s="5"/>
    </row>
    <row r="21" spans="1:37" s="221" customFormat="1" ht="15" x14ac:dyDescent="0.2">
      <c r="A21" s="222" t="s">
        <v>604</v>
      </c>
      <c r="B21" s="219">
        <v>10</v>
      </c>
      <c r="C21" s="43" t="s">
        <v>605</v>
      </c>
      <c r="D21" s="679"/>
      <c r="E21" s="220"/>
      <c r="AI21" s="5"/>
      <c r="AJ21" s="5"/>
      <c r="AK21" s="5"/>
    </row>
    <row r="22" spans="1:37" s="221" customFormat="1" x14ac:dyDescent="0.15">
      <c r="A22" s="222" t="s">
        <v>601</v>
      </c>
      <c r="B22" s="223">
        <v>60</v>
      </c>
      <c r="C22" s="43" t="s">
        <v>606</v>
      </c>
      <c r="D22" s="679"/>
      <c r="E22" s="222"/>
      <c r="AI22" s="5"/>
      <c r="AJ22" s="5"/>
      <c r="AK22" s="5"/>
    </row>
    <row r="23" spans="1:37" s="221" customFormat="1" x14ac:dyDescent="0.15">
      <c r="A23" s="222" t="s">
        <v>602</v>
      </c>
      <c r="B23" s="223">
        <v>60</v>
      </c>
      <c r="C23" s="43" t="s">
        <v>606</v>
      </c>
      <c r="D23" s="674"/>
      <c r="E23" s="89"/>
      <c r="AI23" s="5"/>
      <c r="AJ23" s="5"/>
      <c r="AK23" s="5"/>
    </row>
    <row r="24" spans="1:37" s="221" customFormat="1" x14ac:dyDescent="0.15">
      <c r="A24" s="222" t="s">
        <v>600</v>
      </c>
      <c r="B24" s="518">
        <v>0.8</v>
      </c>
      <c r="C24" s="43"/>
      <c r="D24" s="680"/>
      <c r="E24" s="220"/>
      <c r="AI24" s="5"/>
      <c r="AJ24" s="5"/>
      <c r="AK24" s="5"/>
    </row>
    <row r="25" spans="1:37" s="221" customFormat="1" x14ac:dyDescent="0.15">
      <c r="A25" s="222" t="s">
        <v>603</v>
      </c>
      <c r="B25" s="223">
        <f>B22/B23</f>
        <v>1</v>
      </c>
      <c r="C25" s="43"/>
      <c r="D25" s="680"/>
      <c r="E25" s="89"/>
      <c r="AI25" s="5"/>
      <c r="AJ25" s="5"/>
      <c r="AK25" s="5"/>
    </row>
    <row r="26" spans="1:37" s="221" customFormat="1" x14ac:dyDescent="0.15">
      <c r="A26" s="222"/>
      <c r="B26" s="223"/>
      <c r="C26" s="43"/>
      <c r="D26" s="220"/>
      <c r="E26" s="220"/>
      <c r="F26" s="94"/>
      <c r="AI26" s="5"/>
      <c r="AJ26" s="5"/>
      <c r="AK26" s="5"/>
    </row>
    <row r="27" spans="1:37" s="221" customFormat="1" x14ac:dyDescent="0.15">
      <c r="A27" s="420" t="s">
        <v>457</v>
      </c>
      <c r="B27" s="689" cm="1">
        <f t="array" ref="B27">_xlfn.IFS(how="equilibrium",MIN(mc_efficiency*co2_per_DIC*ctf,mc_efficiency),how="steady-state",B24)</f>
        <v>0.8</v>
      </c>
      <c r="C27" s="517">
        <f>MAX(mc_efficiency*co2_per_DIC*ctf,40%)</f>
        <v>0.8877455527510234</v>
      </c>
      <c r="D27" s="517" cm="1">
        <f t="array" ref="D27">_xlfn.IFS(how="equilibrium",MIN(mc_efficiency*co2_per_DIC*ctf,mc_efficiency),how="steady-state",B24)</f>
        <v>0.8</v>
      </c>
      <c r="E27" s="224"/>
      <c r="F27" s="94"/>
      <c r="AI27" s="5"/>
      <c r="AJ27" s="5"/>
      <c r="AK27" s="5"/>
    </row>
    <row r="28" spans="1:37" s="221" customFormat="1" x14ac:dyDescent="0.15">
      <c r="A28" s="509" t="s">
        <v>456</v>
      </c>
      <c r="B28" s="518">
        <f>MIN(mc_efficiency*co2_per_DIC*ctf,mc_efficiency)</f>
        <v>0.8877455527510234</v>
      </c>
      <c r="C28" s="517"/>
      <c r="D28" s="517"/>
      <c r="E28" s="224"/>
      <c r="F28" s="681"/>
      <c r="AI28" s="5"/>
      <c r="AJ28" s="5"/>
      <c r="AK28" s="5"/>
    </row>
    <row r="29" spans="1:37" s="221" customFormat="1" x14ac:dyDescent="0.15">
      <c r="A29" s="420" t="s">
        <v>451</v>
      </c>
      <c r="B29" s="515">
        <v>1</v>
      </c>
      <c r="C29" s="421"/>
      <c r="D29" s="421"/>
      <c r="E29" s="224"/>
      <c r="F29" s="94"/>
      <c r="AI29" s="5"/>
      <c r="AJ29" s="5"/>
      <c r="AK29" s="5"/>
    </row>
    <row r="30" spans="1:37" s="221" customFormat="1" x14ac:dyDescent="0.15">
      <c r="A30" s="509" t="s">
        <v>452</v>
      </c>
      <c r="B30" s="516">
        <f>extraction_efficiency/(mc_efficiency*co2_per_DIC)</f>
        <v>0.90115911875975074</v>
      </c>
      <c r="C30" s="220"/>
      <c r="D30" s="673"/>
      <c r="E30" s="224"/>
      <c r="F30" s="94"/>
      <c r="AI30" s="5"/>
      <c r="AJ30" s="5"/>
      <c r="AK30" s="5"/>
    </row>
    <row r="31" spans="1:37" s="221" customFormat="1" x14ac:dyDescent="0.15">
      <c r="A31" s="509" t="s">
        <v>455</v>
      </c>
      <c r="B31" s="511">
        <f>B15/B14/ctf</f>
        <v>0.8495146552082008</v>
      </c>
      <c r="C31" s="421"/>
      <c r="D31" s="672"/>
      <c r="E31" s="224"/>
      <c r="F31" s="94"/>
      <c r="AI31" s="5"/>
      <c r="AJ31" s="5"/>
      <c r="AK31" s="5"/>
    </row>
    <row r="32" spans="1:37" s="221" customFormat="1" x14ac:dyDescent="0.15">
      <c r="A32" s="509" t="s">
        <v>530</v>
      </c>
      <c r="B32" s="511">
        <f>ctf_calc*B31</f>
        <v>0.76554787806091573</v>
      </c>
      <c r="C32" s="220"/>
      <c r="D32" s="673"/>
      <c r="E32" s="224"/>
      <c r="F32" s="94"/>
      <c r="AI32" s="5"/>
      <c r="AJ32" s="5"/>
      <c r="AK32" s="5"/>
    </row>
    <row r="33" spans="1:37" s="221" customFormat="1" x14ac:dyDescent="0.15">
      <c r="A33" s="218"/>
      <c r="B33" s="219"/>
      <c r="C33" s="220"/>
      <c r="D33" s="220"/>
      <c r="E33" s="220"/>
      <c r="F33" s="94"/>
      <c r="AI33" s="5"/>
      <c r="AJ33" s="5"/>
      <c r="AK33" s="5"/>
    </row>
    <row r="34" spans="1:37" s="221" customFormat="1" ht="15" x14ac:dyDescent="0.15">
      <c r="A34" s="224" t="s">
        <v>129</v>
      </c>
      <c r="B34" s="224">
        <v>500</v>
      </c>
      <c r="C34" s="226" t="s">
        <v>373</v>
      </c>
      <c r="D34" s="224"/>
      <c r="E34" s="92"/>
      <c r="F34" s="94"/>
      <c r="AI34" s="5"/>
      <c r="AJ34" s="5"/>
      <c r="AK34" s="5"/>
    </row>
    <row r="35" spans="1:37" s="221" customFormat="1" x14ac:dyDescent="0.15">
      <c r="A35" s="226" t="s">
        <v>130</v>
      </c>
      <c r="B35" s="419">
        <v>2.5</v>
      </c>
      <c r="C35" s="226" t="s">
        <v>131</v>
      </c>
      <c r="D35" s="419"/>
      <c r="E35" s="6"/>
      <c r="F35" s="94"/>
      <c r="AI35" s="5"/>
      <c r="AJ35" s="5"/>
      <c r="AK35" s="5"/>
    </row>
    <row r="36" spans="1:37" s="221" customFormat="1" x14ac:dyDescent="0.15">
      <c r="A36" s="211"/>
      <c r="B36" s="281"/>
      <c r="C36" s="211"/>
      <c r="D36" s="213"/>
      <c r="E36" s="6"/>
      <c r="F36" s="225"/>
      <c r="AI36" s="5"/>
      <c r="AJ36" s="5"/>
      <c r="AK36" s="5"/>
    </row>
    <row r="37" spans="1:37" s="221" customFormat="1" ht="15" x14ac:dyDescent="0.2">
      <c r="A37" s="211" t="s">
        <v>136</v>
      </c>
      <c r="B37" s="212">
        <f>400000*m3OW_to_kgCO2</f>
        <v>30976.000000000004</v>
      </c>
      <c r="C37" s="211" t="s">
        <v>109</v>
      </c>
      <c r="D37" s="212">
        <f>400000*m3OW_to_kgCO2</f>
        <v>30976.000000000004</v>
      </c>
      <c r="E37" s="211"/>
      <c r="F37" s="93"/>
      <c r="AI37" s="5"/>
      <c r="AJ37" s="5"/>
      <c r="AK37" s="5"/>
    </row>
    <row r="38" spans="1:37" s="221" customFormat="1" ht="15" x14ac:dyDescent="0.2">
      <c r="A38" s="211" t="s">
        <v>178</v>
      </c>
      <c r="B38" s="212">
        <f>20000*24*molar_mass</f>
        <v>21120</v>
      </c>
      <c r="C38" s="211" t="s">
        <v>109</v>
      </c>
      <c r="D38" s="212" t="s">
        <v>180</v>
      </c>
      <c r="E38" s="211"/>
      <c r="F38" s="93"/>
      <c r="AI38" s="5"/>
      <c r="AJ38" s="5"/>
      <c r="AK38" s="5"/>
    </row>
    <row r="39" spans="1:37" s="221" customFormat="1" x14ac:dyDescent="0.15">
      <c r="A39" s="211" t="s">
        <v>106</v>
      </c>
      <c r="B39" s="217">
        <v>0.6</v>
      </c>
      <c r="C39" s="211"/>
      <c r="D39" s="537">
        <f>labor_baseline_cap*365/tons_to_kg</f>
        <v>7708.8</v>
      </c>
      <c r="E39" s="6" t="s">
        <v>467</v>
      </c>
      <c r="F39" s="93"/>
      <c r="AI39" s="5"/>
      <c r="AJ39" s="5"/>
      <c r="AK39" s="5"/>
    </row>
    <row r="40" spans="1:37" s="221" customFormat="1" x14ac:dyDescent="0.15">
      <c r="A40" s="211" t="s">
        <v>179</v>
      </c>
      <c r="B40" s="217">
        <f>design_cap/baseline_cap</f>
        <v>88.446733839012779</v>
      </c>
      <c r="C40" s="211"/>
      <c r="D40" s="213"/>
      <c r="E40" s="6"/>
      <c r="F40" s="93"/>
      <c r="AI40" s="5"/>
      <c r="AJ40" s="5"/>
      <c r="AK40" s="5"/>
    </row>
    <row r="41" spans="1:37" s="221" customFormat="1" x14ac:dyDescent="0.15">
      <c r="A41" s="211" t="s">
        <v>183</v>
      </c>
      <c r="B41" s="217">
        <f>design_cap/labor_baseline_cap</f>
        <v>129.72187629721876</v>
      </c>
      <c r="C41" s="211"/>
      <c r="D41" s="213"/>
      <c r="E41" s="6"/>
      <c r="F41" s="93"/>
      <c r="AI41" s="5"/>
      <c r="AJ41" s="5"/>
      <c r="AK41" s="5"/>
    </row>
    <row r="42" spans="1:37" s="221" customFormat="1" x14ac:dyDescent="0.15">
      <c r="A42" s="220"/>
      <c r="B42" s="220"/>
      <c r="C42" s="220"/>
      <c r="D42" s="220"/>
      <c r="E42" s="211"/>
      <c r="F42" s="93"/>
      <c r="AI42" s="5"/>
      <c r="AJ42" s="5"/>
      <c r="AK42" s="5"/>
    </row>
    <row r="43" spans="1:37" s="221" customFormat="1" x14ac:dyDescent="0.15">
      <c r="A43" s="388" t="s">
        <v>26</v>
      </c>
      <c r="B43" s="388">
        <f>_xlfn.IFS(when="future",0.02,when="current",0.04)</f>
        <v>0.02</v>
      </c>
      <c r="C43" s="211" t="s">
        <v>27</v>
      </c>
      <c r="D43" s="227"/>
      <c r="E43" s="96"/>
      <c r="F43" s="93"/>
      <c r="AI43" s="5"/>
      <c r="AJ43" s="5"/>
      <c r="AK43" s="5"/>
    </row>
    <row r="44" spans="1:37" s="221" customFormat="1" x14ac:dyDescent="0.15">
      <c r="A44" s="228"/>
      <c r="B44" s="229"/>
      <c r="C44" s="228"/>
      <c r="D44" s="230"/>
      <c r="E44" s="3"/>
      <c r="F44" s="3"/>
      <c r="AI44" s="5"/>
      <c r="AJ44" s="5"/>
      <c r="AK44" s="5"/>
    </row>
    <row r="45" spans="1:37" s="221" customFormat="1" x14ac:dyDescent="0.15">
      <c r="A45" s="228"/>
      <c r="B45" s="228"/>
      <c r="C45" s="231"/>
      <c r="D45" s="230"/>
      <c r="E45" s="3"/>
      <c r="F45" s="3"/>
      <c r="AI45" s="5"/>
      <c r="AJ45" s="5"/>
      <c r="AK45" s="5"/>
    </row>
    <row r="46" spans="1:37" s="221" customFormat="1" x14ac:dyDescent="0.15">
      <c r="A46" s="232" t="s">
        <v>153</v>
      </c>
      <c r="B46" s="233">
        <f>VLOOKUP(startup_year,table_costindex,2,FALSE)/VLOOKUP(basis_year,table_costindex,2,FALSE)</f>
        <v>1</v>
      </c>
      <c r="C46" s="234"/>
      <c r="D46" s="234"/>
      <c r="E46" s="93"/>
      <c r="F46" s="93"/>
      <c r="AI46" s="5"/>
      <c r="AJ46" s="5"/>
      <c r="AK46" s="5"/>
    </row>
    <row r="47" spans="1:37" s="221" customFormat="1" x14ac:dyDescent="0.15">
      <c r="A47" s="232" t="s">
        <v>155</v>
      </c>
      <c r="B47" s="233">
        <f>VLOOKUP(startup_year,table_costindex,3,FALSE)/VLOOKUP(basis_year,table_costindex,3,FALSE)</f>
        <v>1</v>
      </c>
      <c r="C47" s="234"/>
      <c r="D47" s="234"/>
      <c r="E47" s="93"/>
      <c r="F47" s="93"/>
      <c r="AI47" s="5"/>
      <c r="AJ47" s="5"/>
      <c r="AK47" s="5"/>
    </row>
    <row r="48" spans="1:37" s="221" customFormat="1" x14ac:dyDescent="0.15">
      <c r="A48" s="232" t="s">
        <v>185</v>
      </c>
      <c r="B48" s="233">
        <f>VLOOKUP(startup_year,table_costindex,4,FALSE)/VLOOKUP(2016,table_costindex,4,FALSE)</f>
        <v>1.1208819429158414</v>
      </c>
      <c r="C48" s="234"/>
      <c r="D48" s="234"/>
      <c r="E48" s="93"/>
      <c r="F48" s="93"/>
      <c r="AI48" s="5"/>
      <c r="AJ48" s="5"/>
      <c r="AK48" s="5"/>
    </row>
    <row r="49" spans="1:37" s="221" customFormat="1" x14ac:dyDescent="0.15">
      <c r="A49" s="232" t="s">
        <v>154</v>
      </c>
      <c r="B49" s="233">
        <f>VLOOKUP(startup_year,table_costindex,5,FALSE)/VLOOKUP(basis_year,table_costindex,5,FALSE)</f>
        <v>1</v>
      </c>
      <c r="C49" s="234"/>
      <c r="D49" s="234"/>
      <c r="E49" s="93"/>
      <c r="F49" s="93"/>
      <c r="AI49" s="5"/>
      <c r="AJ49" s="5"/>
      <c r="AK49" s="5"/>
    </row>
    <row r="50" spans="1:37" s="221" customFormat="1" x14ac:dyDescent="0.15">
      <c r="A50" s="235"/>
      <c r="B50" s="235"/>
      <c r="C50" s="230"/>
      <c r="D50" s="230"/>
      <c r="E50" s="3"/>
      <c r="F50" s="3"/>
      <c r="AI50" s="5"/>
      <c r="AJ50" s="5"/>
      <c r="AK50" s="5"/>
    </row>
    <row r="51" spans="1:37" s="221" customFormat="1" x14ac:dyDescent="0.15">
      <c r="A51" s="228"/>
      <c r="B51" s="228"/>
      <c r="C51" s="230"/>
      <c r="D51" s="230"/>
      <c r="E51" s="3"/>
      <c r="F51" s="3"/>
      <c r="AI51" s="5"/>
      <c r="AJ51" s="5"/>
      <c r="AK51" s="5"/>
    </row>
    <row r="52" spans="1:37" s="221" customFormat="1" ht="16" x14ac:dyDescent="0.2">
      <c r="A52" s="236" t="s">
        <v>28</v>
      </c>
      <c r="B52" s="236"/>
      <c r="C52" s="237"/>
      <c r="D52" s="238"/>
      <c r="E52" s="238"/>
      <c r="F52" s="93"/>
      <c r="AG52" s="5"/>
      <c r="AH52" s="5"/>
      <c r="AI52" s="5"/>
    </row>
    <row r="53" spans="1:37" s="246" customFormat="1" ht="28" x14ac:dyDescent="0.15">
      <c r="A53" s="316"/>
      <c r="B53" s="316"/>
      <c r="C53" s="101" t="s">
        <v>334</v>
      </c>
      <c r="D53" s="101" t="s">
        <v>176</v>
      </c>
      <c r="E53" s="101" t="s">
        <v>335</v>
      </c>
      <c r="F53" s="153"/>
      <c r="AG53" s="154"/>
      <c r="AH53" s="154"/>
      <c r="AI53" s="154"/>
    </row>
    <row r="54" spans="1:37" s="221" customFormat="1" x14ac:dyDescent="0.15">
      <c r="A54" s="240" t="s">
        <v>189</v>
      </c>
      <c r="B54" s="240"/>
      <c r="C54" s="241">
        <f>cap_intake</f>
        <v>3249551.2565396908</v>
      </c>
      <c r="D54" s="242">
        <f t="shared" ref="D54:D59" si="0">C54*CEPCI_inflator</f>
        <v>3249551.2565396908</v>
      </c>
      <c r="E54" s="98">
        <f>D54*scale_ratio^scaling_factor_exponent</f>
        <v>47844549.71554742</v>
      </c>
      <c r="F54" s="93"/>
      <c r="AG54" s="5"/>
      <c r="AH54" s="5"/>
      <c r="AI54" s="5"/>
    </row>
    <row r="55" spans="1:37" s="221" customFormat="1" x14ac:dyDescent="0.15">
      <c r="A55" s="243" t="s">
        <v>113</v>
      </c>
      <c r="B55" s="243"/>
      <c r="C55" s="244">
        <f>cap_screening</f>
        <v>4220777.5509378407</v>
      </c>
      <c r="D55" s="242">
        <f t="shared" si="0"/>
        <v>4220777.5509378407</v>
      </c>
      <c r="E55" s="98" cm="1">
        <f t="array" ref="E55">D55*scale_ratio^scaling_factor_exponent</f>
        <v>62144334.842451639</v>
      </c>
      <c r="F55" s="93"/>
      <c r="AG55" s="5"/>
      <c r="AH55" s="5"/>
      <c r="AI55" s="5"/>
    </row>
    <row r="56" spans="1:37" s="221" customFormat="1" x14ac:dyDescent="0.15">
      <c r="A56" s="243" t="s">
        <v>192</v>
      </c>
      <c r="B56" s="243"/>
      <c r="C56" s="244">
        <f>cap_micro</f>
        <v>2236588.0413373508</v>
      </c>
      <c r="D56" s="242">
        <f t="shared" si="0"/>
        <v>2236588.0413373508</v>
      </c>
      <c r="E56" s="98" cm="1">
        <f t="array" ref="E56">D56*scale_ratio^scaling_factor_exponent</f>
        <v>32930253.837852236</v>
      </c>
      <c r="F56" s="93"/>
      <c r="AG56" s="5"/>
      <c r="AH56" s="5"/>
      <c r="AI56" s="5"/>
    </row>
    <row r="57" spans="1:37" s="221" customFormat="1" x14ac:dyDescent="0.15">
      <c r="A57" s="58" t="s">
        <v>148</v>
      </c>
      <c r="B57" s="58"/>
      <c r="C57" s="241">
        <f>cap_nano</f>
        <v>467876.25618050236</v>
      </c>
      <c r="D57" s="242">
        <f t="shared" si="0"/>
        <v>467876.25618050236</v>
      </c>
      <c r="E57" s="98" cm="1">
        <f t="array" ref="E57">D57*scale_ratio^scaling_factor_exponent</f>
        <v>6888744.6395873846</v>
      </c>
      <c r="F57" s="93"/>
      <c r="AG57" s="5"/>
      <c r="AH57" s="5"/>
      <c r="AI57" s="5"/>
    </row>
    <row r="58" spans="1:37" s="221" customFormat="1" x14ac:dyDescent="0.15">
      <c r="A58" s="58" t="s">
        <v>112</v>
      </c>
      <c r="B58" s="58"/>
      <c r="C58" s="241">
        <f>cap_ed</f>
        <v>964464.60761826427</v>
      </c>
      <c r="D58" s="242">
        <f t="shared" si="0"/>
        <v>964464.60761826427</v>
      </c>
      <c r="E58" s="98" cm="1">
        <f t="array" ref="E58">D58*scale_ratio^scaling_factor_exponent</f>
        <v>14200229.885653555</v>
      </c>
      <c r="F58" s="93"/>
      <c r="AG58" s="5"/>
      <c r="AH58" s="5"/>
      <c r="AI58" s="5"/>
    </row>
    <row r="59" spans="1:37" s="221" customFormat="1" ht="15" x14ac:dyDescent="0.2">
      <c r="A59" s="58" t="s">
        <v>317</v>
      </c>
      <c r="B59" s="58"/>
      <c r="C59" s="241">
        <f>cap_co2</f>
        <v>8778621.4071207568</v>
      </c>
      <c r="D59" s="242">
        <f t="shared" si="0"/>
        <v>8778621.4071207568</v>
      </c>
      <c r="E59" s="98" cm="1">
        <f t="array" ref="E59">D59*scale_ratio^scaling_factor_exponent</f>
        <v>129251442.79589172</v>
      </c>
      <c r="F59" s="93"/>
      <c r="AG59" s="5"/>
      <c r="AH59" s="5"/>
      <c r="AI59" s="5"/>
    </row>
    <row r="60" spans="1:37" s="221" customFormat="1" x14ac:dyDescent="0.15">
      <c r="A60" s="58" t="s">
        <v>495</v>
      </c>
      <c r="B60" s="58"/>
      <c r="C60" s="241"/>
      <c r="D60" s="242"/>
      <c r="E60" s="98">
        <v>0</v>
      </c>
      <c r="F60" s="93"/>
      <c r="AG60" s="5"/>
      <c r="AH60" s="5"/>
      <c r="AI60" s="5"/>
    </row>
    <row r="61" spans="1:37" s="246" customFormat="1" x14ac:dyDescent="0.15">
      <c r="A61" s="245" t="s">
        <v>29</v>
      </c>
      <c r="B61" s="245"/>
      <c r="C61" s="152">
        <f>SUM(C54:C59)</f>
        <v>19917879.119734406</v>
      </c>
      <c r="D61" s="152">
        <f>SUM(D54:D59)</f>
        <v>19917879.119734406</v>
      </c>
      <c r="E61" s="152">
        <f>SUM(E54:E60)</f>
        <v>293259555.71698391</v>
      </c>
      <c r="F61" s="153"/>
      <c r="AG61" s="154"/>
      <c r="AH61" s="154"/>
    </row>
    <row r="62" spans="1:37" s="221" customFormat="1" x14ac:dyDescent="0.15">
      <c r="A62" s="487"/>
      <c r="B62" s="487"/>
      <c r="C62" s="247"/>
      <c r="D62" s="247"/>
      <c r="E62" s="99"/>
      <c r="F62" s="100"/>
      <c r="AI62" s="5"/>
      <c r="AJ62" s="5"/>
    </row>
    <row r="63" spans="1:37" s="221" customFormat="1" x14ac:dyDescent="0.15">
      <c r="A63" s="239" t="s">
        <v>177</v>
      </c>
      <c r="B63" s="534">
        <f>E61/D61</f>
        <v>14.723432849154392</v>
      </c>
      <c r="C63" s="247" t="s">
        <v>181</v>
      </c>
      <c r="D63" s="247"/>
      <c r="E63" s="99"/>
      <c r="F63" s="100"/>
      <c r="AI63" s="5"/>
      <c r="AJ63" s="5"/>
    </row>
    <row r="64" spans="1:37" s="221" customFormat="1" x14ac:dyDescent="0.15">
      <c r="F64" s="100"/>
      <c r="AI64" s="5"/>
      <c r="AJ64" s="5"/>
    </row>
    <row r="65" spans="1:37" s="221" customFormat="1" x14ac:dyDescent="0.15">
      <c r="A65" s="228"/>
      <c r="B65" s="228"/>
      <c r="C65" s="230"/>
      <c r="D65" s="230"/>
      <c r="E65" s="3"/>
      <c r="F65" s="100"/>
      <c r="AI65" s="5"/>
      <c r="AJ65" s="5"/>
      <c r="AK65" s="5"/>
    </row>
    <row r="66" spans="1:37" s="221" customFormat="1" ht="16" x14ac:dyDescent="0.2">
      <c r="A66" s="68" t="s">
        <v>30</v>
      </c>
      <c r="B66" s="248"/>
      <c r="C66" s="249"/>
      <c r="D66" s="206"/>
      <c r="E66" s="206"/>
      <c r="F66" s="100"/>
      <c r="AI66" s="5"/>
      <c r="AJ66" s="5"/>
      <c r="AK66" s="5"/>
    </row>
    <row r="67" spans="1:37" x14ac:dyDescent="0.15">
      <c r="A67" s="248" t="s">
        <v>31</v>
      </c>
      <c r="B67" s="248">
        <v>1</v>
      </c>
      <c r="C67" s="249"/>
      <c r="D67" s="206"/>
      <c r="E67" s="206"/>
      <c r="AI67" s="3"/>
      <c r="AJ67" s="3"/>
      <c r="AK67" s="3"/>
    </row>
    <row r="68" spans="1:37" ht="14" x14ac:dyDescent="0.15">
      <c r="A68" s="102" t="s">
        <v>152</v>
      </c>
      <c r="B68" s="4">
        <v>2019</v>
      </c>
      <c r="C68" s="93"/>
      <c r="AI68" s="3"/>
      <c r="AJ68" s="3"/>
      <c r="AK68" s="3"/>
    </row>
    <row r="69" spans="1:37" ht="14" x14ac:dyDescent="0.15">
      <c r="A69" s="104" t="s">
        <v>151</v>
      </c>
      <c r="B69" s="1">
        <v>2019</v>
      </c>
      <c r="C69" s="93"/>
      <c r="AI69" s="3"/>
      <c r="AJ69" s="3"/>
      <c r="AK69" s="3"/>
    </row>
    <row r="70" spans="1:37" ht="14" x14ac:dyDescent="0.15">
      <c r="A70" s="104" t="s">
        <v>105</v>
      </c>
      <c r="B70" s="1">
        <v>2020</v>
      </c>
      <c r="C70" s="93"/>
    </row>
    <row r="71" spans="1:37" ht="14" x14ac:dyDescent="0.15">
      <c r="A71" s="104" t="s">
        <v>32</v>
      </c>
      <c r="B71" s="2">
        <v>1</v>
      </c>
      <c r="C71" s="93"/>
    </row>
    <row r="72" spans="1:37" ht="14" x14ac:dyDescent="0.15">
      <c r="A72" s="104" t="s">
        <v>33</v>
      </c>
      <c r="B72" s="2">
        <v>0</v>
      </c>
      <c r="C72" s="93"/>
    </row>
    <row r="73" spans="1:37" ht="14" x14ac:dyDescent="0.15">
      <c r="A73" s="105" t="s">
        <v>34</v>
      </c>
      <c r="B73" s="2">
        <v>0</v>
      </c>
      <c r="C73" s="93"/>
    </row>
    <row r="74" spans="1:37" ht="14" x14ac:dyDescent="0.15">
      <c r="A74" s="105" t="s">
        <v>35</v>
      </c>
      <c r="B74" s="2">
        <v>0</v>
      </c>
      <c r="C74" s="93"/>
    </row>
    <row r="75" spans="1:37" ht="14" x14ac:dyDescent="0.15">
      <c r="A75" s="104" t="s">
        <v>36</v>
      </c>
      <c r="B75" s="104">
        <v>1</v>
      </c>
      <c r="C75" s="93"/>
    </row>
    <row r="76" spans="1:37" ht="14" x14ac:dyDescent="0.15">
      <c r="A76" s="102" t="s">
        <v>37</v>
      </c>
      <c r="B76" s="102">
        <v>40</v>
      </c>
      <c r="C76" s="93"/>
    </row>
    <row r="77" spans="1:37" ht="14" x14ac:dyDescent="0.15">
      <c r="A77" s="104" t="s">
        <v>38</v>
      </c>
      <c r="B77" s="104">
        <f>plant_life</f>
        <v>40</v>
      </c>
      <c r="C77" s="93"/>
    </row>
    <row r="78" spans="1:37" ht="14" x14ac:dyDescent="0.15">
      <c r="A78" s="104" t="s">
        <v>39</v>
      </c>
      <c r="B78" s="104">
        <f>plant_life/2</f>
        <v>20</v>
      </c>
      <c r="C78" s="93"/>
    </row>
    <row r="79" spans="1:37" ht="14" x14ac:dyDescent="0.15">
      <c r="A79" s="102" t="s">
        <v>40</v>
      </c>
      <c r="B79" s="102" t="s">
        <v>101</v>
      </c>
      <c r="C79" s="93"/>
    </row>
    <row r="80" spans="1:37" ht="14" x14ac:dyDescent="0.15">
      <c r="A80" s="104" t="s">
        <v>41</v>
      </c>
      <c r="B80" s="107">
        <v>0.6</v>
      </c>
      <c r="C80" s="93"/>
    </row>
    <row r="81" spans="1:3" ht="14" x14ac:dyDescent="0.15">
      <c r="A81" s="104" t="s">
        <v>42</v>
      </c>
      <c r="B81" s="107">
        <v>0.4</v>
      </c>
      <c r="C81" s="93"/>
    </row>
    <row r="82" spans="1:3" ht="14" x14ac:dyDescent="0.15">
      <c r="A82" s="104" t="s">
        <v>43</v>
      </c>
      <c r="B82" s="108">
        <v>3.6999999999999998E-2</v>
      </c>
      <c r="C82" s="93"/>
    </row>
    <row r="83" spans="1:3" ht="14" x14ac:dyDescent="0.15">
      <c r="A83" s="104" t="s">
        <v>44</v>
      </c>
      <c r="B83" s="109">
        <v>0</v>
      </c>
      <c r="C83" s="93"/>
    </row>
    <row r="84" spans="1:3" ht="14" x14ac:dyDescent="0.15">
      <c r="A84" s="104" t="s">
        <v>45</v>
      </c>
      <c r="B84" s="2">
        <v>0.75</v>
      </c>
      <c r="C84" s="93"/>
    </row>
    <row r="85" spans="1:3" ht="14" x14ac:dyDescent="0.15">
      <c r="A85" s="104" t="s">
        <v>46</v>
      </c>
      <c r="B85" s="2">
        <v>0.5</v>
      </c>
      <c r="C85" s="93"/>
    </row>
    <row r="86" spans="1:3" ht="14" x14ac:dyDescent="0.15">
      <c r="A86" s="104" t="s">
        <v>47</v>
      </c>
      <c r="B86" s="2">
        <v>0.75</v>
      </c>
      <c r="C86" s="93"/>
    </row>
    <row r="87" spans="1:3" ht="14" x14ac:dyDescent="0.15">
      <c r="A87" s="104" t="s">
        <v>48</v>
      </c>
      <c r="B87" s="2">
        <v>0.1</v>
      </c>
      <c r="C87" s="93"/>
    </row>
    <row r="88" spans="1:3" ht="14" x14ac:dyDescent="0.15">
      <c r="A88" s="104" t="s">
        <v>49</v>
      </c>
      <c r="B88" s="2">
        <v>0.1</v>
      </c>
      <c r="C88" s="93"/>
    </row>
    <row r="89" spans="1:3" ht="14" x14ac:dyDescent="0.15">
      <c r="A89" s="104" t="s">
        <v>50</v>
      </c>
      <c r="B89" s="110">
        <v>1.9E-2</v>
      </c>
      <c r="C89" s="93"/>
    </row>
    <row r="90" spans="1:3" ht="14" x14ac:dyDescent="0.15">
      <c r="A90" s="104" t="s">
        <v>51</v>
      </c>
      <c r="B90" s="110">
        <v>0.06</v>
      </c>
      <c r="C90" s="93"/>
    </row>
    <row r="91" spans="1:3" ht="14" x14ac:dyDescent="0.15">
      <c r="A91" s="104" t="s">
        <v>52</v>
      </c>
      <c r="B91" s="110">
        <v>0.21</v>
      </c>
      <c r="C91" s="93"/>
    </row>
    <row r="92" spans="1:3" ht="14" x14ac:dyDescent="0.15">
      <c r="A92" s="104" t="s">
        <v>53</v>
      </c>
      <c r="B92" s="111">
        <f>B91+B90*(1-B91)</f>
        <v>0.25739999999999996</v>
      </c>
      <c r="C92" s="93"/>
    </row>
    <row r="93" spans="1:3" ht="14" x14ac:dyDescent="0.15">
      <c r="A93" s="104" t="s">
        <v>54</v>
      </c>
      <c r="B93" s="2">
        <v>0.15</v>
      </c>
      <c r="C93" s="93"/>
    </row>
    <row r="94" spans="1:3" x14ac:dyDescent="0.15">
      <c r="A94" s="103" t="s">
        <v>55</v>
      </c>
      <c r="B94" s="112">
        <v>0.06</v>
      </c>
      <c r="C94" s="93"/>
    </row>
    <row r="95" spans="1:3" x14ac:dyDescent="0.15">
      <c r="A95" s="103" t="s">
        <v>56</v>
      </c>
      <c r="B95" s="113">
        <f>((1+B94)*(1+inflation_rate))-1</f>
        <v>8.0139999999999878E-2</v>
      </c>
      <c r="C95" s="93"/>
    </row>
    <row r="96" spans="1:3" x14ac:dyDescent="0.15">
      <c r="A96" s="250" t="s">
        <v>156</v>
      </c>
      <c r="B96" s="114">
        <f>(1+inflation_rate)^(startup_year-basis_year)</f>
        <v>1</v>
      </c>
      <c r="C96" s="93"/>
    </row>
    <row r="97" spans="1:12" x14ac:dyDescent="0.15">
      <c r="A97" s="3"/>
      <c r="B97" s="3"/>
      <c r="C97" s="3"/>
      <c r="D97" s="3"/>
      <c r="E97" s="3"/>
      <c r="F97" s="3"/>
      <c r="G97" s="3"/>
    </row>
    <row r="98" spans="1:12" x14ac:dyDescent="0.15">
      <c r="A98" s="3"/>
      <c r="B98" s="3"/>
      <c r="C98" s="3"/>
      <c r="D98" s="3"/>
      <c r="E98" s="3"/>
      <c r="F98" s="3"/>
      <c r="G98" s="3"/>
    </row>
    <row r="99" spans="1:12" ht="16" x14ac:dyDescent="0.15">
      <c r="A99" s="38" t="s">
        <v>57</v>
      </c>
      <c r="B99" s="115"/>
      <c r="C99" s="115"/>
      <c r="D99" s="115"/>
      <c r="E99" s="115"/>
      <c r="G99" s="187"/>
      <c r="H99" s="187"/>
      <c r="J99" s="198"/>
      <c r="L99" s="187"/>
    </row>
    <row r="100" spans="1:12" s="403" customFormat="1" ht="42" x14ac:dyDescent="0.15">
      <c r="A100" s="38"/>
      <c r="B100" s="38"/>
      <c r="C100" s="407" t="s">
        <v>182</v>
      </c>
      <c r="D100" s="407" t="s">
        <v>336</v>
      </c>
      <c r="E100" s="407" t="s">
        <v>93</v>
      </c>
      <c r="F100" s="153"/>
      <c r="J100" s="404"/>
    </row>
    <row r="101" spans="1:12" ht="16" x14ac:dyDescent="0.15">
      <c r="A101" s="116" t="s">
        <v>59</v>
      </c>
      <c r="B101" s="38"/>
      <c r="C101" s="251"/>
      <c r="D101" s="251"/>
      <c r="E101" s="117"/>
      <c r="F101" s="93"/>
      <c r="G101" s="187"/>
      <c r="H101" s="187"/>
      <c r="J101" s="198"/>
      <c r="L101" s="187"/>
    </row>
    <row r="102" spans="1:12" x14ac:dyDescent="0.15">
      <c r="A102" s="115" t="s">
        <v>60</v>
      </c>
      <c r="B102" s="115"/>
      <c r="C102" s="118">
        <f>E61</f>
        <v>293259555.71698391</v>
      </c>
      <c r="D102" s="115">
        <v>1</v>
      </c>
      <c r="E102" s="118">
        <f t="shared" ref="E102:E107" si="1">C102*D102</f>
        <v>293259555.71698391</v>
      </c>
      <c r="F102" s="93"/>
      <c r="G102" s="187"/>
      <c r="H102" s="187"/>
      <c r="J102" s="198"/>
      <c r="L102" s="187"/>
    </row>
    <row r="103" spans="1:12" x14ac:dyDescent="0.15">
      <c r="A103" s="115" t="s">
        <v>61</v>
      </c>
      <c r="B103" s="115"/>
      <c r="C103" s="118"/>
      <c r="D103" s="115"/>
      <c r="E103" s="118">
        <f t="shared" si="1"/>
        <v>0</v>
      </c>
      <c r="F103" s="129"/>
      <c r="G103" s="187"/>
      <c r="H103" s="187"/>
      <c r="J103" s="198"/>
      <c r="L103" s="187"/>
    </row>
    <row r="104" spans="1:12" x14ac:dyDescent="0.15">
      <c r="A104" s="402" t="s">
        <v>62</v>
      </c>
      <c r="B104" s="119">
        <v>0.02</v>
      </c>
      <c r="C104" s="118">
        <f>B104*$C$102</f>
        <v>5865191.1143396785</v>
      </c>
      <c r="D104" s="115">
        <v>1</v>
      </c>
      <c r="E104" s="118">
        <f t="shared" si="1"/>
        <v>5865191.1143396785</v>
      </c>
      <c r="F104" s="95"/>
      <c r="G104" s="187"/>
      <c r="H104" s="187"/>
      <c r="J104" s="198"/>
      <c r="L104" s="187"/>
    </row>
    <row r="105" spans="1:12" x14ac:dyDescent="0.15">
      <c r="A105" s="402" t="s">
        <v>63</v>
      </c>
      <c r="B105" s="119">
        <v>0.1</v>
      </c>
      <c r="C105" s="118">
        <f>B105*$C$102</f>
        <v>29325955.571698394</v>
      </c>
      <c r="D105" s="115">
        <v>1</v>
      </c>
      <c r="E105" s="118">
        <f t="shared" si="1"/>
        <v>29325955.571698394</v>
      </c>
      <c r="F105" s="120"/>
      <c r="G105" s="187"/>
      <c r="H105" s="187"/>
      <c r="J105" s="198"/>
      <c r="L105" s="187"/>
    </row>
    <row r="106" spans="1:12" x14ac:dyDescent="0.15">
      <c r="A106" s="402" t="s">
        <v>64</v>
      </c>
      <c r="B106" s="119">
        <v>0.15</v>
      </c>
      <c r="C106" s="118">
        <f>B106*$C$102</f>
        <v>43988933.357547589</v>
      </c>
      <c r="D106" s="115">
        <v>1</v>
      </c>
      <c r="E106" s="118">
        <f t="shared" si="1"/>
        <v>43988933.357547589</v>
      </c>
      <c r="F106" s="120"/>
      <c r="G106" s="187"/>
      <c r="H106" s="187"/>
      <c r="J106" s="198"/>
      <c r="L106" s="187"/>
    </row>
    <row r="107" spans="1:12" x14ac:dyDescent="0.15">
      <c r="A107" s="402" t="s">
        <v>149</v>
      </c>
      <c r="B107" s="121">
        <v>7.4999999999999997E-2</v>
      </c>
      <c r="C107" s="118">
        <f>B107*$C$102</f>
        <v>21994466.678773794</v>
      </c>
      <c r="D107" s="115">
        <v>1</v>
      </c>
      <c r="E107" s="118">
        <f t="shared" si="1"/>
        <v>21994466.678773794</v>
      </c>
      <c r="F107" s="120"/>
      <c r="G107" s="187"/>
      <c r="H107" s="187"/>
      <c r="J107" s="198"/>
      <c r="L107" s="187"/>
    </row>
    <row r="108" spans="1:12" x14ac:dyDescent="0.15">
      <c r="A108" s="116" t="s">
        <v>65</v>
      </c>
      <c r="B108" s="119"/>
      <c r="C108" s="118"/>
      <c r="D108" s="115"/>
      <c r="E108" s="122">
        <f>SUM(E102:E107)</f>
        <v>394434102.43934333</v>
      </c>
      <c r="F108" s="120"/>
      <c r="G108" s="187"/>
      <c r="H108" s="187"/>
      <c r="J108" s="198"/>
      <c r="L108" s="187"/>
    </row>
    <row r="109" spans="1:12" x14ac:dyDescent="0.15">
      <c r="A109" s="116"/>
      <c r="B109" s="119"/>
      <c r="C109" s="118"/>
      <c r="D109" s="115"/>
      <c r="E109" s="115"/>
      <c r="F109" s="120"/>
      <c r="G109" s="187"/>
      <c r="H109" s="187"/>
      <c r="J109" s="198"/>
      <c r="L109" s="187"/>
    </row>
    <row r="110" spans="1:12" x14ac:dyDescent="0.15">
      <c r="A110" s="116" t="s">
        <v>66</v>
      </c>
      <c r="B110" s="119"/>
      <c r="C110" s="118"/>
      <c r="D110" s="115"/>
      <c r="E110" s="115"/>
      <c r="F110" s="120"/>
      <c r="G110" s="187"/>
      <c r="H110" s="187"/>
      <c r="J110" s="198"/>
      <c r="L110" s="187"/>
    </row>
    <row r="111" spans="1:12" x14ac:dyDescent="0.15">
      <c r="A111" s="115" t="s">
        <v>67</v>
      </c>
      <c r="B111" s="115">
        <v>0</v>
      </c>
      <c r="C111" s="118">
        <v>0</v>
      </c>
      <c r="D111" s="123">
        <f>CPI_inflator*scale_factor</f>
        <v>14.723432849154392</v>
      </c>
      <c r="E111" s="117">
        <f>C111*D111</f>
        <v>0</v>
      </c>
      <c r="F111" s="124"/>
      <c r="G111" s="187"/>
      <c r="H111" s="187"/>
      <c r="J111" s="198"/>
      <c r="L111" s="187"/>
    </row>
    <row r="112" spans="1:12" x14ac:dyDescent="0.15">
      <c r="A112" s="116" t="s">
        <v>68</v>
      </c>
      <c r="B112" s="115"/>
      <c r="C112" s="118"/>
      <c r="D112" s="115"/>
      <c r="E112" s="122">
        <f>SUM(E108:E111)</f>
        <v>394434102.43934333</v>
      </c>
      <c r="F112" s="93"/>
      <c r="G112" s="187"/>
      <c r="H112" s="187"/>
      <c r="J112" s="198"/>
      <c r="L112" s="187"/>
    </row>
    <row r="113" spans="1:33" x14ac:dyDescent="0.15">
      <c r="A113" s="3"/>
      <c r="B113" s="3"/>
      <c r="C113" s="3"/>
      <c r="D113" s="3"/>
      <c r="E113" s="3"/>
      <c r="F113" s="3"/>
      <c r="G113" s="3"/>
      <c r="H113" s="93"/>
    </row>
    <row r="114" spans="1:33" x14ac:dyDescent="0.15">
      <c r="A114" s="3"/>
      <c r="B114" s="3"/>
      <c r="C114" s="90"/>
      <c r="D114" s="3"/>
      <c r="E114" s="90"/>
      <c r="F114" s="3"/>
      <c r="G114" s="3"/>
      <c r="H114" s="95"/>
    </row>
    <row r="115" spans="1:33" ht="16" x14ac:dyDescent="0.15">
      <c r="A115" s="37" t="s">
        <v>14</v>
      </c>
      <c r="B115" s="125"/>
      <c r="C115" s="125"/>
      <c r="D115" s="125"/>
      <c r="E115" s="125"/>
      <c r="F115" s="124"/>
      <c r="G115" s="187"/>
      <c r="H115" s="187"/>
      <c r="J115" s="198"/>
      <c r="L115" s="187"/>
    </row>
    <row r="116" spans="1:33" s="403" customFormat="1" ht="28" x14ac:dyDescent="0.15">
      <c r="A116" s="37"/>
      <c r="B116" s="37"/>
      <c r="C116" s="406" t="s">
        <v>184</v>
      </c>
      <c r="D116" s="406" t="s">
        <v>336</v>
      </c>
      <c r="E116" s="406" t="s">
        <v>93</v>
      </c>
      <c r="F116" s="153"/>
      <c r="J116" s="404"/>
    </row>
    <row r="117" spans="1:33" x14ac:dyDescent="0.15">
      <c r="A117" s="125" t="s">
        <v>186</v>
      </c>
      <c r="B117" s="126">
        <v>10.5</v>
      </c>
      <c r="C117" s="127">
        <f>9*35000+1*60000+0.5*80000</f>
        <v>415000</v>
      </c>
      <c r="D117" s="126" cm="1">
        <f t="array" ref="D117">labor_scale_ratio^0.25*labor_inflator</f>
        <v>3.7827982398272137</v>
      </c>
      <c r="E117" s="127">
        <f>C117*D117</f>
        <v>1569861.2695282937</v>
      </c>
      <c r="F117" s="93"/>
      <c r="G117" s="187"/>
      <c r="H117" s="187"/>
      <c r="J117" s="198"/>
      <c r="L117" s="187"/>
    </row>
    <row r="118" spans="1:33" x14ac:dyDescent="0.15">
      <c r="A118" s="125" t="s">
        <v>69</v>
      </c>
      <c r="B118" s="128">
        <v>0.2</v>
      </c>
      <c r="C118" s="127">
        <f>B118*C117</f>
        <v>83000</v>
      </c>
      <c r="D118" s="126" cm="1">
        <f t="array" ref="D118">labor_scale_ratio^0.25*labor_inflator</f>
        <v>3.7827982398272137</v>
      </c>
      <c r="E118" s="127">
        <f>C118*D118</f>
        <v>313972.25390565873</v>
      </c>
      <c r="F118" s="93"/>
      <c r="G118" s="187"/>
      <c r="H118" s="187"/>
      <c r="J118" s="198"/>
      <c r="L118" s="187"/>
    </row>
    <row r="119" spans="1:33" x14ac:dyDescent="0.15">
      <c r="A119" s="125" t="s">
        <v>70</v>
      </c>
      <c r="B119" s="128">
        <v>0.02</v>
      </c>
      <c r="C119" s="127"/>
      <c r="D119" s="126"/>
      <c r="E119" s="127">
        <f>B119*total_capital</f>
        <v>7888682.0487868665</v>
      </c>
      <c r="F119" s="129"/>
      <c r="G119" s="187"/>
      <c r="H119" s="187"/>
      <c r="J119" s="198"/>
      <c r="L119" s="187"/>
    </row>
    <row r="120" spans="1:33" x14ac:dyDescent="0.15">
      <c r="A120" s="125" t="s">
        <v>71</v>
      </c>
      <c r="B120" s="128">
        <v>0.03</v>
      </c>
      <c r="C120" s="127"/>
      <c r="D120" s="126">
        <v>1</v>
      </c>
      <c r="E120" s="127">
        <f>B120*direct_cap*D120</f>
        <v>8797786.6715095174</v>
      </c>
      <c r="F120" s="120"/>
      <c r="G120" s="187"/>
      <c r="H120" s="187"/>
      <c r="J120" s="198"/>
      <c r="L120" s="187"/>
      <c r="AG120" s="198"/>
    </row>
    <row r="121" spans="1:33" x14ac:dyDescent="0.15">
      <c r="A121" s="130" t="s">
        <v>72</v>
      </c>
      <c r="B121" s="128"/>
      <c r="C121" s="127"/>
      <c r="D121" s="125"/>
      <c r="E121" s="131">
        <f>SUM(E117:E120)</f>
        <v>18570302.243730336</v>
      </c>
      <c r="F121" s="120"/>
      <c r="G121" s="187"/>
      <c r="H121" s="187"/>
      <c r="J121" s="198"/>
      <c r="L121" s="187"/>
    </row>
    <row r="122" spans="1:33" x14ac:dyDescent="0.15">
      <c r="A122" s="3"/>
      <c r="B122" s="3"/>
      <c r="C122" s="3"/>
      <c r="D122" s="3"/>
      <c r="E122" s="3"/>
      <c r="F122" s="3"/>
      <c r="G122" s="3"/>
      <c r="H122" s="120"/>
    </row>
    <row r="123" spans="1:33" x14ac:dyDescent="0.15">
      <c r="A123" s="3"/>
      <c r="B123" s="3"/>
      <c r="C123" s="90"/>
      <c r="D123" s="3"/>
      <c r="E123" s="90"/>
      <c r="F123" s="3"/>
      <c r="G123" s="3"/>
      <c r="H123" s="120"/>
    </row>
    <row r="124" spans="1:33" ht="16" x14ac:dyDescent="0.15">
      <c r="A124" s="132" t="s">
        <v>15</v>
      </c>
      <c r="B124" s="133"/>
      <c r="C124" s="133"/>
      <c r="D124" s="133"/>
      <c r="E124" s="133"/>
      <c r="F124" s="187"/>
      <c r="G124" s="187"/>
      <c r="H124" s="187"/>
      <c r="I124" s="198"/>
      <c r="L124" s="187"/>
    </row>
    <row r="125" spans="1:33" s="403" customFormat="1" ht="28" x14ac:dyDescent="0.15">
      <c r="A125" s="132"/>
      <c r="B125" s="132"/>
      <c r="C125" s="405" t="s">
        <v>93</v>
      </c>
      <c r="D125" s="405" t="s">
        <v>336</v>
      </c>
      <c r="E125" s="405" t="s">
        <v>93</v>
      </c>
      <c r="I125" s="404"/>
    </row>
    <row r="126" spans="1:33" x14ac:dyDescent="0.15">
      <c r="A126" s="133" t="s">
        <v>73</v>
      </c>
      <c r="B126" s="133"/>
      <c r="C126" s="148"/>
      <c r="D126" s="149"/>
      <c r="E126" s="148"/>
      <c r="F126" s="187"/>
      <c r="G126" s="187"/>
      <c r="H126" s="187"/>
      <c r="I126" s="198"/>
      <c r="L126" s="187"/>
    </row>
    <row r="127" spans="1:33" x14ac:dyDescent="0.15">
      <c r="A127" s="252" t="s">
        <v>328</v>
      </c>
      <c r="B127" s="391">
        <f>energy_intake</f>
        <v>0.56116480826410053</v>
      </c>
      <c r="C127" s="150">
        <f>energy_intake*avg_prod*elec_cost*365</f>
        <v>10100966.548753811</v>
      </c>
      <c r="D127" s="151">
        <v>1</v>
      </c>
      <c r="E127" s="148">
        <f>C127*D127</f>
        <v>10100966.548753811</v>
      </c>
      <c r="F127" s="187"/>
      <c r="G127" s="187"/>
      <c r="H127" s="187"/>
      <c r="I127" s="198"/>
      <c r="L127" s="187"/>
    </row>
    <row r="128" spans="1:33" x14ac:dyDescent="0.15">
      <c r="A128" s="253" t="s">
        <v>329</v>
      </c>
      <c r="B128" s="391">
        <v>0</v>
      </c>
      <c r="C128" s="150">
        <f>energy_screening*avg_prod*elec_cost*365</f>
        <v>0</v>
      </c>
      <c r="D128" s="151">
        <v>1</v>
      </c>
      <c r="E128" s="148">
        <f t="shared" ref="E128:E133" si="2">C128*D128</f>
        <v>0</v>
      </c>
      <c r="F128" s="187"/>
      <c r="G128" s="187"/>
      <c r="H128" s="187"/>
      <c r="I128" s="198"/>
      <c r="L128" s="187"/>
    </row>
    <row r="129" spans="1:12" x14ac:dyDescent="0.15">
      <c r="A129" s="253" t="s">
        <v>330</v>
      </c>
      <c r="B129" s="391">
        <f>energy_micro</f>
        <v>2.2696791380919523E-2</v>
      </c>
      <c r="C129" s="150">
        <f>energy_micro*avg_prod*elec_cost*365</f>
        <v>408542.24485655141</v>
      </c>
      <c r="D129" s="151">
        <v>1</v>
      </c>
      <c r="E129" s="148">
        <f t="shared" si="2"/>
        <v>408542.24485655141</v>
      </c>
      <c r="F129" s="187"/>
      <c r="G129" s="187"/>
      <c r="H129" s="187"/>
      <c r="I129" s="198"/>
      <c r="L129" s="187"/>
    </row>
    <row r="130" spans="1:12" x14ac:dyDescent="0.15">
      <c r="A130" s="22" t="s">
        <v>331</v>
      </c>
      <c r="B130" s="391">
        <f>energy_nano</f>
        <v>1.9809764573611915E-2</v>
      </c>
      <c r="C130" s="150">
        <f>energy_nano*avg_prod*elec_cost*365</f>
        <v>356575.76232501445</v>
      </c>
      <c r="D130" s="151">
        <v>1</v>
      </c>
      <c r="E130" s="148">
        <f t="shared" si="2"/>
        <v>356575.76232501445</v>
      </c>
      <c r="F130" s="187"/>
      <c r="G130" s="187"/>
      <c r="H130" s="187"/>
      <c r="I130" s="198"/>
      <c r="L130" s="187"/>
    </row>
    <row r="131" spans="1:12" x14ac:dyDescent="0.15">
      <c r="A131" s="22" t="s">
        <v>332</v>
      </c>
      <c r="B131" s="391">
        <f>energy_ed</f>
        <v>2.2239904802295425</v>
      </c>
      <c r="C131" s="150">
        <f>energy_ed*avg_prod*elec_cost*365</f>
        <v>40031828.644131772</v>
      </c>
      <c r="D131" s="151">
        <v>1</v>
      </c>
      <c r="E131" s="148">
        <f t="shared" si="2"/>
        <v>40031828.644131772</v>
      </c>
      <c r="F131" s="187"/>
      <c r="G131" s="187"/>
      <c r="H131" s="187"/>
      <c r="I131" s="198"/>
      <c r="L131" s="187"/>
    </row>
    <row r="132" spans="1:12" ht="15" x14ac:dyDescent="0.2">
      <c r="A132" s="22" t="s">
        <v>333</v>
      </c>
      <c r="B132" s="391">
        <f>energy_co2</f>
        <v>0.3714188626928599</v>
      </c>
      <c r="C132" s="150">
        <f>energy_co2*avg_prod*elec_cost*365</f>
        <v>6685539.5284714792</v>
      </c>
      <c r="D132" s="151">
        <v>1</v>
      </c>
      <c r="E132" s="148">
        <f t="shared" si="2"/>
        <v>6685539.5284714792</v>
      </c>
      <c r="F132" s="187"/>
      <c r="G132" s="187"/>
      <c r="H132" s="187"/>
      <c r="I132" s="198"/>
      <c r="L132" s="187"/>
    </row>
    <row r="133" spans="1:12" x14ac:dyDescent="0.15">
      <c r="A133" s="133" t="s">
        <v>74</v>
      </c>
      <c r="B133" s="135"/>
      <c r="C133" s="148">
        <v>0</v>
      </c>
      <c r="D133" s="149">
        <v>1</v>
      </c>
      <c r="E133" s="148">
        <f t="shared" si="2"/>
        <v>0</v>
      </c>
      <c r="F133" s="187"/>
      <c r="G133" s="187"/>
      <c r="H133" s="187"/>
      <c r="I133" s="198"/>
      <c r="L133" s="187"/>
    </row>
    <row r="134" spans="1:12" x14ac:dyDescent="0.15">
      <c r="A134" s="136" t="s">
        <v>75</v>
      </c>
      <c r="B134" s="392">
        <f>SUM(B126:B133)</f>
        <v>3.1990807071410345</v>
      </c>
      <c r="C134" s="134">
        <f>SUM(C126:C133)</f>
        <v>57583452.728538625</v>
      </c>
      <c r="D134" s="134"/>
      <c r="E134" s="134">
        <f>SUM(E126:E133)</f>
        <v>57583452.728538625</v>
      </c>
      <c r="F134" s="187"/>
      <c r="G134" s="187"/>
      <c r="H134" s="187"/>
      <c r="I134" s="198"/>
      <c r="L134" s="187"/>
    </row>
    <row r="135" spans="1:12" x14ac:dyDescent="0.15">
      <c r="A135" s="3"/>
      <c r="B135" s="3"/>
      <c r="C135" s="3"/>
      <c r="D135" s="3"/>
      <c r="E135" s="3"/>
      <c r="F135" s="93"/>
      <c r="G135" s="187"/>
      <c r="H135" s="187"/>
      <c r="J135" s="198"/>
      <c r="L135" s="187"/>
    </row>
    <row r="136" spans="1:12" x14ac:dyDescent="0.15">
      <c r="A136" s="3"/>
      <c r="B136" s="3"/>
      <c r="C136" s="3"/>
      <c r="D136" s="3"/>
      <c r="E136" s="3"/>
      <c r="F136" s="93"/>
      <c r="G136" s="187"/>
      <c r="H136" s="187"/>
      <c r="J136" s="198"/>
      <c r="L136" s="187"/>
    </row>
    <row r="137" spans="1:12" ht="16" x14ac:dyDescent="0.15">
      <c r="A137" s="525" t="s">
        <v>76</v>
      </c>
      <c r="B137" s="526"/>
      <c r="C137" s="526"/>
      <c r="D137" s="526"/>
      <c r="E137" s="526"/>
      <c r="F137" s="93"/>
      <c r="G137" s="187"/>
      <c r="H137" s="187"/>
      <c r="J137" s="198"/>
      <c r="L137" s="187"/>
    </row>
    <row r="138" spans="1:12" s="403" customFormat="1" ht="14" x14ac:dyDescent="0.15">
      <c r="A138" s="527"/>
      <c r="B138" s="527"/>
      <c r="C138" s="528" t="s">
        <v>363</v>
      </c>
      <c r="D138" s="527" t="s">
        <v>77</v>
      </c>
      <c r="E138" s="528" t="s">
        <v>58</v>
      </c>
      <c r="F138" s="153"/>
      <c r="J138" s="404"/>
    </row>
    <row r="139" spans="1:12" x14ac:dyDescent="0.15">
      <c r="A139" s="526" t="s">
        <v>78</v>
      </c>
      <c r="B139" s="529">
        <v>5.0000000000000001E-3</v>
      </c>
      <c r="C139" s="530">
        <v>1</v>
      </c>
      <c r="D139" s="531">
        <f>direct_cap</f>
        <v>293259555.71698391</v>
      </c>
      <c r="E139" s="531">
        <f>B139*D139</f>
        <v>1466297.7785849196</v>
      </c>
      <c r="F139" s="93"/>
      <c r="G139" s="187"/>
      <c r="H139" s="187"/>
      <c r="J139" s="198"/>
      <c r="L139" s="187"/>
    </row>
    <row r="140" spans="1:12" x14ac:dyDescent="0.15">
      <c r="A140" s="532" t="s">
        <v>434</v>
      </c>
      <c r="B140" s="533">
        <v>0.15</v>
      </c>
      <c r="C140" s="530">
        <v>5</v>
      </c>
      <c r="D140" s="531">
        <f>depr_cap_infl-SUM(D141:D143)</f>
        <v>211163431.28035843</v>
      </c>
      <c r="E140" s="531">
        <f>B140*D140</f>
        <v>31674514.692053765</v>
      </c>
      <c r="F140" s="93"/>
      <c r="G140" s="187"/>
      <c r="H140" s="187"/>
      <c r="J140" s="198"/>
      <c r="L140" s="187"/>
    </row>
    <row r="141" spans="1:12" x14ac:dyDescent="0.15">
      <c r="A141" s="526" t="s">
        <v>133</v>
      </c>
      <c r="B141" s="533">
        <v>1</v>
      </c>
      <c r="C141" s="530">
        <v>5</v>
      </c>
      <c r="D141" s="531">
        <f>E58</f>
        <v>14200229.885653555</v>
      </c>
      <c r="E141" s="531">
        <f>B141*D141</f>
        <v>14200229.885653555</v>
      </c>
      <c r="F141" s="93"/>
      <c r="G141" s="187"/>
      <c r="H141" s="187"/>
      <c r="J141" s="198"/>
      <c r="L141" s="187"/>
    </row>
    <row r="142" spans="1:12" x14ac:dyDescent="0.15">
      <c r="A142" s="526" t="s">
        <v>134</v>
      </c>
      <c r="B142" s="533">
        <v>0.6</v>
      </c>
      <c r="C142" s="530">
        <v>5</v>
      </c>
      <c r="D142" s="531">
        <f>(E56+E57)</f>
        <v>39818998.47743962</v>
      </c>
      <c r="E142" s="531">
        <f>B142*D142</f>
        <v>23891399.086463772</v>
      </c>
      <c r="G142" s="187"/>
      <c r="H142" s="187"/>
      <c r="J142" s="198"/>
      <c r="L142" s="187"/>
    </row>
    <row r="143" spans="1:12" x14ac:dyDescent="0.15">
      <c r="A143" s="526" t="s">
        <v>135</v>
      </c>
      <c r="B143" s="533">
        <v>1</v>
      </c>
      <c r="C143" s="530">
        <v>10</v>
      </c>
      <c r="D143" s="531">
        <f>E59</f>
        <v>129251442.79589172</v>
      </c>
      <c r="E143" s="531">
        <f>B143*D143</f>
        <v>129251442.79589172</v>
      </c>
      <c r="G143" s="187"/>
      <c r="H143" s="187"/>
      <c r="J143" s="198"/>
      <c r="L143" s="187"/>
    </row>
    <row r="144" spans="1:12" x14ac:dyDescent="0.15">
      <c r="A144" s="3"/>
      <c r="B144" s="3"/>
      <c r="C144" s="3"/>
      <c r="D144" s="3"/>
      <c r="E144" s="3"/>
      <c r="G144" s="187"/>
      <c r="H144" s="187"/>
      <c r="J144" s="198"/>
      <c r="L144" s="187"/>
    </row>
    <row r="145" spans="1:12" x14ac:dyDescent="0.15">
      <c r="A145" s="3"/>
      <c r="G145" s="187"/>
      <c r="H145" s="187"/>
      <c r="J145" s="198"/>
      <c r="L145" s="187"/>
    </row>
    <row r="146" spans="1:12" ht="16" x14ac:dyDescent="0.2">
      <c r="A146" s="224" t="s">
        <v>3</v>
      </c>
      <c r="B146" s="224" t="s">
        <v>94</v>
      </c>
      <c r="C146" s="254" t="s">
        <v>95</v>
      </c>
      <c r="D146" s="255" t="s">
        <v>103</v>
      </c>
      <c r="E146" s="256" t="s">
        <v>102</v>
      </c>
      <c r="G146" s="187"/>
      <c r="H146" s="187"/>
      <c r="J146" s="198"/>
      <c r="L146" s="187"/>
    </row>
    <row r="147" spans="1:12" x14ac:dyDescent="0.15">
      <c r="A147" s="213">
        <v>1992</v>
      </c>
      <c r="B147" s="213">
        <v>358.2</v>
      </c>
      <c r="C147" s="257">
        <v>67.932000000000002</v>
      </c>
      <c r="D147" s="217">
        <v>13.7</v>
      </c>
      <c r="E147" s="137">
        <v>109.75833333333334</v>
      </c>
      <c r="G147" s="187"/>
      <c r="H147" s="187"/>
      <c r="J147" s="198"/>
      <c r="L147" s="187"/>
    </row>
    <row r="148" spans="1:12" x14ac:dyDescent="0.15">
      <c r="A148" s="213">
        <v>1993</v>
      </c>
      <c r="B148" s="213">
        <v>359.2</v>
      </c>
      <c r="C148" s="257">
        <v>69.504999999999995</v>
      </c>
      <c r="D148" s="138">
        <v>13.97</v>
      </c>
      <c r="E148" s="137">
        <v>108.84166666666668</v>
      </c>
      <c r="G148" s="187"/>
      <c r="H148" s="187"/>
      <c r="J148" s="198"/>
      <c r="L148" s="187"/>
    </row>
    <row r="149" spans="1:12" x14ac:dyDescent="0.15">
      <c r="A149" s="213">
        <v>1994</v>
      </c>
      <c r="B149" s="213">
        <v>368.1</v>
      </c>
      <c r="C149" s="257">
        <v>70.959999999999994</v>
      </c>
      <c r="D149" s="138">
        <v>14.33</v>
      </c>
      <c r="E149" s="137">
        <v>110.425</v>
      </c>
      <c r="G149" s="187"/>
      <c r="H149" s="187"/>
      <c r="J149" s="198"/>
      <c r="L149" s="187"/>
    </row>
    <row r="150" spans="1:12" x14ac:dyDescent="0.15">
      <c r="A150" s="213">
        <v>1995</v>
      </c>
      <c r="B150" s="213">
        <v>381.1</v>
      </c>
      <c r="C150" s="257">
        <v>72.387</v>
      </c>
      <c r="D150" s="138">
        <v>14.86</v>
      </c>
      <c r="E150" s="137">
        <v>117.18333333333332</v>
      </c>
      <c r="G150" s="187"/>
      <c r="H150" s="187"/>
      <c r="J150" s="198"/>
      <c r="L150" s="187"/>
    </row>
    <row r="151" spans="1:12" x14ac:dyDescent="0.15">
      <c r="A151" s="213">
        <v>1996</v>
      </c>
      <c r="B151" s="213">
        <v>381.7</v>
      </c>
      <c r="C151" s="257">
        <v>73.668000000000006</v>
      </c>
      <c r="D151" s="138">
        <v>15.37</v>
      </c>
      <c r="E151" s="137">
        <v>119.33333333333333</v>
      </c>
      <c r="G151" s="187"/>
      <c r="H151" s="187"/>
      <c r="J151" s="198"/>
      <c r="L151" s="187"/>
    </row>
    <row r="152" spans="1:12" x14ac:dyDescent="0.15">
      <c r="A152" s="213">
        <v>1997</v>
      </c>
      <c r="B152" s="213">
        <v>386.5</v>
      </c>
      <c r="C152" s="257">
        <v>74.823999999999998</v>
      </c>
      <c r="D152" s="138">
        <v>15.78</v>
      </c>
      <c r="E152" s="137">
        <v>116.825</v>
      </c>
      <c r="G152" s="187"/>
      <c r="H152" s="187"/>
      <c r="J152" s="198"/>
      <c r="L152" s="187"/>
    </row>
    <row r="153" spans="1:12" x14ac:dyDescent="0.15">
      <c r="A153" s="213">
        <v>1998</v>
      </c>
      <c r="B153" s="213">
        <v>389.5</v>
      </c>
      <c r="C153" s="257">
        <v>75.641000000000005</v>
      </c>
      <c r="D153" s="138">
        <v>16.23</v>
      </c>
      <c r="E153" s="137">
        <v>117.86666666666667</v>
      </c>
      <c r="G153" s="187"/>
      <c r="H153" s="187"/>
      <c r="J153" s="198"/>
      <c r="L153" s="187"/>
    </row>
    <row r="154" spans="1:12" x14ac:dyDescent="0.15">
      <c r="A154" s="213">
        <v>1999</v>
      </c>
      <c r="B154" s="213">
        <v>390.6</v>
      </c>
      <c r="C154" s="257">
        <v>76.873000000000005</v>
      </c>
      <c r="D154" s="138">
        <v>16.399999999999999</v>
      </c>
      <c r="E154" s="137">
        <v>108.91666666666667</v>
      </c>
      <c r="G154" s="187"/>
      <c r="H154" s="187"/>
      <c r="J154" s="198"/>
      <c r="L154" s="187"/>
    </row>
    <row r="155" spans="1:12" x14ac:dyDescent="0.15">
      <c r="A155" s="213">
        <v>2000</v>
      </c>
      <c r="B155" s="213">
        <v>394.1</v>
      </c>
      <c r="C155" s="257">
        <v>78.722999999999999</v>
      </c>
      <c r="D155" s="138">
        <v>17.09</v>
      </c>
      <c r="E155" s="137">
        <v>108.90833333333332</v>
      </c>
      <c r="G155" s="187"/>
      <c r="H155" s="187"/>
      <c r="J155" s="198"/>
      <c r="L155" s="187"/>
    </row>
    <row r="156" spans="1:12" x14ac:dyDescent="0.15">
      <c r="A156" s="213">
        <v>2001</v>
      </c>
      <c r="B156" s="213">
        <v>394.3</v>
      </c>
      <c r="C156" s="257">
        <v>80.268000000000001</v>
      </c>
      <c r="D156" s="138">
        <v>17.57</v>
      </c>
      <c r="E156" s="137">
        <v>118.48333333333333</v>
      </c>
      <c r="G156" s="187"/>
      <c r="H156" s="187"/>
      <c r="J156" s="198"/>
      <c r="L156" s="187"/>
    </row>
    <row r="157" spans="1:12" x14ac:dyDescent="0.15">
      <c r="A157" s="213">
        <v>2002</v>
      </c>
      <c r="B157" s="213">
        <v>395.6</v>
      </c>
      <c r="C157" s="257">
        <v>81.653999999999996</v>
      </c>
      <c r="D157" s="138">
        <v>17.97</v>
      </c>
      <c r="E157" s="137">
        <v>115.89166666666665</v>
      </c>
      <c r="G157" s="187"/>
      <c r="H157" s="187"/>
      <c r="J157" s="198"/>
      <c r="L157" s="187"/>
    </row>
    <row r="158" spans="1:12" x14ac:dyDescent="0.15">
      <c r="A158" s="213">
        <v>2003</v>
      </c>
      <c r="B158" s="213">
        <v>402</v>
      </c>
      <c r="C158" s="257">
        <v>83.200999999999993</v>
      </c>
      <c r="D158" s="138">
        <v>18.5</v>
      </c>
      <c r="E158" s="137">
        <v>121.14166666666667</v>
      </c>
      <c r="G158" s="187"/>
      <c r="H158" s="187"/>
      <c r="J158" s="198"/>
      <c r="L158" s="187"/>
    </row>
    <row r="159" spans="1:12" x14ac:dyDescent="0.15">
      <c r="A159" s="213">
        <v>2004</v>
      </c>
      <c r="B159" s="213">
        <v>444.2</v>
      </c>
      <c r="C159" s="257">
        <v>85.712000000000003</v>
      </c>
      <c r="D159" s="138">
        <v>19.170000000000002</v>
      </c>
      <c r="E159" s="137">
        <v>125.47499999999998</v>
      </c>
      <c r="G159" s="187"/>
      <c r="H159" s="187"/>
      <c r="J159" s="198"/>
      <c r="L159" s="187"/>
    </row>
    <row r="160" spans="1:12" x14ac:dyDescent="0.15">
      <c r="A160" s="213">
        <v>2005</v>
      </c>
      <c r="B160" s="213">
        <v>468.2</v>
      </c>
      <c r="C160" s="257">
        <v>88.489000000000004</v>
      </c>
      <c r="D160" s="138">
        <v>19.670000000000002</v>
      </c>
      <c r="E160" s="137">
        <v>141.43333333333331</v>
      </c>
      <c r="G160" s="187"/>
      <c r="H160" s="187"/>
      <c r="J160" s="198"/>
      <c r="L160" s="187"/>
    </row>
    <row r="161" spans="1:12" x14ac:dyDescent="0.15">
      <c r="A161" s="213">
        <v>2006</v>
      </c>
      <c r="B161" s="213">
        <v>499.6</v>
      </c>
      <c r="C161" s="257">
        <v>90.814999999999998</v>
      </c>
      <c r="D161" s="138">
        <v>19.600000000000001</v>
      </c>
      <c r="E161" s="137">
        <v>173.79999999999998</v>
      </c>
      <c r="G161" s="187"/>
      <c r="H161" s="187"/>
      <c r="J161" s="198"/>
      <c r="L161" s="187"/>
    </row>
    <row r="162" spans="1:12" x14ac:dyDescent="0.15">
      <c r="A162" s="213">
        <v>2007</v>
      </c>
      <c r="B162" s="213">
        <v>525.4</v>
      </c>
      <c r="C162" s="257">
        <v>93.144999999999996</v>
      </c>
      <c r="D162" s="138">
        <v>19.55</v>
      </c>
      <c r="E162" s="137">
        <v>185.99166666666667</v>
      </c>
      <c r="G162" s="187"/>
      <c r="H162" s="187"/>
      <c r="J162" s="198"/>
      <c r="L162" s="187"/>
    </row>
    <row r="163" spans="1:12" x14ac:dyDescent="0.15">
      <c r="A163" s="213">
        <v>2008</v>
      </c>
      <c r="B163" s="213">
        <v>575.4</v>
      </c>
      <c r="C163" s="257">
        <v>94.986000000000004</v>
      </c>
      <c r="D163" s="138">
        <v>19.5</v>
      </c>
      <c r="E163" s="137">
        <v>261.39166666666671</v>
      </c>
      <c r="G163" s="187"/>
      <c r="H163" s="187"/>
      <c r="J163" s="198"/>
      <c r="L163" s="187"/>
    </row>
    <row r="164" spans="1:12" x14ac:dyDescent="0.15">
      <c r="A164" s="213">
        <v>2009</v>
      </c>
      <c r="B164" s="213">
        <v>521.9</v>
      </c>
      <c r="C164" s="257">
        <v>95.259</v>
      </c>
      <c r="D164" s="138">
        <v>20.3</v>
      </c>
      <c r="E164" s="137">
        <v>271.85833333333335</v>
      </c>
      <c r="G164" s="187"/>
      <c r="H164" s="187"/>
      <c r="J164" s="198"/>
      <c r="L164" s="187"/>
    </row>
    <row r="165" spans="1:12" x14ac:dyDescent="0.15">
      <c r="A165" s="213">
        <v>2010</v>
      </c>
      <c r="B165" s="213">
        <v>550.79999999999995</v>
      </c>
      <c r="C165" s="257">
        <v>96.763000000000005</v>
      </c>
      <c r="D165" s="138">
        <v>21.07</v>
      </c>
      <c r="E165" s="137">
        <v>253.17499999999998</v>
      </c>
      <c r="G165" s="187"/>
      <c r="H165" s="187"/>
      <c r="J165" s="198"/>
      <c r="L165" s="187"/>
    </row>
    <row r="166" spans="1:12" x14ac:dyDescent="0.15">
      <c r="A166" s="213">
        <v>2011</v>
      </c>
      <c r="B166" s="213">
        <v>585.70000000000005</v>
      </c>
      <c r="C166" s="257">
        <v>98.703000000000003</v>
      </c>
      <c r="D166" s="138">
        <v>21.45</v>
      </c>
      <c r="E166" s="137">
        <v>300.9083333333333</v>
      </c>
      <c r="G166" s="187"/>
      <c r="H166" s="187"/>
      <c r="J166" s="198"/>
      <c r="L166" s="187"/>
    </row>
    <row r="167" spans="1:12" x14ac:dyDescent="0.15">
      <c r="A167" s="213">
        <v>2012</v>
      </c>
      <c r="B167" s="213">
        <v>584.6</v>
      </c>
      <c r="C167" s="257">
        <v>100.73699999999999</v>
      </c>
      <c r="D167" s="138">
        <v>21.45</v>
      </c>
      <c r="E167" s="137">
        <v>298.19166666666666</v>
      </c>
      <c r="G167" s="187"/>
      <c r="H167" s="187"/>
      <c r="J167" s="198"/>
      <c r="L167" s="187"/>
    </row>
    <row r="168" spans="1:12" x14ac:dyDescent="0.15">
      <c r="A168" s="213">
        <v>2013</v>
      </c>
      <c r="B168" s="213">
        <v>567.29999999999995</v>
      </c>
      <c r="C168" s="257">
        <v>102.517</v>
      </c>
      <c r="D168" s="138">
        <v>21.4</v>
      </c>
      <c r="E168" s="137">
        <v>281.0916666666667</v>
      </c>
      <c r="G168" s="187"/>
      <c r="H168" s="187"/>
      <c r="J168" s="198"/>
      <c r="L168" s="187"/>
    </row>
    <row r="169" spans="1:12" x14ac:dyDescent="0.15">
      <c r="A169" s="213">
        <v>2014</v>
      </c>
      <c r="B169" s="213">
        <v>576.1</v>
      </c>
      <c r="C169" s="257">
        <v>104.123</v>
      </c>
      <c r="D169" s="138">
        <v>21.488333333333333</v>
      </c>
      <c r="E169" s="137">
        <v>270.30833333333334</v>
      </c>
      <c r="G169" s="187"/>
      <c r="H169" s="187"/>
      <c r="J169" s="198"/>
      <c r="L169" s="187"/>
    </row>
    <row r="170" spans="1:12" x14ac:dyDescent="0.15">
      <c r="A170" s="213">
        <v>2015</v>
      </c>
      <c r="B170" s="213">
        <v>556.79999999999995</v>
      </c>
      <c r="C170" s="257">
        <v>104.937</v>
      </c>
      <c r="D170" s="138">
        <v>21.754999999999999</v>
      </c>
      <c r="E170" s="137">
        <v>270.00833333333327</v>
      </c>
      <c r="G170" s="187"/>
      <c r="H170" s="187"/>
      <c r="J170" s="198"/>
      <c r="L170" s="187"/>
    </row>
    <row r="171" spans="1:12" x14ac:dyDescent="0.15">
      <c r="A171" s="213">
        <v>2016</v>
      </c>
      <c r="B171" s="213">
        <v>541.70000000000005</v>
      </c>
      <c r="C171" s="257">
        <v>106.46899999999999</v>
      </c>
      <c r="D171" s="138">
        <v>22.714999999999993</v>
      </c>
      <c r="E171" s="137">
        <v>252.12500000000003</v>
      </c>
      <c r="G171" s="187"/>
      <c r="H171" s="187"/>
      <c r="J171" s="198"/>
      <c r="L171" s="187"/>
    </row>
    <row r="172" spans="1:12" x14ac:dyDescent="0.15">
      <c r="A172" s="213">
        <v>2017</v>
      </c>
      <c r="B172" s="213">
        <v>567.5</v>
      </c>
      <c r="C172" s="257">
        <v>108.598</v>
      </c>
      <c r="D172" s="138">
        <v>24.275833333333328</v>
      </c>
      <c r="E172" s="137">
        <v>256.79166666666663</v>
      </c>
      <c r="G172" s="187"/>
      <c r="H172" s="187"/>
      <c r="J172" s="198"/>
      <c r="L172" s="187"/>
    </row>
    <row r="173" spans="1:12" x14ac:dyDescent="0.15">
      <c r="A173" s="213">
        <v>2018</v>
      </c>
      <c r="B173" s="213">
        <v>603.1</v>
      </c>
      <c r="C173" s="6">
        <v>111.14</v>
      </c>
      <c r="D173" s="138">
        <v>25.462500000000002</v>
      </c>
      <c r="E173" s="137">
        <v>276.89999999999998</v>
      </c>
      <c r="G173" s="187"/>
      <c r="H173" s="187"/>
      <c r="J173" s="198"/>
      <c r="L173" s="187"/>
    </row>
    <row r="174" spans="1:12" x14ac:dyDescent="0.15">
      <c r="A174" s="213">
        <v>2019</v>
      </c>
      <c r="B174" s="213">
        <v>607.5</v>
      </c>
      <c r="C174" s="6">
        <v>112.95</v>
      </c>
      <c r="D174" s="138">
        <v>25.46083333333333</v>
      </c>
      <c r="E174" s="137">
        <v>279.59166666666664</v>
      </c>
      <c r="G174" s="187"/>
      <c r="H174" s="187"/>
      <c r="J174" s="198"/>
      <c r="L174" s="187"/>
    </row>
    <row r="175" spans="1:12" x14ac:dyDescent="0.15">
      <c r="A175" s="3"/>
      <c r="G175" s="187"/>
      <c r="H175" s="187"/>
      <c r="J175" s="198"/>
      <c r="L175" s="187"/>
    </row>
    <row r="176" spans="1:12" x14ac:dyDescent="0.15">
      <c r="A176" s="3"/>
      <c r="G176" s="187"/>
      <c r="H176" s="187"/>
      <c r="J176" s="198"/>
      <c r="L176" s="187"/>
    </row>
    <row r="177" spans="1:12" x14ac:dyDescent="0.15">
      <c r="A177" s="3"/>
      <c r="G177" s="187"/>
      <c r="H177" s="187"/>
      <c r="J177" s="198"/>
      <c r="L177" s="187"/>
    </row>
    <row r="178" spans="1:12" x14ac:dyDescent="0.15">
      <c r="A178" s="3"/>
      <c r="G178" s="187"/>
      <c r="H178" s="187"/>
      <c r="J178" s="198"/>
      <c r="L178" s="187"/>
    </row>
    <row r="179" spans="1:12" x14ac:dyDescent="0.15">
      <c r="A179" s="3"/>
    </row>
    <row r="180" spans="1:12" x14ac:dyDescent="0.15">
      <c r="A180" s="3"/>
    </row>
    <row r="181" spans="1:12" x14ac:dyDescent="0.15">
      <c r="A181" s="3"/>
    </row>
    <row r="182" spans="1:12" x14ac:dyDescent="0.15">
      <c r="A182" s="3"/>
    </row>
    <row r="183" spans="1:12" x14ac:dyDescent="0.15">
      <c r="A183" s="3"/>
    </row>
    <row r="184" spans="1:12" x14ac:dyDescent="0.15">
      <c r="A184" s="3"/>
    </row>
    <row r="185" spans="1:12" x14ac:dyDescent="0.15">
      <c r="A185" s="3"/>
    </row>
    <row r="186" spans="1:12" x14ac:dyDescent="0.15">
      <c r="A186" s="3"/>
    </row>
    <row r="187" spans="1:12" x14ac:dyDescent="0.15">
      <c r="A187" s="3"/>
    </row>
    <row r="188" spans="1:12" x14ac:dyDescent="0.15">
      <c r="A188" s="3"/>
    </row>
    <row r="189" spans="1:12" x14ac:dyDescent="0.15">
      <c r="A189" s="3"/>
    </row>
    <row r="190" spans="1:12" x14ac:dyDescent="0.15">
      <c r="A190" s="3"/>
    </row>
    <row r="191" spans="1:12" x14ac:dyDescent="0.15">
      <c r="A191" s="3"/>
    </row>
    <row r="192" spans="1:12" x14ac:dyDescent="0.15">
      <c r="A192" s="3"/>
    </row>
    <row r="193" spans="1:1" x14ac:dyDescent="0.15">
      <c r="A193" s="3"/>
    </row>
    <row r="194" spans="1:1" x14ac:dyDescent="0.15">
      <c r="A194" s="3"/>
    </row>
    <row r="195" spans="1:1" x14ac:dyDescent="0.15">
      <c r="A195" s="3"/>
    </row>
    <row r="196" spans="1:1" x14ac:dyDescent="0.15">
      <c r="A196" s="3"/>
    </row>
    <row r="197" spans="1:1" x14ac:dyDescent="0.15">
      <c r="A197" s="3"/>
    </row>
    <row r="198" spans="1:1" x14ac:dyDescent="0.15">
      <c r="A198" s="3"/>
    </row>
    <row r="199" spans="1:1" x14ac:dyDescent="0.15">
      <c r="A199" s="3"/>
    </row>
    <row r="200" spans="1:1" x14ac:dyDescent="0.15">
      <c r="A200" s="3"/>
    </row>
    <row r="201" spans="1:1" x14ac:dyDescent="0.15">
      <c r="A201" s="3"/>
    </row>
    <row r="202" spans="1:1" x14ac:dyDescent="0.15">
      <c r="A202" s="3"/>
    </row>
    <row r="203" spans="1:1" x14ac:dyDescent="0.15">
      <c r="A203" s="3"/>
    </row>
    <row r="204" spans="1:1" x14ac:dyDescent="0.15">
      <c r="A204" s="3"/>
    </row>
    <row r="205" spans="1:1" x14ac:dyDescent="0.15">
      <c r="A205" s="3"/>
    </row>
    <row r="206" spans="1:1" x14ac:dyDescent="0.15">
      <c r="A206" s="3"/>
    </row>
    <row r="207" spans="1:1" x14ac:dyDescent="0.15">
      <c r="A207" s="3"/>
    </row>
    <row r="208" spans="1:1" x14ac:dyDescent="0.15">
      <c r="A208" s="3"/>
    </row>
    <row r="209" spans="1:1" x14ac:dyDescent="0.15">
      <c r="A209" s="3"/>
    </row>
    <row r="210" spans="1:1" x14ac:dyDescent="0.15">
      <c r="A210" s="3"/>
    </row>
    <row r="211" spans="1:1" x14ac:dyDescent="0.15">
      <c r="A211" s="3"/>
    </row>
    <row r="212" spans="1:1" x14ac:dyDescent="0.15">
      <c r="A212" s="3"/>
    </row>
    <row r="213" spans="1:1" x14ac:dyDescent="0.15">
      <c r="A213" s="3"/>
    </row>
    <row r="214" spans="1:1" x14ac:dyDescent="0.15">
      <c r="A214" s="3"/>
    </row>
    <row r="215" spans="1:1" x14ac:dyDescent="0.15">
      <c r="A215" s="3"/>
    </row>
    <row r="216" spans="1:1" x14ac:dyDescent="0.15">
      <c r="A216" s="3"/>
    </row>
    <row r="217" spans="1:1" x14ac:dyDescent="0.15">
      <c r="A217" s="3"/>
    </row>
    <row r="218" spans="1:1" x14ac:dyDescent="0.15">
      <c r="A218" s="3"/>
    </row>
    <row r="219" spans="1:1" x14ac:dyDescent="0.15">
      <c r="A219" s="3"/>
    </row>
    <row r="220" spans="1:1" x14ac:dyDescent="0.15">
      <c r="A220" s="3"/>
    </row>
    <row r="221" spans="1:1" x14ac:dyDescent="0.15">
      <c r="A221" s="3"/>
    </row>
    <row r="222" spans="1:1" x14ac:dyDescent="0.15">
      <c r="A222" s="3"/>
    </row>
    <row r="223" spans="1:1" x14ac:dyDescent="0.15">
      <c r="A223" s="3"/>
    </row>
    <row r="224" spans="1:1" x14ac:dyDescent="0.15">
      <c r="A224" s="3"/>
    </row>
    <row r="225" spans="1:32" x14ac:dyDescent="0.15">
      <c r="A225" s="3"/>
    </row>
    <row r="226" spans="1:32" x14ac:dyDescent="0.15">
      <c r="A226" s="3"/>
      <c r="I226" s="3"/>
      <c r="J226" s="3"/>
      <c r="K226" s="3"/>
      <c r="L226" s="139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</row>
    <row r="227" spans="1:32" x14ac:dyDescent="0.15">
      <c r="A227" s="3"/>
      <c r="I227" s="3"/>
      <c r="J227" s="3"/>
      <c r="K227" s="3"/>
      <c r="L227" s="139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</row>
    <row r="228" spans="1:32" x14ac:dyDescent="0.15">
      <c r="A228" s="3"/>
      <c r="I228" s="3"/>
      <c r="J228" s="3"/>
      <c r="K228" s="3"/>
      <c r="L228" s="139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</row>
    <row r="229" spans="1:32" x14ac:dyDescent="0.15">
      <c r="A229" s="3"/>
      <c r="I229" s="3"/>
      <c r="J229" s="3"/>
      <c r="K229" s="3"/>
      <c r="L229" s="139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</row>
    <row r="230" spans="1:32" x14ac:dyDescent="0.15">
      <c r="A230" s="3"/>
      <c r="I230" s="3"/>
      <c r="J230" s="3"/>
      <c r="K230" s="3"/>
      <c r="L230" s="139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</row>
    <row r="231" spans="1:32" x14ac:dyDescent="0.15">
      <c r="A231" s="3"/>
      <c r="I231" s="3"/>
      <c r="J231" s="3"/>
      <c r="K231" s="3"/>
      <c r="L231" s="139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</row>
    <row r="232" spans="1:32" x14ac:dyDescent="0.15">
      <c r="A232" s="3"/>
      <c r="I232" s="3"/>
      <c r="J232" s="3"/>
      <c r="K232" s="3"/>
      <c r="L232" s="139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</row>
    <row r="233" spans="1:32" x14ac:dyDescent="0.15">
      <c r="A233" s="3"/>
      <c r="I233" s="3"/>
      <c r="J233" s="3"/>
      <c r="K233" s="3"/>
      <c r="L233" s="139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</row>
    <row r="234" spans="1:32" x14ac:dyDescent="0.15">
      <c r="A234" s="3"/>
      <c r="I234" s="3"/>
      <c r="J234" s="3"/>
      <c r="K234" s="3"/>
      <c r="L234" s="139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</row>
    <row r="235" spans="1:32" x14ac:dyDescent="0.15">
      <c r="A235" s="3"/>
      <c r="I235" s="3"/>
      <c r="J235" s="3"/>
      <c r="K235" s="3"/>
      <c r="L235" s="139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</row>
    <row r="236" spans="1:32" x14ac:dyDescent="0.15">
      <c r="A236" s="3"/>
      <c r="I236" s="3"/>
      <c r="J236" s="3"/>
      <c r="K236" s="3"/>
      <c r="L236" s="139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</row>
    <row r="237" spans="1:32" x14ac:dyDescent="0.15">
      <c r="A237" s="3"/>
      <c r="I237" s="3"/>
      <c r="J237" s="3"/>
      <c r="K237" s="3"/>
      <c r="L237" s="139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</row>
    <row r="238" spans="1:32" x14ac:dyDescent="0.15">
      <c r="A238" s="3"/>
      <c r="I238" s="3"/>
      <c r="J238" s="3"/>
      <c r="K238" s="3"/>
      <c r="L238" s="139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</row>
    <row r="239" spans="1:32" x14ac:dyDescent="0.15">
      <c r="A239" s="3"/>
      <c r="I239" s="3"/>
      <c r="J239" s="3"/>
      <c r="K239" s="3"/>
      <c r="L239" s="139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</row>
    <row r="240" spans="1:32" x14ac:dyDescent="0.15">
      <c r="A240" s="3"/>
      <c r="I240" s="3"/>
      <c r="J240" s="3"/>
      <c r="K240" s="3"/>
      <c r="L240" s="139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</row>
    <row r="241" spans="1:32" x14ac:dyDescent="0.15">
      <c r="A241" s="3"/>
      <c r="I241" s="3"/>
      <c r="J241" s="3"/>
      <c r="K241" s="3"/>
      <c r="L241" s="139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</row>
    <row r="242" spans="1:32" x14ac:dyDescent="0.15">
      <c r="A242" s="3"/>
      <c r="I242" s="3"/>
      <c r="J242" s="3"/>
      <c r="K242" s="3"/>
      <c r="L242" s="139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</row>
    <row r="243" spans="1:32" x14ac:dyDescent="0.15">
      <c r="A243" s="3"/>
      <c r="I243" s="3"/>
      <c r="J243" s="3"/>
      <c r="K243" s="3"/>
      <c r="L243" s="139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</row>
    <row r="244" spans="1:32" x14ac:dyDescent="0.15">
      <c r="A244" s="3"/>
      <c r="I244" s="3"/>
      <c r="J244" s="3"/>
      <c r="K244" s="3"/>
      <c r="L244" s="139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</row>
    <row r="245" spans="1:32" x14ac:dyDescent="0.15">
      <c r="A245" s="3"/>
      <c r="I245" s="3"/>
      <c r="J245" s="3"/>
      <c r="K245" s="3"/>
      <c r="L245" s="139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</row>
    <row r="246" spans="1:32" x14ac:dyDescent="0.15">
      <c r="A246" s="3"/>
      <c r="I246" s="3"/>
      <c r="J246" s="3"/>
      <c r="K246" s="3"/>
      <c r="L246" s="139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</row>
    <row r="247" spans="1:32" x14ac:dyDescent="0.15">
      <c r="A247" s="3"/>
      <c r="I247" s="3"/>
      <c r="J247" s="3"/>
      <c r="K247" s="3"/>
      <c r="L247" s="139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</row>
    <row r="248" spans="1:32" x14ac:dyDescent="0.15">
      <c r="A248" s="3"/>
      <c r="I248" s="3"/>
      <c r="J248" s="3"/>
      <c r="K248" s="3"/>
      <c r="L248" s="139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</row>
    <row r="249" spans="1:32" x14ac:dyDescent="0.15">
      <c r="A249" s="3"/>
      <c r="I249" s="3"/>
      <c r="J249" s="3"/>
      <c r="K249" s="3"/>
      <c r="L249" s="139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</row>
    <row r="250" spans="1:32" x14ac:dyDescent="0.15">
      <c r="A250" s="3"/>
      <c r="I250" s="3"/>
      <c r="J250" s="3"/>
      <c r="K250" s="3"/>
      <c r="L250" s="139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</row>
    <row r="251" spans="1:32" x14ac:dyDescent="0.15">
      <c r="A251" s="3"/>
      <c r="I251" s="3"/>
      <c r="J251" s="3"/>
      <c r="K251" s="3"/>
      <c r="L251" s="139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</row>
    <row r="252" spans="1:32" x14ac:dyDescent="0.15">
      <c r="A252" s="3"/>
      <c r="I252" s="3"/>
      <c r="J252" s="3"/>
      <c r="K252" s="3"/>
      <c r="L252" s="139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</row>
    <row r="253" spans="1:32" x14ac:dyDescent="0.15">
      <c r="A253" s="3"/>
      <c r="I253" s="3"/>
      <c r="J253" s="3"/>
      <c r="K253" s="3"/>
      <c r="L253" s="139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</row>
    <row r="254" spans="1:32" x14ac:dyDescent="0.15">
      <c r="A254" s="3"/>
      <c r="I254" s="3"/>
      <c r="J254" s="3"/>
      <c r="K254" s="3"/>
      <c r="L254" s="139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</row>
    <row r="255" spans="1:32" x14ac:dyDescent="0.15">
      <c r="A255" s="3"/>
      <c r="I255" s="3"/>
      <c r="J255" s="3"/>
      <c r="K255" s="3"/>
      <c r="L255" s="139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</row>
    <row r="256" spans="1:32" x14ac:dyDescent="0.15">
      <c r="A256" s="3"/>
      <c r="I256" s="3"/>
      <c r="J256" s="3"/>
      <c r="K256" s="3"/>
      <c r="L256" s="139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</row>
    <row r="257" spans="1:32" x14ac:dyDescent="0.15">
      <c r="A257" s="3"/>
      <c r="I257" s="3"/>
      <c r="J257" s="3"/>
      <c r="K257" s="3"/>
      <c r="L257" s="139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</row>
    <row r="258" spans="1:32" x14ac:dyDescent="0.15">
      <c r="A258" s="3"/>
      <c r="I258" s="3"/>
      <c r="J258" s="3"/>
      <c r="K258" s="3"/>
      <c r="L258" s="139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</row>
    <row r="259" spans="1:32" x14ac:dyDescent="0.15">
      <c r="A259" s="3"/>
      <c r="I259" s="3"/>
      <c r="J259" s="3"/>
      <c r="K259" s="3"/>
      <c r="L259" s="139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</row>
    <row r="260" spans="1:32" x14ac:dyDescent="0.15">
      <c r="A260" s="3"/>
      <c r="I260" s="3"/>
      <c r="J260" s="3"/>
      <c r="K260" s="3"/>
      <c r="L260" s="139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</row>
    <row r="261" spans="1:32" x14ac:dyDescent="0.15">
      <c r="A261" s="3"/>
      <c r="I261" s="3"/>
      <c r="J261" s="3"/>
      <c r="K261" s="3"/>
      <c r="L261" s="139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</row>
    <row r="262" spans="1:32" x14ac:dyDescent="0.15">
      <c r="A262" s="3"/>
      <c r="I262" s="3"/>
      <c r="J262" s="3"/>
      <c r="K262" s="3"/>
      <c r="L262" s="139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</row>
    <row r="263" spans="1:32" x14ac:dyDescent="0.15">
      <c r="A263" s="3"/>
      <c r="I263" s="3"/>
      <c r="J263" s="3"/>
      <c r="K263" s="3"/>
      <c r="L263" s="139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</row>
    <row r="264" spans="1:32" x14ac:dyDescent="0.15">
      <c r="A264" s="3"/>
      <c r="I264" s="3"/>
      <c r="J264" s="3"/>
      <c r="K264" s="3"/>
      <c r="L264" s="139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</row>
    <row r="265" spans="1:32" x14ac:dyDescent="0.15">
      <c r="A265" s="3"/>
      <c r="I265" s="3"/>
      <c r="J265" s="3"/>
      <c r="K265" s="3"/>
      <c r="L265" s="139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</row>
    <row r="266" spans="1:32" x14ac:dyDescent="0.15">
      <c r="A266" s="3"/>
      <c r="I266" s="3"/>
      <c r="J266" s="3"/>
      <c r="K266" s="3"/>
      <c r="L266" s="139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</row>
    <row r="267" spans="1:32" x14ac:dyDescent="0.15">
      <c r="A267" s="3"/>
      <c r="I267" s="3"/>
      <c r="J267" s="3"/>
      <c r="K267" s="3"/>
      <c r="L267" s="139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</row>
    <row r="268" spans="1:32" x14ac:dyDescent="0.15">
      <c r="A268" s="3"/>
      <c r="I268" s="3"/>
      <c r="J268" s="3"/>
      <c r="K268" s="3"/>
      <c r="L268" s="139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</row>
    <row r="269" spans="1:32" x14ac:dyDescent="0.15">
      <c r="A269" s="3"/>
      <c r="I269" s="3"/>
      <c r="J269" s="3"/>
      <c r="K269" s="3"/>
      <c r="L269" s="139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</row>
    <row r="270" spans="1:32" x14ac:dyDescent="0.15">
      <c r="A270" s="3"/>
      <c r="I270" s="3"/>
      <c r="J270" s="3"/>
      <c r="K270" s="3"/>
      <c r="L270" s="139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</row>
    <row r="271" spans="1:32" x14ac:dyDescent="0.15">
      <c r="A271" s="3"/>
      <c r="I271" s="3"/>
      <c r="J271" s="3"/>
      <c r="K271" s="3"/>
      <c r="L271" s="139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</row>
    <row r="272" spans="1:32" x14ac:dyDescent="0.15">
      <c r="A272" s="3"/>
      <c r="I272" s="3"/>
      <c r="J272" s="3"/>
      <c r="K272" s="3"/>
      <c r="L272" s="139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</row>
    <row r="273" spans="1:32" x14ac:dyDescent="0.15">
      <c r="A273" s="3"/>
      <c r="I273" s="3"/>
      <c r="J273" s="3"/>
      <c r="K273" s="3"/>
      <c r="L273" s="139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</row>
    <row r="274" spans="1:32" x14ac:dyDescent="0.15">
      <c r="A274" s="3"/>
      <c r="I274" s="3"/>
      <c r="J274" s="3"/>
      <c r="K274" s="3"/>
      <c r="L274" s="139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</row>
    <row r="275" spans="1:32" x14ac:dyDescent="0.15">
      <c r="A275" s="3"/>
      <c r="I275" s="3"/>
      <c r="J275" s="3"/>
      <c r="K275" s="3"/>
      <c r="L275" s="139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</row>
    <row r="276" spans="1:32" x14ac:dyDescent="0.15">
      <c r="A276" s="3"/>
      <c r="I276" s="3"/>
      <c r="J276" s="3"/>
      <c r="K276" s="3"/>
      <c r="L276" s="139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</row>
    <row r="277" spans="1:32" x14ac:dyDescent="0.15">
      <c r="A277" s="3"/>
      <c r="I277" s="3"/>
      <c r="J277" s="3"/>
      <c r="K277" s="3"/>
      <c r="L277" s="139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</row>
    <row r="278" spans="1:32" x14ac:dyDescent="0.15">
      <c r="A278" s="3"/>
      <c r="I278" s="3"/>
      <c r="J278" s="3"/>
      <c r="K278" s="3"/>
      <c r="L278" s="139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</row>
    <row r="279" spans="1:32" x14ac:dyDescent="0.15">
      <c r="A279" s="3"/>
      <c r="I279" s="3"/>
      <c r="J279" s="3"/>
      <c r="K279" s="3"/>
      <c r="L279" s="139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</row>
    <row r="280" spans="1:32" x14ac:dyDescent="0.15">
      <c r="A280" s="3"/>
      <c r="I280" s="3"/>
      <c r="J280" s="3"/>
      <c r="K280" s="3"/>
      <c r="L280" s="139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</row>
    <row r="281" spans="1:32" x14ac:dyDescent="0.15">
      <c r="A281" s="3"/>
      <c r="I281" s="3"/>
      <c r="J281" s="3"/>
      <c r="K281" s="3"/>
      <c r="L281" s="139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</row>
    <row r="282" spans="1:32" x14ac:dyDescent="0.15">
      <c r="A282" s="3"/>
      <c r="I282" s="3"/>
      <c r="J282" s="3"/>
      <c r="K282" s="3"/>
      <c r="L282" s="139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</row>
    <row r="283" spans="1:32" x14ac:dyDescent="0.15">
      <c r="A283" s="3"/>
      <c r="I283" s="3"/>
      <c r="J283" s="3"/>
      <c r="K283" s="3"/>
      <c r="L283" s="139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</row>
    <row r="284" spans="1:32" x14ac:dyDescent="0.15">
      <c r="A284" s="3"/>
      <c r="I284" s="3"/>
      <c r="J284" s="3"/>
      <c r="K284" s="3"/>
      <c r="L284" s="139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</row>
    <row r="285" spans="1:32" x14ac:dyDescent="0.15">
      <c r="A285" s="3"/>
      <c r="I285" s="3"/>
      <c r="J285" s="3"/>
      <c r="K285" s="3"/>
      <c r="L285" s="139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</row>
    <row r="286" spans="1:32" x14ac:dyDescent="0.15">
      <c r="A286" s="3"/>
      <c r="I286" s="3"/>
      <c r="J286" s="3"/>
      <c r="K286" s="3"/>
      <c r="L286" s="139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</row>
    <row r="287" spans="1:32" x14ac:dyDescent="0.15">
      <c r="A287" s="3"/>
      <c r="I287" s="3"/>
      <c r="J287" s="3"/>
      <c r="K287" s="3"/>
      <c r="L287" s="139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</row>
    <row r="288" spans="1:32" x14ac:dyDescent="0.15">
      <c r="A288" s="3"/>
      <c r="I288" s="3"/>
      <c r="J288" s="3"/>
      <c r="K288" s="3"/>
      <c r="L288" s="139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</row>
    <row r="289" spans="1:32" x14ac:dyDescent="0.15">
      <c r="A289" s="3"/>
      <c r="I289" s="3"/>
      <c r="J289" s="3"/>
      <c r="K289" s="3"/>
      <c r="L289" s="139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</row>
    <row r="290" spans="1:32" x14ac:dyDescent="0.15">
      <c r="A290" s="3"/>
      <c r="I290" s="3"/>
      <c r="J290" s="3"/>
      <c r="K290" s="3"/>
      <c r="L290" s="139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</row>
    <row r="291" spans="1:32" x14ac:dyDescent="0.15">
      <c r="A291" s="3"/>
      <c r="I291" s="3"/>
      <c r="J291" s="3"/>
      <c r="K291" s="3"/>
      <c r="L291" s="139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</row>
    <row r="292" spans="1:32" x14ac:dyDescent="0.15">
      <c r="A292" s="3"/>
      <c r="I292" s="3"/>
      <c r="J292" s="3"/>
      <c r="K292" s="3"/>
      <c r="L292" s="139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</row>
    <row r="293" spans="1:32" x14ac:dyDescent="0.15">
      <c r="A293" s="3"/>
      <c r="I293" s="3"/>
      <c r="J293" s="3"/>
      <c r="K293" s="3"/>
      <c r="L293" s="139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</row>
    <row r="294" spans="1:32" x14ac:dyDescent="0.15">
      <c r="A294" s="3"/>
      <c r="I294" s="3"/>
      <c r="J294" s="3"/>
      <c r="K294" s="3"/>
      <c r="L294" s="139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</row>
    <row r="295" spans="1:32" x14ac:dyDescent="0.15">
      <c r="A295" s="3"/>
      <c r="I295" s="3"/>
      <c r="J295" s="3"/>
      <c r="K295" s="3"/>
      <c r="L295" s="139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</row>
    <row r="296" spans="1:32" x14ac:dyDescent="0.15">
      <c r="A296" s="3"/>
      <c r="I296" s="3"/>
      <c r="J296" s="3"/>
      <c r="K296" s="3"/>
      <c r="L296" s="139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</row>
    <row r="297" spans="1:32" x14ac:dyDescent="0.15">
      <c r="A297" s="3"/>
      <c r="I297" s="3"/>
      <c r="J297" s="3"/>
      <c r="K297" s="3"/>
      <c r="L297" s="139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</row>
    <row r="298" spans="1:32" x14ac:dyDescent="0.15">
      <c r="A298" s="3"/>
      <c r="I298" s="3"/>
      <c r="J298" s="3"/>
      <c r="K298" s="3"/>
      <c r="L298" s="139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</row>
    <row r="299" spans="1:32" x14ac:dyDescent="0.15">
      <c r="A299" s="3"/>
      <c r="I299" s="3"/>
      <c r="J299" s="3"/>
      <c r="K299" s="3"/>
      <c r="L299" s="139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</row>
    <row r="300" spans="1:32" x14ac:dyDescent="0.15">
      <c r="A300" s="3"/>
      <c r="I300" s="3"/>
      <c r="J300" s="3"/>
      <c r="K300" s="3"/>
      <c r="L300" s="139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</row>
    <row r="301" spans="1:32" x14ac:dyDescent="0.15">
      <c r="A301" s="3"/>
      <c r="I301" s="3"/>
      <c r="J301" s="3"/>
      <c r="K301" s="3"/>
      <c r="L301" s="139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</row>
    <row r="302" spans="1:32" x14ac:dyDescent="0.15">
      <c r="A302" s="3"/>
      <c r="I302" s="3"/>
      <c r="J302" s="3"/>
      <c r="K302" s="3"/>
      <c r="L302" s="139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</row>
    <row r="303" spans="1:32" x14ac:dyDescent="0.15">
      <c r="A303" s="3"/>
      <c r="I303" s="3"/>
      <c r="J303" s="3"/>
      <c r="K303" s="3"/>
      <c r="L303" s="139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</row>
    <row r="304" spans="1:32" x14ac:dyDescent="0.15">
      <c r="A304" s="3"/>
      <c r="I304" s="3"/>
      <c r="J304" s="3"/>
      <c r="K304" s="3"/>
      <c r="L304" s="139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</row>
    <row r="305" spans="1:32" x14ac:dyDescent="0.15">
      <c r="A305" s="3"/>
      <c r="I305" s="3"/>
      <c r="J305" s="3"/>
      <c r="K305" s="3"/>
      <c r="L305" s="139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</row>
    <row r="306" spans="1:32" x14ac:dyDescent="0.15">
      <c r="A306" s="3"/>
      <c r="I306" s="3"/>
      <c r="J306" s="3"/>
      <c r="K306" s="3"/>
      <c r="L306" s="139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</row>
    <row r="307" spans="1:32" x14ac:dyDescent="0.15">
      <c r="A307" s="3"/>
      <c r="I307" s="3"/>
      <c r="J307" s="3"/>
      <c r="K307" s="3"/>
      <c r="L307" s="139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</row>
    <row r="308" spans="1:32" x14ac:dyDescent="0.15">
      <c r="A308" s="3"/>
      <c r="I308" s="3"/>
      <c r="J308" s="3"/>
      <c r="K308" s="3"/>
      <c r="L308" s="139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</row>
    <row r="309" spans="1:32" x14ac:dyDescent="0.15">
      <c r="A309" s="3"/>
      <c r="I309" s="3"/>
      <c r="J309" s="3"/>
      <c r="K309" s="3"/>
      <c r="L309" s="139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</row>
    <row r="310" spans="1:32" x14ac:dyDescent="0.15">
      <c r="A310" s="3"/>
      <c r="I310" s="3"/>
      <c r="J310" s="3"/>
      <c r="K310" s="3"/>
      <c r="L310" s="139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</row>
    <row r="311" spans="1:32" x14ac:dyDescent="0.15">
      <c r="A311" s="3"/>
      <c r="I311" s="3"/>
      <c r="J311" s="3"/>
      <c r="K311" s="3"/>
      <c r="L311" s="139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</row>
    <row r="312" spans="1:32" x14ac:dyDescent="0.15">
      <c r="A312" s="3"/>
      <c r="I312" s="3"/>
      <c r="J312" s="3"/>
      <c r="K312" s="3"/>
      <c r="L312" s="139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</row>
    <row r="313" spans="1:32" x14ac:dyDescent="0.15">
      <c r="A313" s="3"/>
      <c r="I313" s="3"/>
      <c r="J313" s="3"/>
      <c r="K313" s="3"/>
      <c r="L313" s="139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</row>
    <row r="314" spans="1:32" x14ac:dyDescent="0.15">
      <c r="A314" s="3"/>
      <c r="I314" s="3"/>
      <c r="J314" s="3"/>
      <c r="K314" s="3"/>
      <c r="L314" s="139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</row>
    <row r="315" spans="1:32" x14ac:dyDescent="0.15">
      <c r="A315" s="3"/>
      <c r="I315" s="3"/>
      <c r="J315" s="3"/>
      <c r="K315" s="3"/>
      <c r="L315" s="139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</row>
    <row r="316" spans="1:32" x14ac:dyDescent="0.15">
      <c r="A316" s="3"/>
      <c r="I316" s="3"/>
      <c r="J316" s="3"/>
      <c r="K316" s="3"/>
      <c r="L316" s="139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</row>
    <row r="317" spans="1:32" x14ac:dyDescent="0.15">
      <c r="A317" s="3"/>
      <c r="I317" s="3"/>
      <c r="J317" s="3"/>
      <c r="K317" s="3"/>
      <c r="L317" s="139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</row>
    <row r="318" spans="1:32" x14ac:dyDescent="0.15">
      <c r="A318" s="3"/>
      <c r="I318" s="3"/>
      <c r="J318" s="3"/>
      <c r="K318" s="3"/>
      <c r="L318" s="139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</row>
    <row r="319" spans="1:32" x14ac:dyDescent="0.15">
      <c r="A319" s="3"/>
      <c r="I319" s="3"/>
      <c r="J319" s="3"/>
      <c r="K319" s="3"/>
      <c r="L319" s="139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</row>
    <row r="320" spans="1:32" x14ac:dyDescent="0.15">
      <c r="A320" s="3"/>
      <c r="I320" s="3"/>
      <c r="J320" s="3"/>
      <c r="K320" s="3"/>
      <c r="L320" s="139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</row>
    <row r="321" spans="1:32" x14ac:dyDescent="0.15">
      <c r="A321" s="3"/>
      <c r="I321" s="3"/>
      <c r="J321" s="3"/>
      <c r="K321" s="3"/>
      <c r="L321" s="139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</row>
    <row r="322" spans="1:32" x14ac:dyDescent="0.15">
      <c r="A322" s="3"/>
      <c r="I322" s="3"/>
      <c r="J322" s="3"/>
      <c r="K322" s="3"/>
      <c r="L322" s="139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</row>
    <row r="323" spans="1:32" x14ac:dyDescent="0.15">
      <c r="A323" s="3"/>
      <c r="I323" s="3"/>
      <c r="J323" s="3"/>
      <c r="K323" s="3"/>
      <c r="L323" s="139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</row>
    <row r="324" spans="1:32" x14ac:dyDescent="0.15">
      <c r="A324" s="3"/>
      <c r="I324" s="3"/>
      <c r="J324" s="3"/>
      <c r="K324" s="3"/>
      <c r="L324" s="139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</row>
    <row r="325" spans="1:32" x14ac:dyDescent="0.15">
      <c r="A325" s="3"/>
      <c r="I325" s="3"/>
      <c r="J325" s="3"/>
      <c r="K325" s="3"/>
      <c r="L325" s="139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</row>
    <row r="326" spans="1:32" x14ac:dyDescent="0.15">
      <c r="A326" s="3"/>
      <c r="I326" s="3"/>
      <c r="J326" s="3"/>
      <c r="K326" s="3"/>
      <c r="L326" s="139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</row>
    <row r="327" spans="1:32" x14ac:dyDescent="0.15">
      <c r="A327" s="3"/>
      <c r="I327" s="3"/>
      <c r="J327" s="3"/>
      <c r="K327" s="3"/>
      <c r="L327" s="139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</row>
    <row r="328" spans="1:32" x14ac:dyDescent="0.15">
      <c r="A328" s="3"/>
      <c r="I328" s="3"/>
      <c r="J328" s="3"/>
      <c r="K328" s="3"/>
      <c r="L328" s="139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</row>
    <row r="329" spans="1:32" x14ac:dyDescent="0.15">
      <c r="A329" s="3"/>
      <c r="I329" s="3"/>
      <c r="J329" s="3"/>
      <c r="K329" s="3"/>
      <c r="L329" s="139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</row>
    <row r="330" spans="1:32" x14ac:dyDescent="0.15">
      <c r="A330" s="3"/>
      <c r="I330" s="3"/>
      <c r="J330" s="3"/>
      <c r="K330" s="3"/>
      <c r="L330" s="139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</row>
    <row r="331" spans="1:32" x14ac:dyDescent="0.15">
      <c r="A331" s="3"/>
      <c r="I331" s="3"/>
      <c r="J331" s="3"/>
      <c r="K331" s="3"/>
      <c r="L331" s="139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</row>
    <row r="332" spans="1:32" x14ac:dyDescent="0.15">
      <c r="A332" s="3"/>
      <c r="I332" s="3"/>
      <c r="J332" s="3"/>
      <c r="K332" s="3"/>
      <c r="L332" s="139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</row>
    <row r="333" spans="1:32" x14ac:dyDescent="0.15">
      <c r="A333" s="3"/>
      <c r="I333" s="3"/>
      <c r="J333" s="3"/>
      <c r="K333" s="3"/>
      <c r="L333" s="139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</row>
    <row r="334" spans="1:32" x14ac:dyDescent="0.15">
      <c r="A334" s="3"/>
      <c r="I334" s="3"/>
      <c r="J334" s="3"/>
      <c r="K334" s="3"/>
      <c r="L334" s="139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</row>
    <row r="335" spans="1:32" x14ac:dyDescent="0.15">
      <c r="A335" s="3"/>
      <c r="I335" s="3"/>
      <c r="J335" s="3"/>
      <c r="K335" s="3"/>
      <c r="L335" s="139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</row>
    <row r="336" spans="1:32" x14ac:dyDescent="0.15">
      <c r="A336" s="3"/>
      <c r="I336" s="3"/>
      <c r="J336" s="3"/>
      <c r="K336" s="3"/>
      <c r="L336" s="139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</row>
    <row r="337" spans="1:32" x14ac:dyDescent="0.15">
      <c r="A337" s="3"/>
      <c r="I337" s="3"/>
      <c r="J337" s="3"/>
      <c r="K337" s="3"/>
      <c r="L337" s="139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</row>
    <row r="338" spans="1:32" x14ac:dyDescent="0.15">
      <c r="A338" s="3"/>
      <c r="I338" s="3"/>
      <c r="J338" s="3"/>
      <c r="K338" s="3"/>
      <c r="L338" s="139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</row>
    <row r="339" spans="1:32" x14ac:dyDescent="0.15">
      <c r="A339" s="3"/>
      <c r="I339" s="3"/>
      <c r="J339" s="3"/>
      <c r="K339" s="3"/>
      <c r="L339" s="139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</row>
    <row r="340" spans="1:32" x14ac:dyDescent="0.15">
      <c r="A340" s="3"/>
      <c r="I340" s="3"/>
      <c r="J340" s="3"/>
      <c r="K340" s="3"/>
      <c r="L340" s="139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</row>
    <row r="341" spans="1:32" x14ac:dyDescent="0.15">
      <c r="A341" s="3"/>
      <c r="I341" s="3"/>
      <c r="J341" s="3"/>
      <c r="K341" s="3"/>
      <c r="L341" s="139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</row>
    <row r="342" spans="1:32" x14ac:dyDescent="0.15">
      <c r="A342" s="3"/>
      <c r="I342" s="3"/>
      <c r="J342" s="3"/>
      <c r="K342" s="3"/>
      <c r="L342" s="139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</row>
    <row r="343" spans="1:32" x14ac:dyDescent="0.15">
      <c r="A343" s="3"/>
      <c r="I343" s="3"/>
      <c r="J343" s="3"/>
      <c r="K343" s="3"/>
      <c r="L343" s="139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</row>
    <row r="344" spans="1:32" x14ac:dyDescent="0.15">
      <c r="A344" s="3"/>
      <c r="I344" s="3"/>
      <c r="J344" s="3"/>
      <c r="K344" s="3"/>
      <c r="L344" s="139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</row>
    <row r="345" spans="1:32" x14ac:dyDescent="0.15">
      <c r="A345" s="3"/>
      <c r="I345" s="3"/>
      <c r="J345" s="3"/>
      <c r="K345" s="3"/>
      <c r="L345" s="139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</row>
    <row r="346" spans="1:32" x14ac:dyDescent="0.15">
      <c r="A346" s="3"/>
      <c r="I346" s="3"/>
      <c r="J346" s="3"/>
      <c r="K346" s="3"/>
      <c r="L346" s="139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</row>
    <row r="347" spans="1:32" x14ac:dyDescent="0.15">
      <c r="A347" s="3"/>
      <c r="I347" s="3"/>
      <c r="J347" s="3"/>
      <c r="K347" s="3"/>
      <c r="L347" s="139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</row>
    <row r="348" spans="1:32" x14ac:dyDescent="0.15">
      <c r="A348" s="3"/>
      <c r="I348" s="3"/>
      <c r="J348" s="3"/>
      <c r="K348" s="3"/>
      <c r="L348" s="139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</row>
    <row r="349" spans="1:32" x14ac:dyDescent="0.15">
      <c r="A349" s="3"/>
      <c r="I349" s="3"/>
      <c r="J349" s="3"/>
      <c r="K349" s="3"/>
      <c r="L349" s="139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</row>
    <row r="350" spans="1:32" x14ac:dyDescent="0.15">
      <c r="A350" s="3"/>
      <c r="I350" s="3"/>
      <c r="J350" s="3"/>
      <c r="K350" s="3"/>
      <c r="L350" s="139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</row>
    <row r="351" spans="1:32" x14ac:dyDescent="0.15">
      <c r="A351" s="3"/>
      <c r="I351" s="3"/>
      <c r="J351" s="3"/>
      <c r="K351" s="3"/>
      <c r="L351" s="139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</row>
    <row r="352" spans="1:32" x14ac:dyDescent="0.15">
      <c r="A352" s="3"/>
      <c r="I352" s="3"/>
      <c r="J352" s="3"/>
      <c r="K352" s="3"/>
      <c r="L352" s="139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</row>
    <row r="353" spans="1:32" x14ac:dyDescent="0.15">
      <c r="A353" s="3"/>
      <c r="I353" s="3"/>
      <c r="J353" s="3"/>
      <c r="K353" s="3"/>
      <c r="L353" s="139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</row>
    <row r="354" spans="1:32" x14ac:dyDescent="0.15">
      <c r="A354" s="3"/>
      <c r="I354" s="3"/>
      <c r="J354" s="3"/>
      <c r="K354" s="3"/>
      <c r="L354" s="139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</row>
    <row r="355" spans="1:32" x14ac:dyDescent="0.15">
      <c r="A355" s="3"/>
      <c r="I355" s="3"/>
      <c r="J355" s="3"/>
      <c r="K355" s="3"/>
      <c r="L355" s="139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</row>
    <row r="356" spans="1:32" x14ac:dyDescent="0.15">
      <c r="A356" s="3"/>
      <c r="I356" s="3"/>
      <c r="J356" s="3"/>
      <c r="K356" s="3"/>
      <c r="L356" s="139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</row>
    <row r="357" spans="1:32" x14ac:dyDescent="0.15">
      <c r="A357" s="3"/>
      <c r="I357" s="3"/>
      <c r="J357" s="3"/>
      <c r="K357" s="3"/>
      <c r="L357" s="139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</row>
    <row r="358" spans="1:32" x14ac:dyDescent="0.15">
      <c r="A358" s="3"/>
      <c r="I358" s="3"/>
      <c r="J358" s="3"/>
      <c r="K358" s="3"/>
      <c r="L358" s="139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</row>
    <row r="359" spans="1:32" x14ac:dyDescent="0.15">
      <c r="A359" s="3"/>
      <c r="I359" s="3"/>
      <c r="J359" s="3"/>
      <c r="K359" s="3"/>
      <c r="L359" s="139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</row>
    <row r="360" spans="1:32" x14ac:dyDescent="0.15">
      <c r="A360" s="3"/>
      <c r="I360" s="3"/>
      <c r="J360" s="3"/>
      <c r="K360" s="3"/>
      <c r="L360" s="139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</row>
    <row r="361" spans="1:32" x14ac:dyDescent="0.15">
      <c r="A361" s="3"/>
      <c r="I361" s="3"/>
      <c r="J361" s="3"/>
      <c r="K361" s="3"/>
      <c r="L361" s="139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</row>
    <row r="362" spans="1:32" x14ac:dyDescent="0.15">
      <c r="A362" s="3"/>
      <c r="I362" s="3"/>
      <c r="J362" s="3"/>
      <c r="K362" s="3"/>
      <c r="L362" s="139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</row>
    <row r="363" spans="1:32" x14ac:dyDescent="0.15">
      <c r="A363" s="3"/>
      <c r="I363" s="3"/>
      <c r="J363" s="3"/>
      <c r="K363" s="3"/>
      <c r="L363" s="139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</row>
    <row r="364" spans="1:32" x14ac:dyDescent="0.15">
      <c r="A364" s="3"/>
      <c r="I364" s="3"/>
      <c r="J364" s="3"/>
      <c r="K364" s="3"/>
      <c r="L364" s="139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</row>
    <row r="365" spans="1:32" x14ac:dyDescent="0.15">
      <c r="A365" s="3"/>
      <c r="I365" s="3"/>
      <c r="J365" s="3"/>
      <c r="K365" s="3"/>
      <c r="L365" s="139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</row>
    <row r="366" spans="1:32" x14ac:dyDescent="0.15">
      <c r="A366" s="3"/>
      <c r="I366" s="3"/>
      <c r="J366" s="3"/>
      <c r="K366" s="3"/>
      <c r="L366" s="139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</row>
    <row r="367" spans="1:32" x14ac:dyDescent="0.15">
      <c r="A367" s="3"/>
      <c r="I367" s="3"/>
      <c r="J367" s="3"/>
      <c r="K367" s="3"/>
      <c r="L367" s="139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</row>
    <row r="368" spans="1:32" x14ac:dyDescent="0.15">
      <c r="A368" s="3"/>
      <c r="I368" s="3"/>
      <c r="J368" s="3"/>
      <c r="K368" s="3"/>
      <c r="L368" s="139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</row>
    <row r="369" spans="1:32" x14ac:dyDescent="0.15">
      <c r="A369" s="3"/>
      <c r="I369" s="3"/>
      <c r="J369" s="3"/>
      <c r="K369" s="3"/>
      <c r="L369" s="139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</row>
    <row r="370" spans="1:32" x14ac:dyDescent="0.15">
      <c r="A370" s="3"/>
      <c r="I370" s="3"/>
      <c r="J370" s="3"/>
      <c r="K370" s="3"/>
      <c r="L370" s="139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</row>
    <row r="371" spans="1:32" x14ac:dyDescent="0.15">
      <c r="A371" s="3"/>
      <c r="I371" s="3"/>
      <c r="J371" s="3"/>
      <c r="K371" s="3"/>
      <c r="L371" s="139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</row>
    <row r="372" spans="1:32" x14ac:dyDescent="0.15">
      <c r="A372" s="3"/>
      <c r="I372" s="3"/>
      <c r="J372" s="3"/>
      <c r="K372" s="3"/>
      <c r="L372" s="139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</row>
    <row r="373" spans="1:32" x14ac:dyDescent="0.15">
      <c r="A373" s="3"/>
      <c r="I373" s="3"/>
      <c r="J373" s="3"/>
      <c r="K373" s="3"/>
      <c r="L373" s="139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</row>
    <row r="374" spans="1:32" x14ac:dyDescent="0.15">
      <c r="A374" s="3"/>
      <c r="I374" s="3"/>
      <c r="J374" s="3"/>
      <c r="K374" s="3"/>
      <c r="L374" s="139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</row>
    <row r="375" spans="1:32" x14ac:dyDescent="0.15">
      <c r="A375" s="3"/>
      <c r="I375" s="3"/>
      <c r="J375" s="3"/>
      <c r="K375" s="3"/>
      <c r="L375" s="139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</row>
    <row r="376" spans="1:32" x14ac:dyDescent="0.15">
      <c r="A376" s="3"/>
      <c r="I376" s="3"/>
      <c r="J376" s="3"/>
      <c r="K376" s="3"/>
      <c r="L376" s="139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</row>
    <row r="377" spans="1:32" x14ac:dyDescent="0.15">
      <c r="A377" s="3"/>
      <c r="I377" s="3"/>
      <c r="J377" s="3"/>
      <c r="K377" s="3"/>
      <c r="L377" s="139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</row>
    <row r="378" spans="1:32" x14ac:dyDescent="0.15">
      <c r="A378" s="3"/>
      <c r="I378" s="3"/>
      <c r="J378" s="3"/>
      <c r="K378" s="3"/>
      <c r="L378" s="139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</row>
    <row r="379" spans="1:32" x14ac:dyDescent="0.15">
      <c r="A379" s="3"/>
      <c r="I379" s="3"/>
      <c r="J379" s="3"/>
      <c r="K379" s="3"/>
      <c r="L379" s="139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</row>
    <row r="380" spans="1:32" x14ac:dyDescent="0.15">
      <c r="A380" s="3"/>
      <c r="I380" s="3"/>
      <c r="J380" s="3"/>
      <c r="K380" s="3"/>
      <c r="L380" s="139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</row>
    <row r="381" spans="1:32" x14ac:dyDescent="0.15">
      <c r="A381" s="3"/>
      <c r="I381" s="3"/>
      <c r="J381" s="3"/>
      <c r="K381" s="3"/>
      <c r="L381" s="139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</row>
    <row r="382" spans="1:32" x14ac:dyDescent="0.15">
      <c r="A382" s="3"/>
      <c r="I382" s="3"/>
      <c r="J382" s="3"/>
      <c r="K382" s="3"/>
      <c r="L382" s="139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</row>
    <row r="383" spans="1:32" x14ac:dyDescent="0.15">
      <c r="A383" s="3"/>
      <c r="I383" s="3"/>
      <c r="J383" s="3"/>
      <c r="K383" s="3"/>
      <c r="L383" s="139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</row>
    <row r="384" spans="1:32" x14ac:dyDescent="0.15">
      <c r="A384" s="3"/>
      <c r="I384" s="3"/>
      <c r="J384" s="3"/>
      <c r="K384" s="3"/>
      <c r="L384" s="139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</row>
    <row r="385" spans="1:32" x14ac:dyDescent="0.15">
      <c r="A385" s="3"/>
      <c r="I385" s="3"/>
      <c r="J385" s="3"/>
      <c r="K385" s="3"/>
      <c r="L385" s="139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</row>
    <row r="386" spans="1:32" x14ac:dyDescent="0.15">
      <c r="A386" s="3"/>
      <c r="I386" s="3"/>
      <c r="J386" s="3"/>
      <c r="K386" s="3"/>
      <c r="L386" s="139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</row>
    <row r="387" spans="1:32" x14ac:dyDescent="0.15">
      <c r="A387" s="3"/>
      <c r="I387" s="3"/>
      <c r="J387" s="3"/>
      <c r="K387" s="3"/>
      <c r="L387" s="139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</row>
    <row r="388" spans="1:32" x14ac:dyDescent="0.15">
      <c r="A388" s="3"/>
      <c r="I388" s="3"/>
      <c r="J388" s="3"/>
      <c r="K388" s="3"/>
      <c r="L388" s="139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</row>
    <row r="389" spans="1:32" x14ac:dyDescent="0.15">
      <c r="A389" s="3"/>
      <c r="I389" s="3"/>
      <c r="J389" s="3"/>
      <c r="K389" s="3"/>
      <c r="L389" s="139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</row>
    <row r="390" spans="1:32" x14ac:dyDescent="0.15">
      <c r="A390" s="3"/>
      <c r="I390" s="3"/>
      <c r="J390" s="3"/>
      <c r="K390" s="3"/>
      <c r="L390" s="139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</row>
    <row r="391" spans="1:32" x14ac:dyDescent="0.15">
      <c r="A391" s="3"/>
      <c r="I391" s="3"/>
      <c r="J391" s="3"/>
      <c r="K391" s="3"/>
      <c r="L391" s="139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</row>
    <row r="392" spans="1:32" x14ac:dyDescent="0.15">
      <c r="A392" s="3"/>
      <c r="I392" s="3"/>
      <c r="J392" s="3"/>
      <c r="K392" s="3"/>
      <c r="L392" s="139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</row>
    <row r="393" spans="1:32" x14ac:dyDescent="0.15">
      <c r="A393" s="3"/>
      <c r="I393" s="3"/>
      <c r="J393" s="3"/>
      <c r="K393" s="3"/>
      <c r="L393" s="139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</row>
    <row r="394" spans="1:32" x14ac:dyDescent="0.15">
      <c r="A394" s="3"/>
      <c r="I394" s="3"/>
      <c r="J394" s="3"/>
      <c r="K394" s="3"/>
      <c r="L394" s="139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</row>
    <row r="395" spans="1:32" x14ac:dyDescent="0.15">
      <c r="A395" s="3"/>
      <c r="I395" s="3"/>
      <c r="J395" s="3"/>
      <c r="K395" s="3"/>
      <c r="L395" s="139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</row>
    <row r="396" spans="1:32" x14ac:dyDescent="0.15">
      <c r="A396" s="3"/>
      <c r="I396" s="3"/>
      <c r="J396" s="3"/>
      <c r="K396" s="3"/>
      <c r="L396" s="139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</row>
    <row r="397" spans="1:32" x14ac:dyDescent="0.15">
      <c r="A397" s="3"/>
      <c r="I397" s="3"/>
      <c r="J397" s="3"/>
      <c r="K397" s="3"/>
      <c r="L397" s="139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</row>
    <row r="398" spans="1:32" x14ac:dyDescent="0.15">
      <c r="A398" s="3"/>
      <c r="I398" s="3"/>
      <c r="J398" s="3"/>
      <c r="K398" s="3"/>
      <c r="L398" s="139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</row>
    <row r="399" spans="1:32" x14ac:dyDescent="0.15">
      <c r="A399" s="3"/>
      <c r="I399" s="3"/>
      <c r="J399" s="3"/>
      <c r="K399" s="3"/>
      <c r="L399" s="139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</row>
    <row r="400" spans="1:32" x14ac:dyDescent="0.15">
      <c r="A400" s="3"/>
      <c r="I400" s="3"/>
      <c r="J400" s="3"/>
      <c r="K400" s="3"/>
      <c r="L400" s="139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</row>
    <row r="401" spans="1:32" x14ac:dyDescent="0.15">
      <c r="A401" s="3"/>
      <c r="I401" s="3"/>
      <c r="J401" s="3"/>
      <c r="K401" s="3"/>
      <c r="L401" s="139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</row>
    <row r="402" spans="1:32" x14ac:dyDescent="0.15">
      <c r="A402" s="3"/>
      <c r="I402" s="3"/>
      <c r="J402" s="3"/>
      <c r="K402" s="3"/>
      <c r="L402" s="139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</row>
    <row r="403" spans="1:32" x14ac:dyDescent="0.15">
      <c r="A403" s="3"/>
      <c r="I403" s="3"/>
      <c r="J403" s="3"/>
      <c r="K403" s="3"/>
      <c r="L403" s="139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</row>
    <row r="404" spans="1:32" x14ac:dyDescent="0.15">
      <c r="A404" s="3"/>
      <c r="I404" s="3"/>
      <c r="J404" s="3"/>
      <c r="K404" s="3"/>
      <c r="L404" s="139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</row>
    <row r="405" spans="1:32" x14ac:dyDescent="0.15">
      <c r="A405" s="3"/>
      <c r="I405" s="3"/>
      <c r="J405" s="3"/>
      <c r="K405" s="3"/>
      <c r="L405" s="139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</row>
    <row r="406" spans="1:32" x14ac:dyDescent="0.15">
      <c r="A406" s="3"/>
      <c r="I406" s="3"/>
      <c r="J406" s="3"/>
      <c r="K406" s="3"/>
      <c r="L406" s="139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</row>
    <row r="407" spans="1:32" x14ac:dyDescent="0.15">
      <c r="A407" s="3"/>
      <c r="I407" s="3"/>
      <c r="J407" s="3"/>
      <c r="K407" s="3"/>
      <c r="L407" s="139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</row>
    <row r="408" spans="1:32" x14ac:dyDescent="0.15">
      <c r="A408" s="3"/>
      <c r="I408" s="3"/>
      <c r="J408" s="3"/>
      <c r="K408" s="3"/>
      <c r="L408" s="139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</row>
    <row r="409" spans="1:32" x14ac:dyDescent="0.15">
      <c r="A409" s="3"/>
      <c r="I409" s="3"/>
      <c r="J409" s="3"/>
      <c r="K409" s="3"/>
      <c r="L409" s="139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</row>
    <row r="410" spans="1:32" x14ac:dyDescent="0.15">
      <c r="A410" s="3"/>
      <c r="I410" s="3"/>
      <c r="J410" s="3"/>
      <c r="K410" s="3"/>
      <c r="L410" s="139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</row>
    <row r="411" spans="1:32" x14ac:dyDescent="0.15">
      <c r="A411" s="3"/>
      <c r="I411" s="3"/>
      <c r="J411" s="3"/>
      <c r="K411" s="3"/>
      <c r="L411" s="139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</row>
    <row r="412" spans="1:32" x14ac:dyDescent="0.15">
      <c r="A412" s="3"/>
      <c r="I412" s="3"/>
      <c r="J412" s="3"/>
      <c r="K412" s="3"/>
      <c r="L412" s="139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</row>
    <row r="413" spans="1:32" x14ac:dyDescent="0.15">
      <c r="A413" s="3"/>
      <c r="I413" s="3"/>
      <c r="J413" s="3"/>
      <c r="K413" s="3"/>
      <c r="L413" s="139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</row>
    <row r="414" spans="1:32" x14ac:dyDescent="0.15">
      <c r="A414" s="3"/>
      <c r="I414" s="3"/>
      <c r="J414" s="3"/>
      <c r="K414" s="3"/>
      <c r="L414" s="139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</row>
    <row r="415" spans="1:32" x14ac:dyDescent="0.15">
      <c r="A415" s="3"/>
      <c r="I415" s="3"/>
      <c r="J415" s="3"/>
      <c r="K415" s="3"/>
      <c r="L415" s="139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</row>
    <row r="416" spans="1:32" x14ac:dyDescent="0.15">
      <c r="A416" s="3"/>
      <c r="I416" s="3"/>
      <c r="J416" s="3"/>
      <c r="K416" s="3"/>
      <c r="L416" s="139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</row>
    <row r="417" spans="1:32" x14ac:dyDescent="0.15">
      <c r="A417" s="3"/>
      <c r="I417" s="3"/>
      <c r="J417" s="3"/>
      <c r="K417" s="3"/>
      <c r="L417" s="139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</row>
    <row r="418" spans="1:32" x14ac:dyDescent="0.15">
      <c r="A418" s="3"/>
      <c r="I418" s="3"/>
      <c r="J418" s="3"/>
      <c r="K418" s="3"/>
      <c r="L418" s="139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</row>
    <row r="419" spans="1:32" x14ac:dyDescent="0.15">
      <c r="A419" s="3"/>
      <c r="I419" s="3"/>
      <c r="J419" s="3"/>
      <c r="K419" s="3"/>
      <c r="L419" s="139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</row>
    <row r="420" spans="1:32" x14ac:dyDescent="0.15">
      <c r="A420" s="3"/>
      <c r="I420" s="3"/>
      <c r="J420" s="3"/>
      <c r="K420" s="3"/>
      <c r="L420" s="139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</row>
    <row r="421" spans="1:32" x14ac:dyDescent="0.15">
      <c r="A421" s="3"/>
      <c r="I421" s="3"/>
      <c r="J421" s="3"/>
      <c r="K421" s="3"/>
      <c r="L421" s="139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</row>
    <row r="422" spans="1:32" x14ac:dyDescent="0.15">
      <c r="A422" s="3"/>
      <c r="I422" s="3"/>
      <c r="J422" s="3"/>
      <c r="K422" s="3"/>
      <c r="L422" s="139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</row>
    <row r="423" spans="1:32" x14ac:dyDescent="0.15">
      <c r="A423" s="3"/>
      <c r="I423" s="3"/>
      <c r="J423" s="3"/>
      <c r="K423" s="3"/>
      <c r="L423" s="139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</row>
    <row r="424" spans="1:32" x14ac:dyDescent="0.15">
      <c r="A424" s="3"/>
      <c r="I424" s="3"/>
      <c r="J424" s="3"/>
      <c r="K424" s="3"/>
      <c r="L424" s="139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</row>
    <row r="425" spans="1:32" x14ac:dyDescent="0.15">
      <c r="A425" s="3"/>
      <c r="I425" s="3"/>
      <c r="J425" s="3"/>
      <c r="K425" s="3"/>
      <c r="L425" s="139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</row>
    <row r="426" spans="1:32" x14ac:dyDescent="0.15">
      <c r="A426" s="3"/>
      <c r="I426" s="3"/>
      <c r="J426" s="3"/>
      <c r="K426" s="3"/>
      <c r="L426" s="139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</row>
    <row r="427" spans="1:32" x14ac:dyDescent="0.15">
      <c r="A427" s="3"/>
      <c r="I427" s="3"/>
      <c r="J427" s="3"/>
      <c r="K427" s="3"/>
      <c r="L427" s="139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</row>
    <row r="428" spans="1:32" x14ac:dyDescent="0.15">
      <c r="A428" s="3"/>
      <c r="I428" s="3"/>
      <c r="J428" s="3"/>
      <c r="K428" s="3"/>
      <c r="L428" s="139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</row>
    <row r="429" spans="1:32" x14ac:dyDescent="0.15">
      <c r="A429" s="3"/>
      <c r="I429" s="3"/>
      <c r="J429" s="3"/>
      <c r="K429" s="3"/>
      <c r="L429" s="139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</row>
    <row r="430" spans="1:32" x14ac:dyDescent="0.15">
      <c r="A430" s="3"/>
      <c r="I430" s="3"/>
      <c r="J430" s="3"/>
      <c r="K430" s="3"/>
      <c r="L430" s="139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</row>
    <row r="431" spans="1:32" x14ac:dyDescent="0.15">
      <c r="A431" s="3"/>
      <c r="I431" s="3"/>
      <c r="J431" s="3"/>
      <c r="K431" s="3"/>
      <c r="L431" s="139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</row>
    <row r="432" spans="1:32" x14ac:dyDescent="0.15">
      <c r="A432" s="3"/>
      <c r="I432" s="3"/>
      <c r="J432" s="3"/>
      <c r="K432" s="3"/>
      <c r="L432" s="139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</row>
    <row r="433" spans="1:32" x14ac:dyDescent="0.15">
      <c r="A433" s="3"/>
      <c r="I433" s="3"/>
      <c r="J433" s="3"/>
      <c r="K433" s="3"/>
      <c r="L433" s="139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</row>
    <row r="434" spans="1:32" x14ac:dyDescent="0.15">
      <c r="A434" s="3"/>
      <c r="I434" s="3"/>
      <c r="J434" s="3"/>
      <c r="K434" s="3"/>
      <c r="L434" s="139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</row>
    <row r="435" spans="1:32" x14ac:dyDescent="0.15">
      <c r="A435" s="3"/>
      <c r="I435" s="3"/>
      <c r="J435" s="3"/>
      <c r="K435" s="3"/>
      <c r="L435" s="139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</row>
    <row r="436" spans="1:32" x14ac:dyDescent="0.15">
      <c r="A436" s="3"/>
      <c r="I436" s="3"/>
      <c r="J436" s="3"/>
      <c r="K436" s="3"/>
      <c r="L436" s="139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</row>
    <row r="437" spans="1:32" x14ac:dyDescent="0.15">
      <c r="A437" s="3"/>
      <c r="I437" s="3"/>
      <c r="J437" s="3"/>
      <c r="K437" s="3"/>
      <c r="L437" s="139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</row>
    <row r="438" spans="1:32" x14ac:dyDescent="0.15">
      <c r="A438" s="3"/>
      <c r="I438" s="3"/>
      <c r="J438" s="3"/>
      <c r="K438" s="3"/>
      <c r="L438" s="139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</row>
    <row r="439" spans="1:32" x14ac:dyDescent="0.15">
      <c r="A439" s="3"/>
      <c r="I439" s="3"/>
      <c r="J439" s="3"/>
      <c r="K439" s="3"/>
      <c r="L439" s="139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</row>
    <row r="440" spans="1:32" x14ac:dyDescent="0.15">
      <c r="A440" s="3"/>
      <c r="I440" s="3"/>
      <c r="J440" s="3"/>
      <c r="K440" s="3"/>
      <c r="L440" s="139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</row>
    <row r="441" spans="1:32" x14ac:dyDescent="0.15">
      <c r="A441" s="3"/>
      <c r="I441" s="3"/>
      <c r="J441" s="3"/>
      <c r="K441" s="3"/>
      <c r="L441" s="139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</row>
    <row r="442" spans="1:32" x14ac:dyDescent="0.15">
      <c r="A442" s="3"/>
      <c r="I442" s="3"/>
      <c r="J442" s="3"/>
      <c r="K442" s="3"/>
      <c r="L442" s="139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</row>
    <row r="443" spans="1:32" x14ac:dyDescent="0.15">
      <c r="A443" s="3"/>
      <c r="I443" s="3"/>
      <c r="J443" s="3"/>
      <c r="K443" s="3"/>
      <c r="L443" s="139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</row>
    <row r="444" spans="1:32" x14ac:dyDescent="0.15">
      <c r="A444" s="3"/>
      <c r="I444" s="3"/>
      <c r="J444" s="3"/>
      <c r="K444" s="3"/>
      <c r="L444" s="139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</row>
    <row r="445" spans="1:32" x14ac:dyDescent="0.15">
      <c r="A445" s="3"/>
      <c r="I445" s="3"/>
      <c r="J445" s="3"/>
      <c r="K445" s="3"/>
      <c r="L445" s="139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</row>
    <row r="446" spans="1:32" x14ac:dyDescent="0.15">
      <c r="A446" s="3"/>
      <c r="I446" s="3"/>
      <c r="J446" s="3"/>
      <c r="K446" s="3"/>
      <c r="L446" s="139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</row>
    <row r="447" spans="1:32" x14ac:dyDescent="0.15">
      <c r="A447" s="3"/>
      <c r="I447" s="3"/>
      <c r="J447" s="3"/>
      <c r="K447" s="3"/>
      <c r="L447" s="139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</row>
    <row r="448" spans="1:32" x14ac:dyDescent="0.15">
      <c r="A448" s="3"/>
      <c r="I448" s="3"/>
      <c r="J448" s="3"/>
      <c r="K448" s="3"/>
      <c r="L448" s="139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</row>
    <row r="449" spans="1:32" x14ac:dyDescent="0.15">
      <c r="A449" s="3"/>
      <c r="I449" s="3"/>
      <c r="J449" s="3"/>
      <c r="K449" s="3"/>
      <c r="L449" s="139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</row>
    <row r="450" spans="1:32" x14ac:dyDescent="0.15">
      <c r="A450" s="3"/>
      <c r="I450" s="3"/>
      <c r="J450" s="3"/>
      <c r="K450" s="3"/>
      <c r="L450" s="139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</row>
    <row r="451" spans="1:32" x14ac:dyDescent="0.15">
      <c r="A451" s="3"/>
      <c r="I451" s="3"/>
      <c r="J451" s="3"/>
      <c r="K451" s="3"/>
      <c r="L451" s="139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</row>
    <row r="452" spans="1:32" x14ac:dyDescent="0.15">
      <c r="A452" s="3"/>
      <c r="I452" s="3"/>
      <c r="J452" s="3"/>
      <c r="K452" s="3"/>
      <c r="L452" s="139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</row>
    <row r="453" spans="1:32" x14ac:dyDescent="0.15">
      <c r="A453" s="3"/>
      <c r="I453" s="3"/>
      <c r="J453" s="3"/>
      <c r="K453" s="3"/>
      <c r="L453" s="139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</row>
    <row r="454" spans="1:32" x14ac:dyDescent="0.15">
      <c r="A454" s="3"/>
      <c r="I454" s="3"/>
      <c r="J454" s="3"/>
      <c r="K454" s="3"/>
      <c r="L454" s="139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</row>
    <row r="455" spans="1:32" x14ac:dyDescent="0.15">
      <c r="A455" s="3"/>
      <c r="I455" s="3"/>
      <c r="J455" s="3"/>
      <c r="K455" s="3"/>
      <c r="L455" s="139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</row>
    <row r="456" spans="1:32" x14ac:dyDescent="0.15">
      <c r="A456" s="3"/>
      <c r="I456" s="3"/>
      <c r="J456" s="3"/>
      <c r="K456" s="3"/>
      <c r="L456" s="139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</row>
    <row r="457" spans="1:32" x14ac:dyDescent="0.15">
      <c r="A457" s="3"/>
      <c r="I457" s="3"/>
      <c r="J457" s="3"/>
      <c r="K457" s="3"/>
      <c r="L457" s="139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</row>
    <row r="458" spans="1:32" x14ac:dyDescent="0.15">
      <c r="A458" s="3"/>
      <c r="I458" s="3"/>
      <c r="J458" s="3"/>
      <c r="K458" s="3"/>
      <c r="L458" s="139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</row>
    <row r="459" spans="1:32" x14ac:dyDescent="0.15">
      <c r="A459" s="3"/>
      <c r="I459" s="3"/>
      <c r="J459" s="3"/>
      <c r="K459" s="3"/>
      <c r="L459" s="139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</row>
    <row r="460" spans="1:32" x14ac:dyDescent="0.15">
      <c r="A460" s="3"/>
      <c r="I460" s="3"/>
      <c r="J460" s="3"/>
      <c r="K460" s="3"/>
      <c r="L460" s="139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</row>
    <row r="461" spans="1:32" x14ac:dyDescent="0.15">
      <c r="A461" s="3"/>
      <c r="I461" s="3"/>
      <c r="J461" s="3"/>
      <c r="K461" s="3"/>
      <c r="L461" s="139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</row>
    <row r="462" spans="1:32" x14ac:dyDescent="0.15">
      <c r="A462" s="3"/>
      <c r="I462" s="3"/>
      <c r="J462" s="3"/>
      <c r="K462" s="3"/>
      <c r="L462" s="139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</row>
    <row r="463" spans="1:32" x14ac:dyDescent="0.15">
      <c r="A463" s="3"/>
      <c r="I463" s="3"/>
      <c r="J463" s="3"/>
      <c r="K463" s="3"/>
      <c r="L463" s="139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</row>
    <row r="464" spans="1:32" x14ac:dyDescent="0.15">
      <c r="A464" s="3"/>
      <c r="I464" s="3"/>
      <c r="J464" s="3"/>
      <c r="K464" s="3"/>
      <c r="L464" s="139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</row>
    <row r="465" spans="1:32" x14ac:dyDescent="0.15">
      <c r="A465" s="3"/>
      <c r="I465" s="3"/>
      <c r="J465" s="3"/>
      <c r="K465" s="3"/>
      <c r="L465" s="139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</row>
    <row r="466" spans="1:32" x14ac:dyDescent="0.15">
      <c r="A466" s="3"/>
      <c r="I466" s="3"/>
      <c r="J466" s="3"/>
      <c r="K466" s="3"/>
      <c r="L466" s="139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</row>
    <row r="467" spans="1:32" x14ac:dyDescent="0.15">
      <c r="A467" s="3"/>
      <c r="I467" s="3"/>
      <c r="J467" s="3"/>
      <c r="K467" s="3"/>
      <c r="L467" s="139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</row>
    <row r="468" spans="1:32" x14ac:dyDescent="0.15">
      <c r="A468" s="3"/>
      <c r="I468" s="3"/>
      <c r="J468" s="3"/>
      <c r="K468" s="3"/>
      <c r="L468" s="139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</row>
    <row r="469" spans="1:32" x14ac:dyDescent="0.15">
      <c r="A469" s="3"/>
      <c r="I469" s="3"/>
      <c r="J469" s="3"/>
      <c r="K469" s="3"/>
      <c r="L469" s="139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</row>
    <row r="470" spans="1:32" x14ac:dyDescent="0.15">
      <c r="A470" s="3"/>
      <c r="I470" s="3"/>
      <c r="J470" s="3"/>
      <c r="K470" s="3"/>
      <c r="L470" s="139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</row>
    <row r="471" spans="1:32" x14ac:dyDescent="0.15">
      <c r="A471" s="3"/>
      <c r="I471" s="3"/>
      <c r="J471" s="3"/>
      <c r="K471" s="3"/>
      <c r="L471" s="139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</row>
    <row r="472" spans="1:32" x14ac:dyDescent="0.15">
      <c r="A472" s="3"/>
      <c r="I472" s="3"/>
      <c r="J472" s="3"/>
      <c r="K472" s="3"/>
      <c r="L472" s="139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</row>
    <row r="473" spans="1:32" x14ac:dyDescent="0.15">
      <c r="A473" s="3"/>
      <c r="I473" s="3"/>
      <c r="J473" s="3"/>
      <c r="K473" s="3"/>
      <c r="L473" s="139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</row>
    <row r="474" spans="1:32" x14ac:dyDescent="0.15">
      <c r="A474" s="3"/>
      <c r="I474" s="3"/>
      <c r="J474" s="3"/>
      <c r="K474" s="3"/>
      <c r="L474" s="139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</row>
    <row r="475" spans="1:32" x14ac:dyDescent="0.15">
      <c r="A475" s="3"/>
      <c r="I475" s="3"/>
      <c r="J475" s="3"/>
      <c r="K475" s="3"/>
      <c r="L475" s="139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</row>
    <row r="476" spans="1:32" x14ac:dyDescent="0.15">
      <c r="A476" s="3"/>
      <c r="I476" s="3"/>
      <c r="J476" s="3"/>
      <c r="K476" s="3"/>
      <c r="L476" s="139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</row>
    <row r="477" spans="1:32" x14ac:dyDescent="0.15">
      <c r="A477" s="3"/>
      <c r="I477" s="3"/>
      <c r="J477" s="3"/>
      <c r="K477" s="3"/>
      <c r="L477" s="139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</row>
    <row r="478" spans="1:32" x14ac:dyDescent="0.15">
      <c r="A478" s="3"/>
      <c r="I478" s="3"/>
      <c r="J478" s="3"/>
      <c r="K478" s="3"/>
      <c r="L478" s="139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</row>
    <row r="479" spans="1:32" x14ac:dyDescent="0.15">
      <c r="A479" s="3"/>
      <c r="I479" s="3"/>
      <c r="J479" s="3"/>
      <c r="K479" s="3"/>
      <c r="L479" s="139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</row>
    <row r="480" spans="1:32" x14ac:dyDescent="0.15">
      <c r="A480" s="3"/>
      <c r="I480" s="3"/>
      <c r="J480" s="3"/>
      <c r="K480" s="3"/>
      <c r="L480" s="139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</row>
    <row r="481" spans="1:32" x14ac:dyDescent="0.15">
      <c r="A481" s="3"/>
      <c r="I481" s="3"/>
      <c r="J481" s="3"/>
      <c r="K481" s="3"/>
      <c r="L481" s="139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</row>
    <row r="482" spans="1:32" x14ac:dyDescent="0.15">
      <c r="A482" s="3"/>
      <c r="I482" s="3"/>
      <c r="J482" s="3"/>
      <c r="K482" s="3"/>
      <c r="L482" s="139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</row>
    <row r="483" spans="1:32" x14ac:dyDescent="0.15">
      <c r="A483" s="3"/>
      <c r="I483" s="3"/>
      <c r="J483" s="3"/>
      <c r="K483" s="3"/>
      <c r="L483" s="139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</row>
    <row r="484" spans="1:32" x14ac:dyDescent="0.15">
      <c r="A484" s="3"/>
      <c r="I484" s="3"/>
      <c r="J484" s="3"/>
      <c r="K484" s="3"/>
      <c r="L484" s="139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</row>
    <row r="485" spans="1:32" x14ac:dyDescent="0.15">
      <c r="A485" s="3"/>
      <c r="I485" s="3"/>
      <c r="J485" s="3"/>
      <c r="K485" s="3"/>
      <c r="L485" s="139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</row>
    <row r="486" spans="1:32" x14ac:dyDescent="0.15">
      <c r="A486" s="3"/>
      <c r="I486" s="3"/>
      <c r="J486" s="3"/>
      <c r="K486" s="3"/>
      <c r="L486" s="139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</row>
    <row r="487" spans="1:32" x14ac:dyDescent="0.15">
      <c r="A487" s="3"/>
      <c r="I487" s="3"/>
      <c r="J487" s="3"/>
      <c r="K487" s="3"/>
      <c r="L487" s="139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</row>
    <row r="488" spans="1:32" x14ac:dyDescent="0.15">
      <c r="A488" s="3"/>
      <c r="I488" s="3"/>
      <c r="J488" s="3"/>
      <c r="K488" s="3"/>
      <c r="L488" s="139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</row>
    <row r="489" spans="1:32" x14ac:dyDescent="0.15">
      <c r="A489" s="3"/>
      <c r="I489" s="3"/>
      <c r="J489" s="3"/>
      <c r="K489" s="3"/>
      <c r="L489" s="139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</row>
    <row r="490" spans="1:32" x14ac:dyDescent="0.15">
      <c r="A490" s="3"/>
      <c r="I490" s="3"/>
      <c r="J490" s="3"/>
      <c r="K490" s="3"/>
      <c r="L490" s="139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</row>
    <row r="491" spans="1:32" x14ac:dyDescent="0.15">
      <c r="A491" s="3"/>
      <c r="I491" s="3"/>
      <c r="J491" s="3"/>
      <c r="K491" s="3"/>
      <c r="L491" s="139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</row>
    <row r="492" spans="1:32" x14ac:dyDescent="0.15">
      <c r="A492" s="3"/>
      <c r="I492" s="3"/>
      <c r="J492" s="3"/>
      <c r="K492" s="3"/>
      <c r="L492" s="139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</row>
    <row r="493" spans="1:32" x14ac:dyDescent="0.15">
      <c r="A493" s="3"/>
      <c r="I493" s="3"/>
      <c r="J493" s="3"/>
      <c r="K493" s="3"/>
      <c r="L493" s="139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</row>
    <row r="494" spans="1:32" x14ac:dyDescent="0.15">
      <c r="A494" s="3"/>
      <c r="I494" s="3"/>
      <c r="J494" s="3"/>
      <c r="K494" s="3"/>
      <c r="L494" s="139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</row>
    <row r="495" spans="1:32" x14ac:dyDescent="0.15">
      <c r="A495" s="3"/>
      <c r="I495" s="3"/>
      <c r="J495" s="3"/>
      <c r="K495" s="3"/>
      <c r="L495" s="139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</row>
    <row r="496" spans="1:32" x14ac:dyDescent="0.15">
      <c r="A496" s="3"/>
      <c r="I496" s="3"/>
      <c r="J496" s="3"/>
      <c r="K496" s="3"/>
      <c r="L496" s="139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</row>
    <row r="497" spans="1:32" x14ac:dyDescent="0.15">
      <c r="A497" s="3"/>
      <c r="I497" s="3"/>
      <c r="J497" s="3"/>
      <c r="K497" s="3"/>
      <c r="L497" s="139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</row>
    <row r="498" spans="1:32" x14ac:dyDescent="0.15">
      <c r="A498" s="3"/>
      <c r="I498" s="3"/>
      <c r="J498" s="3"/>
      <c r="K498" s="3"/>
      <c r="L498" s="139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</row>
    <row r="499" spans="1:32" x14ac:dyDescent="0.15">
      <c r="A499" s="3"/>
      <c r="I499" s="3"/>
      <c r="J499" s="3"/>
      <c r="K499" s="3"/>
      <c r="L499" s="139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</row>
    <row r="500" spans="1:32" x14ac:dyDescent="0.15">
      <c r="A500" s="3"/>
      <c r="I500" s="3"/>
      <c r="J500" s="3"/>
      <c r="K500" s="3"/>
      <c r="L500" s="139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</row>
    <row r="501" spans="1:32" x14ac:dyDescent="0.15">
      <c r="A501" s="3"/>
      <c r="I501" s="3"/>
      <c r="J501" s="3"/>
      <c r="K501" s="3"/>
      <c r="L501" s="139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</row>
    <row r="502" spans="1:32" x14ac:dyDescent="0.15">
      <c r="A502" s="3"/>
      <c r="I502" s="3"/>
      <c r="J502" s="3"/>
      <c r="K502" s="3"/>
      <c r="L502" s="139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</row>
    <row r="503" spans="1:32" x14ac:dyDescent="0.15">
      <c r="A503" s="3"/>
      <c r="I503" s="3"/>
      <c r="J503" s="3"/>
      <c r="K503" s="3"/>
      <c r="L503" s="139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</row>
    <row r="504" spans="1:32" x14ac:dyDescent="0.15">
      <c r="A504" s="3"/>
      <c r="I504" s="3"/>
      <c r="J504" s="3"/>
      <c r="K504" s="3"/>
      <c r="L504" s="139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</row>
    <row r="505" spans="1:32" x14ac:dyDescent="0.15">
      <c r="A505" s="3"/>
      <c r="I505" s="3"/>
      <c r="J505" s="3"/>
      <c r="K505" s="3"/>
      <c r="L505" s="139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</row>
    <row r="506" spans="1:32" x14ac:dyDescent="0.15">
      <c r="A506" s="3"/>
      <c r="I506" s="3"/>
      <c r="J506" s="3"/>
      <c r="K506" s="3"/>
      <c r="L506" s="139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</row>
    <row r="507" spans="1:32" x14ac:dyDescent="0.15">
      <c r="A507" s="3"/>
      <c r="I507" s="3"/>
      <c r="J507" s="3"/>
      <c r="K507" s="3"/>
      <c r="L507" s="139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</row>
    <row r="508" spans="1:32" x14ac:dyDescent="0.15">
      <c r="A508" s="3"/>
      <c r="I508" s="3"/>
      <c r="J508" s="3"/>
      <c r="K508" s="3"/>
      <c r="L508" s="139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</row>
    <row r="509" spans="1:32" x14ac:dyDescent="0.15">
      <c r="A509" s="3"/>
      <c r="I509" s="3"/>
      <c r="J509" s="3"/>
      <c r="K509" s="3"/>
      <c r="L509" s="139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</row>
    <row r="510" spans="1:32" x14ac:dyDescent="0.15">
      <c r="A510" s="3"/>
      <c r="I510" s="3"/>
      <c r="J510" s="3"/>
      <c r="K510" s="3"/>
      <c r="L510" s="139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</row>
    <row r="511" spans="1:32" x14ac:dyDescent="0.15">
      <c r="A511" s="3"/>
      <c r="I511" s="3"/>
      <c r="J511" s="3"/>
      <c r="K511" s="3"/>
      <c r="L511" s="139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</row>
    <row r="512" spans="1:32" x14ac:dyDescent="0.15">
      <c r="A512" s="3"/>
      <c r="I512" s="3"/>
      <c r="J512" s="3"/>
      <c r="K512" s="3"/>
      <c r="L512" s="139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</row>
    <row r="513" spans="1:32" x14ac:dyDescent="0.15">
      <c r="A513" s="3"/>
      <c r="I513" s="3"/>
      <c r="J513" s="3"/>
      <c r="K513" s="3"/>
      <c r="L513" s="139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</row>
    <row r="514" spans="1:32" x14ac:dyDescent="0.15">
      <c r="A514" s="3"/>
      <c r="I514" s="3"/>
      <c r="J514" s="3"/>
      <c r="K514" s="3"/>
      <c r="L514" s="139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</row>
    <row r="515" spans="1:32" x14ac:dyDescent="0.15">
      <c r="A515" s="3"/>
      <c r="I515" s="3"/>
      <c r="J515" s="3"/>
      <c r="K515" s="3"/>
      <c r="L515" s="139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</row>
    <row r="516" spans="1:32" x14ac:dyDescent="0.15">
      <c r="A516" s="3"/>
      <c r="I516" s="3"/>
      <c r="J516" s="3"/>
      <c r="K516" s="3"/>
      <c r="L516" s="139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</row>
    <row r="517" spans="1:32" x14ac:dyDescent="0.15">
      <c r="A517" s="3"/>
      <c r="I517" s="3"/>
      <c r="J517" s="3"/>
      <c r="K517" s="3"/>
      <c r="L517" s="139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</row>
    <row r="518" spans="1:32" x14ac:dyDescent="0.15">
      <c r="A518" s="3"/>
      <c r="I518" s="3"/>
      <c r="J518" s="3"/>
      <c r="K518" s="3"/>
      <c r="L518" s="139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</row>
    <row r="519" spans="1:32" x14ac:dyDescent="0.15">
      <c r="A519" s="3"/>
      <c r="I519" s="3"/>
      <c r="J519" s="3"/>
      <c r="K519" s="3"/>
      <c r="L519" s="139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</row>
    <row r="520" spans="1:32" x14ac:dyDescent="0.15">
      <c r="A520" s="3"/>
      <c r="I520" s="3"/>
      <c r="J520" s="3"/>
      <c r="K520" s="3"/>
      <c r="L520" s="139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</row>
    <row r="521" spans="1:32" x14ac:dyDescent="0.15">
      <c r="A521" s="3"/>
      <c r="I521" s="3"/>
      <c r="J521" s="3"/>
      <c r="K521" s="3"/>
      <c r="L521" s="139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</row>
    <row r="522" spans="1:32" x14ac:dyDescent="0.15">
      <c r="A522" s="3"/>
      <c r="I522" s="3"/>
      <c r="J522" s="3"/>
      <c r="K522" s="3"/>
      <c r="L522" s="139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</row>
    <row r="523" spans="1:32" x14ac:dyDescent="0.15">
      <c r="A523" s="3"/>
      <c r="I523" s="3"/>
      <c r="J523" s="3"/>
      <c r="K523" s="3"/>
      <c r="L523" s="139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</row>
    <row r="524" spans="1:32" x14ac:dyDescent="0.15">
      <c r="A524" s="3"/>
      <c r="I524" s="3"/>
      <c r="J524" s="3"/>
      <c r="K524" s="3"/>
      <c r="L524" s="139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</row>
    <row r="525" spans="1:32" x14ac:dyDescent="0.15">
      <c r="A525" s="3"/>
      <c r="I525" s="3"/>
      <c r="J525" s="3"/>
      <c r="K525" s="3"/>
      <c r="L525" s="139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</row>
    <row r="526" spans="1:32" x14ac:dyDescent="0.15">
      <c r="A526" s="3"/>
      <c r="I526" s="3"/>
      <c r="J526" s="3"/>
      <c r="K526" s="3"/>
      <c r="L526" s="139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</row>
    <row r="527" spans="1:32" x14ac:dyDescent="0.15">
      <c r="A527" s="3"/>
      <c r="I527" s="3"/>
      <c r="J527" s="3"/>
      <c r="K527" s="3"/>
      <c r="L527" s="139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</row>
    <row r="528" spans="1:32" x14ac:dyDescent="0.15">
      <c r="A528" s="3"/>
      <c r="I528" s="3"/>
      <c r="J528" s="3"/>
      <c r="K528" s="3"/>
      <c r="L528" s="139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</row>
    <row r="529" spans="1:32" x14ac:dyDescent="0.15">
      <c r="A529" s="3"/>
      <c r="I529" s="3"/>
      <c r="J529" s="3"/>
      <c r="K529" s="3"/>
      <c r="L529" s="139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</row>
    <row r="530" spans="1:32" x14ac:dyDescent="0.15">
      <c r="A530" s="3"/>
      <c r="I530" s="3"/>
      <c r="J530" s="3"/>
      <c r="K530" s="3"/>
      <c r="L530" s="139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</row>
    <row r="531" spans="1:32" x14ac:dyDescent="0.15">
      <c r="A531" s="3"/>
      <c r="I531" s="3"/>
      <c r="J531" s="3"/>
      <c r="K531" s="3"/>
      <c r="L531" s="139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</row>
    <row r="532" spans="1:32" x14ac:dyDescent="0.15">
      <c r="A532" s="3"/>
      <c r="I532" s="3"/>
      <c r="J532" s="3"/>
      <c r="K532" s="3"/>
      <c r="L532" s="139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</row>
    <row r="533" spans="1:32" x14ac:dyDescent="0.15">
      <c r="A533" s="3"/>
      <c r="I533" s="3"/>
      <c r="J533" s="3"/>
      <c r="K533" s="3"/>
      <c r="L533" s="139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</row>
    <row r="534" spans="1:32" x14ac:dyDescent="0.15">
      <c r="A534" s="3"/>
      <c r="I534" s="3"/>
      <c r="J534" s="3"/>
      <c r="K534" s="3"/>
      <c r="L534" s="139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</row>
    <row r="535" spans="1:32" x14ac:dyDescent="0.15">
      <c r="A535" s="3"/>
      <c r="I535" s="3"/>
      <c r="J535" s="3"/>
      <c r="K535" s="3"/>
      <c r="L535" s="139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</row>
    <row r="536" spans="1:32" x14ac:dyDescent="0.15">
      <c r="A536" s="3"/>
      <c r="I536" s="3"/>
      <c r="J536" s="3"/>
      <c r="K536" s="3"/>
      <c r="L536" s="139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</row>
    <row r="537" spans="1:32" x14ac:dyDescent="0.15">
      <c r="A537" s="3"/>
      <c r="I537" s="3"/>
      <c r="J537" s="3"/>
      <c r="K537" s="3"/>
      <c r="L537" s="139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</row>
    <row r="538" spans="1:32" x14ac:dyDescent="0.15">
      <c r="A538" s="3"/>
      <c r="I538" s="3"/>
      <c r="J538" s="3"/>
      <c r="K538" s="3"/>
      <c r="L538" s="139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</row>
    <row r="539" spans="1:32" x14ac:dyDescent="0.15">
      <c r="A539" s="3"/>
      <c r="I539" s="3"/>
      <c r="J539" s="3"/>
      <c r="K539" s="3"/>
      <c r="L539" s="139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</row>
    <row r="540" spans="1:32" x14ac:dyDescent="0.15">
      <c r="A540" s="3"/>
      <c r="I540" s="3"/>
      <c r="J540" s="3"/>
      <c r="K540" s="3"/>
      <c r="L540" s="139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</row>
    <row r="541" spans="1:32" x14ac:dyDescent="0.15">
      <c r="A541" s="3"/>
      <c r="I541" s="3"/>
      <c r="J541" s="3"/>
      <c r="K541" s="3"/>
      <c r="L541" s="139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</row>
    <row r="542" spans="1:32" x14ac:dyDescent="0.15">
      <c r="A542" s="3"/>
      <c r="I542" s="3"/>
      <c r="J542" s="3"/>
      <c r="K542" s="3"/>
      <c r="L542" s="139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</row>
    <row r="543" spans="1:32" x14ac:dyDescent="0.15">
      <c r="A543" s="3"/>
      <c r="I543" s="3"/>
      <c r="J543" s="3"/>
      <c r="K543" s="3"/>
      <c r="L543" s="139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</row>
    <row r="544" spans="1:32" x14ac:dyDescent="0.15">
      <c r="A544" s="3"/>
      <c r="I544" s="3"/>
      <c r="J544" s="3"/>
      <c r="K544" s="3"/>
      <c r="L544" s="139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</row>
    <row r="545" spans="1:32" x14ac:dyDescent="0.15">
      <c r="A545" s="3"/>
      <c r="I545" s="3"/>
      <c r="J545" s="3"/>
      <c r="K545" s="3"/>
      <c r="L545" s="139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</row>
    <row r="546" spans="1:32" x14ac:dyDescent="0.15">
      <c r="A546" s="3"/>
      <c r="I546" s="3"/>
      <c r="J546" s="3"/>
      <c r="K546" s="3"/>
      <c r="L546" s="139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</row>
    <row r="547" spans="1:32" x14ac:dyDescent="0.15">
      <c r="A547" s="3"/>
      <c r="I547" s="3"/>
      <c r="J547" s="3"/>
      <c r="K547" s="3"/>
      <c r="L547" s="139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</row>
    <row r="548" spans="1:32" x14ac:dyDescent="0.15">
      <c r="A548" s="3"/>
      <c r="I548" s="3"/>
      <c r="J548" s="3"/>
      <c r="K548" s="3"/>
      <c r="L548" s="139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</row>
    <row r="549" spans="1:32" x14ac:dyDescent="0.15">
      <c r="A549" s="3"/>
      <c r="I549" s="3"/>
      <c r="J549" s="3"/>
      <c r="K549" s="3"/>
      <c r="L549" s="139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</row>
    <row r="550" spans="1:32" x14ac:dyDescent="0.15">
      <c r="A550" s="3"/>
      <c r="I550" s="3"/>
      <c r="J550" s="3"/>
      <c r="K550" s="3"/>
      <c r="L550" s="139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</row>
    <row r="551" spans="1:32" x14ac:dyDescent="0.15">
      <c r="A551" s="3"/>
      <c r="I551" s="3"/>
      <c r="J551" s="3"/>
      <c r="K551" s="3"/>
      <c r="L551" s="139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</row>
    <row r="552" spans="1:32" x14ac:dyDescent="0.15">
      <c r="A552" s="3"/>
      <c r="I552" s="3"/>
      <c r="J552" s="3"/>
      <c r="K552" s="3"/>
      <c r="L552" s="139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</row>
    <row r="553" spans="1:32" x14ac:dyDescent="0.15">
      <c r="A553" s="3"/>
      <c r="I553" s="3"/>
      <c r="J553" s="3"/>
      <c r="K553" s="3"/>
      <c r="L553" s="139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</row>
    <row r="554" spans="1:32" x14ac:dyDescent="0.15">
      <c r="A554" s="3"/>
      <c r="I554" s="3"/>
      <c r="J554" s="3"/>
      <c r="K554" s="3"/>
      <c r="L554" s="139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</row>
    <row r="555" spans="1:32" x14ac:dyDescent="0.15">
      <c r="A555" s="3"/>
      <c r="I555" s="3"/>
      <c r="J555" s="3"/>
      <c r="K555" s="3"/>
      <c r="L555" s="139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</row>
    <row r="556" spans="1:32" x14ac:dyDescent="0.15">
      <c r="A556" s="3"/>
      <c r="I556" s="3"/>
      <c r="J556" s="3"/>
      <c r="K556" s="3"/>
      <c r="L556" s="139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</row>
    <row r="557" spans="1:32" x14ac:dyDescent="0.15">
      <c r="A557" s="3"/>
      <c r="I557" s="3"/>
      <c r="J557" s="3"/>
      <c r="K557" s="3"/>
      <c r="L557" s="139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</row>
    <row r="558" spans="1:32" x14ac:dyDescent="0.15">
      <c r="A558" s="3"/>
      <c r="I558" s="3"/>
      <c r="J558" s="3"/>
      <c r="K558" s="3"/>
      <c r="L558" s="139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</row>
    <row r="559" spans="1:32" x14ac:dyDescent="0.15">
      <c r="A559" s="3"/>
      <c r="I559" s="3"/>
      <c r="J559" s="3"/>
      <c r="K559" s="3"/>
      <c r="L559" s="139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</row>
    <row r="560" spans="1:32" x14ac:dyDescent="0.15">
      <c r="A560" s="3"/>
      <c r="I560" s="3"/>
      <c r="J560" s="3"/>
      <c r="K560" s="3"/>
      <c r="L560" s="139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</row>
    <row r="561" spans="1:32" x14ac:dyDescent="0.15">
      <c r="A561" s="3"/>
      <c r="I561" s="3"/>
      <c r="J561" s="3"/>
      <c r="K561" s="3"/>
      <c r="L561" s="139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</row>
    <row r="562" spans="1:32" x14ac:dyDescent="0.15">
      <c r="A562" s="3"/>
      <c r="I562" s="3"/>
      <c r="J562" s="3"/>
      <c r="K562" s="3"/>
      <c r="L562" s="139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</row>
    <row r="563" spans="1:32" x14ac:dyDescent="0.15">
      <c r="A563" s="3"/>
      <c r="I563" s="3"/>
      <c r="J563" s="3"/>
      <c r="K563" s="3"/>
      <c r="L563" s="139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</row>
    <row r="564" spans="1:32" x14ac:dyDescent="0.15">
      <c r="A564" s="3"/>
      <c r="I564" s="3"/>
      <c r="J564" s="3"/>
      <c r="K564" s="3"/>
      <c r="L564" s="139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</row>
    <row r="565" spans="1:32" x14ac:dyDescent="0.15">
      <c r="A565" s="3"/>
      <c r="I565" s="3"/>
      <c r="J565" s="3"/>
      <c r="K565" s="3"/>
      <c r="L565" s="139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</row>
    <row r="566" spans="1:32" x14ac:dyDescent="0.15">
      <c r="A566" s="3"/>
      <c r="I566" s="3"/>
      <c r="J566" s="3"/>
      <c r="K566" s="3"/>
      <c r="L566" s="139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</row>
    <row r="567" spans="1:32" x14ac:dyDescent="0.15">
      <c r="A567" s="3"/>
      <c r="I567" s="3"/>
      <c r="J567" s="3"/>
      <c r="K567" s="3"/>
      <c r="L567" s="139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</row>
    <row r="568" spans="1:32" x14ac:dyDescent="0.15">
      <c r="A568" s="3"/>
      <c r="I568" s="3"/>
      <c r="J568" s="3"/>
      <c r="K568" s="3"/>
      <c r="L568" s="139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</row>
    <row r="569" spans="1:32" x14ac:dyDescent="0.15">
      <c r="A569" s="3"/>
      <c r="I569" s="3"/>
      <c r="J569" s="3"/>
      <c r="K569" s="3"/>
      <c r="L569" s="139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</row>
    <row r="570" spans="1:32" x14ac:dyDescent="0.15">
      <c r="A570" s="3"/>
      <c r="I570" s="3"/>
      <c r="J570" s="3"/>
      <c r="K570" s="3"/>
      <c r="L570" s="139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</row>
    <row r="571" spans="1:32" x14ac:dyDescent="0.15">
      <c r="A571" s="3"/>
      <c r="I571" s="3"/>
      <c r="J571" s="3"/>
      <c r="K571" s="3"/>
      <c r="L571" s="139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</row>
    <row r="572" spans="1:32" x14ac:dyDescent="0.15">
      <c r="A572" s="3"/>
      <c r="I572" s="3"/>
      <c r="J572" s="3"/>
      <c r="K572" s="3"/>
      <c r="L572" s="139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</row>
    <row r="573" spans="1:32" x14ac:dyDescent="0.15">
      <c r="A573" s="3"/>
      <c r="I573" s="3"/>
      <c r="J573" s="3"/>
      <c r="K573" s="3"/>
      <c r="L573" s="139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</row>
    <row r="574" spans="1:32" x14ac:dyDescent="0.15">
      <c r="A574" s="3"/>
      <c r="I574" s="3"/>
      <c r="J574" s="3"/>
      <c r="K574" s="3"/>
      <c r="L574" s="139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</row>
    <row r="575" spans="1:32" x14ac:dyDescent="0.15">
      <c r="A575" s="3"/>
      <c r="I575" s="3"/>
      <c r="J575" s="3"/>
      <c r="K575" s="3"/>
      <c r="L575" s="139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</row>
    <row r="576" spans="1:32" x14ac:dyDescent="0.15">
      <c r="A576" s="3"/>
      <c r="I576" s="3"/>
      <c r="J576" s="3"/>
      <c r="K576" s="3"/>
      <c r="L576" s="139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</row>
    <row r="577" spans="1:32" x14ac:dyDescent="0.15">
      <c r="A577" s="3"/>
      <c r="I577" s="3"/>
      <c r="J577" s="3"/>
      <c r="K577" s="3"/>
      <c r="L577" s="139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</row>
    <row r="578" spans="1:32" x14ac:dyDescent="0.15">
      <c r="A578" s="3"/>
      <c r="I578" s="3"/>
      <c r="J578" s="3"/>
      <c r="K578" s="3"/>
      <c r="L578" s="139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</row>
    <row r="579" spans="1:32" x14ac:dyDescent="0.15">
      <c r="A579" s="3"/>
      <c r="I579" s="3"/>
      <c r="J579" s="3"/>
      <c r="K579" s="3"/>
      <c r="L579" s="139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</row>
    <row r="580" spans="1:32" x14ac:dyDescent="0.15">
      <c r="A580" s="3"/>
      <c r="I580" s="3"/>
      <c r="J580" s="3"/>
      <c r="K580" s="3"/>
      <c r="L580" s="139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</row>
    <row r="581" spans="1:32" x14ac:dyDescent="0.15">
      <c r="A581" s="3"/>
      <c r="I581" s="3"/>
      <c r="J581" s="3"/>
      <c r="K581" s="3"/>
      <c r="L581" s="139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</row>
    <row r="582" spans="1:32" x14ac:dyDescent="0.15">
      <c r="A582" s="3"/>
      <c r="I582" s="3"/>
      <c r="J582" s="3"/>
      <c r="K582" s="3"/>
      <c r="L582" s="139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</row>
    <row r="583" spans="1:32" x14ac:dyDescent="0.15">
      <c r="A583" s="3"/>
      <c r="I583" s="3"/>
      <c r="J583" s="3"/>
      <c r="K583" s="3"/>
      <c r="L583" s="139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</row>
    <row r="584" spans="1:32" x14ac:dyDescent="0.15">
      <c r="A584" s="3"/>
      <c r="I584" s="3"/>
      <c r="J584" s="3"/>
      <c r="K584" s="3"/>
      <c r="L584" s="139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</row>
    <row r="585" spans="1:32" x14ac:dyDescent="0.15">
      <c r="A585" s="3"/>
      <c r="I585" s="3"/>
      <c r="J585" s="3"/>
      <c r="K585" s="3"/>
      <c r="L585" s="139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</row>
    <row r="586" spans="1:32" x14ac:dyDescent="0.15">
      <c r="A586" s="3"/>
      <c r="I586" s="3"/>
      <c r="J586" s="3"/>
      <c r="K586" s="3"/>
      <c r="L586" s="139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</row>
    <row r="587" spans="1:32" x14ac:dyDescent="0.15">
      <c r="A587" s="3"/>
      <c r="I587" s="3"/>
      <c r="J587" s="3"/>
      <c r="K587" s="3"/>
      <c r="L587" s="139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</row>
    <row r="588" spans="1:32" x14ac:dyDescent="0.15">
      <c r="A588" s="3"/>
      <c r="I588" s="3"/>
      <c r="J588" s="3"/>
      <c r="K588" s="3"/>
      <c r="L588" s="139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</row>
    <row r="589" spans="1:32" x14ac:dyDescent="0.15">
      <c r="A589" s="3"/>
      <c r="I589" s="3"/>
      <c r="J589" s="3"/>
      <c r="K589" s="3"/>
      <c r="L589" s="139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</row>
    <row r="590" spans="1:32" x14ac:dyDescent="0.15">
      <c r="A590" s="3"/>
      <c r="I590" s="3"/>
      <c r="J590" s="3"/>
      <c r="K590" s="3"/>
      <c r="L590" s="139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</row>
    <row r="591" spans="1:32" x14ac:dyDescent="0.15">
      <c r="A591" s="3"/>
      <c r="I591" s="3"/>
      <c r="J591" s="3"/>
      <c r="K591" s="3"/>
      <c r="L591" s="139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</row>
    <row r="592" spans="1:32" x14ac:dyDescent="0.15">
      <c r="A592" s="3"/>
      <c r="I592" s="3"/>
      <c r="J592" s="3"/>
      <c r="K592" s="3"/>
      <c r="L592" s="139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</row>
    <row r="593" spans="1:32" x14ac:dyDescent="0.15">
      <c r="A593" s="3"/>
      <c r="I593" s="3"/>
      <c r="J593" s="3"/>
      <c r="K593" s="3"/>
      <c r="L593" s="139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</row>
    <row r="594" spans="1:32" x14ac:dyDescent="0.15">
      <c r="A594" s="3"/>
      <c r="I594" s="3"/>
      <c r="J594" s="3"/>
      <c r="K594" s="3"/>
      <c r="L594" s="139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</row>
    <row r="595" spans="1:32" x14ac:dyDescent="0.15">
      <c r="A595" s="3"/>
      <c r="I595" s="3"/>
      <c r="J595" s="3"/>
      <c r="K595" s="3"/>
      <c r="L595" s="139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</row>
    <row r="596" spans="1:32" x14ac:dyDescent="0.15">
      <c r="A596" s="3"/>
      <c r="I596" s="3"/>
      <c r="J596" s="3"/>
      <c r="K596" s="3"/>
      <c r="L596" s="139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</row>
    <row r="597" spans="1:32" x14ac:dyDescent="0.15">
      <c r="A597" s="3"/>
      <c r="I597" s="3"/>
      <c r="J597" s="3"/>
      <c r="K597" s="3"/>
      <c r="L597" s="139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</row>
    <row r="598" spans="1:32" x14ac:dyDescent="0.15">
      <c r="A598" s="3"/>
      <c r="I598" s="3"/>
      <c r="J598" s="3"/>
      <c r="K598" s="3"/>
      <c r="L598" s="139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</row>
    <row r="599" spans="1:32" x14ac:dyDescent="0.15">
      <c r="A599" s="3"/>
      <c r="I599" s="3"/>
      <c r="J599" s="3"/>
      <c r="K599" s="3"/>
      <c r="L599" s="139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</row>
    <row r="600" spans="1:32" x14ac:dyDescent="0.15">
      <c r="A600" s="3"/>
      <c r="I600" s="3"/>
      <c r="J600" s="3"/>
      <c r="K600" s="3"/>
      <c r="L600" s="139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</row>
    <row r="601" spans="1:32" x14ac:dyDescent="0.15">
      <c r="A601" s="3"/>
      <c r="I601" s="3"/>
      <c r="J601" s="3"/>
      <c r="K601" s="3"/>
      <c r="L601" s="139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</row>
    <row r="602" spans="1:32" x14ac:dyDescent="0.15">
      <c r="A602" s="3"/>
      <c r="I602" s="3"/>
      <c r="J602" s="3"/>
      <c r="K602" s="3"/>
      <c r="L602" s="139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</row>
    <row r="603" spans="1:32" x14ac:dyDescent="0.15">
      <c r="A603" s="3"/>
      <c r="I603" s="3"/>
      <c r="J603" s="3"/>
      <c r="K603" s="3"/>
      <c r="L603" s="139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</row>
    <row r="604" spans="1:32" x14ac:dyDescent="0.15">
      <c r="A604" s="3"/>
      <c r="I604" s="3"/>
      <c r="J604" s="3"/>
      <c r="K604" s="3"/>
      <c r="L604" s="139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</row>
    <row r="605" spans="1:32" x14ac:dyDescent="0.15">
      <c r="A605" s="3"/>
      <c r="I605" s="3"/>
      <c r="J605" s="3"/>
      <c r="K605" s="3"/>
      <c r="L605" s="139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</row>
    <row r="606" spans="1:32" x14ac:dyDescent="0.15">
      <c r="A606" s="3"/>
      <c r="I606" s="3"/>
      <c r="J606" s="3"/>
      <c r="K606" s="3"/>
      <c r="L606" s="139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</row>
    <row r="607" spans="1:32" x14ac:dyDescent="0.15">
      <c r="A607" s="3"/>
      <c r="I607" s="3"/>
      <c r="J607" s="3"/>
      <c r="K607" s="3"/>
      <c r="L607" s="139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</row>
    <row r="608" spans="1:32" x14ac:dyDescent="0.15">
      <c r="A608" s="3"/>
      <c r="I608" s="3"/>
      <c r="J608" s="3"/>
      <c r="K608" s="3"/>
      <c r="L608" s="139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</row>
    <row r="609" spans="1:32" x14ac:dyDescent="0.15">
      <c r="A609" s="3"/>
      <c r="I609" s="3"/>
      <c r="J609" s="3"/>
      <c r="K609" s="3"/>
      <c r="L609" s="139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</row>
    <row r="610" spans="1:32" x14ac:dyDescent="0.15">
      <c r="A610" s="3"/>
      <c r="I610" s="3"/>
      <c r="J610" s="3"/>
      <c r="K610" s="3"/>
      <c r="L610" s="139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</row>
    <row r="611" spans="1:32" x14ac:dyDescent="0.15">
      <c r="A611" s="3"/>
      <c r="I611" s="3"/>
      <c r="J611" s="3"/>
      <c r="K611" s="3"/>
      <c r="L611" s="139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</row>
    <row r="612" spans="1:32" x14ac:dyDescent="0.15">
      <c r="A612" s="3"/>
      <c r="I612" s="3"/>
      <c r="J612" s="3"/>
      <c r="K612" s="3"/>
      <c r="L612" s="139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</row>
    <row r="613" spans="1:32" x14ac:dyDescent="0.15">
      <c r="A613" s="3"/>
      <c r="I613" s="3"/>
      <c r="J613" s="3"/>
      <c r="K613" s="3"/>
      <c r="L613" s="139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</row>
    <row r="614" spans="1:32" x14ac:dyDescent="0.15">
      <c r="A614" s="3"/>
      <c r="I614" s="3"/>
      <c r="J614" s="3"/>
      <c r="K614" s="3"/>
      <c r="L614" s="139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</row>
    <row r="615" spans="1:32" x14ac:dyDescent="0.15">
      <c r="A615" s="3"/>
      <c r="I615" s="3"/>
      <c r="J615" s="3"/>
      <c r="K615" s="3"/>
      <c r="L615" s="139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</row>
    <row r="616" spans="1:32" x14ac:dyDescent="0.15">
      <c r="A616" s="3"/>
      <c r="I616" s="3"/>
      <c r="J616" s="3"/>
      <c r="K616" s="3"/>
      <c r="L616" s="139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</row>
    <row r="617" spans="1:32" x14ac:dyDescent="0.15">
      <c r="A617" s="3"/>
      <c r="I617" s="3"/>
      <c r="J617" s="3"/>
      <c r="K617" s="3"/>
      <c r="L617" s="139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</row>
    <row r="618" spans="1:32" x14ac:dyDescent="0.15">
      <c r="A618" s="3"/>
      <c r="I618" s="3"/>
      <c r="J618" s="3"/>
      <c r="K618" s="3"/>
      <c r="L618" s="139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</row>
    <row r="619" spans="1:32" x14ac:dyDescent="0.15">
      <c r="A619" s="3"/>
      <c r="I619" s="3"/>
      <c r="J619" s="3"/>
      <c r="K619" s="3"/>
      <c r="L619" s="139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</row>
    <row r="620" spans="1:32" x14ac:dyDescent="0.15">
      <c r="A620" s="3"/>
      <c r="I620" s="3"/>
      <c r="J620" s="3"/>
      <c r="K620" s="3"/>
      <c r="L620" s="139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</row>
    <row r="621" spans="1:32" x14ac:dyDescent="0.15">
      <c r="A621" s="3"/>
      <c r="I621" s="3"/>
      <c r="J621" s="3"/>
      <c r="K621" s="3"/>
      <c r="L621" s="139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</row>
    <row r="622" spans="1:32" x14ac:dyDescent="0.15">
      <c r="A622" s="3"/>
      <c r="I622" s="3"/>
      <c r="J622" s="3"/>
      <c r="K622" s="3"/>
      <c r="L622" s="139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</row>
    <row r="623" spans="1:32" x14ac:dyDescent="0.15">
      <c r="A623" s="3"/>
      <c r="I623" s="3"/>
      <c r="J623" s="3"/>
      <c r="K623" s="3"/>
      <c r="L623" s="139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</row>
    <row r="624" spans="1:32" x14ac:dyDescent="0.15">
      <c r="A624" s="3"/>
      <c r="I624" s="3"/>
      <c r="J624" s="3"/>
      <c r="K624" s="3"/>
      <c r="L624" s="139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</row>
    <row r="625" spans="1:32" x14ac:dyDescent="0.15">
      <c r="A625" s="3"/>
      <c r="I625" s="3"/>
      <c r="J625" s="3"/>
      <c r="K625" s="3"/>
      <c r="L625" s="139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</row>
    <row r="626" spans="1:32" x14ac:dyDescent="0.15">
      <c r="A626" s="3"/>
      <c r="I626" s="3"/>
      <c r="J626" s="3"/>
      <c r="K626" s="3"/>
      <c r="L626" s="139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</row>
    <row r="627" spans="1:32" x14ac:dyDescent="0.15">
      <c r="A627" s="3"/>
      <c r="I627" s="3"/>
      <c r="J627" s="3"/>
      <c r="K627" s="3"/>
      <c r="L627" s="139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</row>
    <row r="628" spans="1:32" x14ac:dyDescent="0.15">
      <c r="A628" s="3"/>
      <c r="I628" s="3"/>
      <c r="J628" s="3"/>
      <c r="K628" s="3"/>
      <c r="L628" s="139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</row>
    <row r="629" spans="1:32" x14ac:dyDescent="0.15">
      <c r="A629" s="3"/>
      <c r="I629" s="3"/>
      <c r="J629" s="3"/>
      <c r="K629" s="3"/>
      <c r="L629" s="139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</row>
    <row r="630" spans="1:32" x14ac:dyDescent="0.15">
      <c r="A630" s="3"/>
      <c r="I630" s="3"/>
      <c r="J630" s="3"/>
      <c r="K630" s="3"/>
      <c r="L630" s="139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</row>
    <row r="631" spans="1:32" x14ac:dyDescent="0.15">
      <c r="A631" s="3"/>
      <c r="I631" s="3"/>
      <c r="J631" s="3"/>
      <c r="K631" s="3"/>
      <c r="L631" s="139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</row>
    <row r="632" spans="1:32" x14ac:dyDescent="0.15">
      <c r="A632" s="3"/>
      <c r="I632" s="3"/>
      <c r="J632" s="3"/>
      <c r="K632" s="3"/>
      <c r="L632" s="139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</row>
    <row r="633" spans="1:32" x14ac:dyDescent="0.15">
      <c r="A633" s="3"/>
      <c r="I633" s="3"/>
      <c r="J633" s="3"/>
      <c r="K633" s="3"/>
      <c r="L633" s="139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</row>
    <row r="634" spans="1:32" x14ac:dyDescent="0.15">
      <c r="A634" s="3"/>
      <c r="I634" s="3"/>
      <c r="J634" s="3"/>
      <c r="K634" s="3"/>
      <c r="L634" s="139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</row>
    <row r="635" spans="1:32" x14ac:dyDescent="0.15">
      <c r="A635" s="3"/>
      <c r="I635" s="3"/>
      <c r="J635" s="3"/>
      <c r="K635" s="3"/>
      <c r="L635" s="139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</row>
    <row r="636" spans="1:32" x14ac:dyDescent="0.15">
      <c r="A636" s="3"/>
      <c r="I636" s="3"/>
      <c r="J636" s="3"/>
      <c r="K636" s="3"/>
      <c r="L636" s="139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</row>
    <row r="637" spans="1:32" x14ac:dyDescent="0.15">
      <c r="A637" s="3"/>
      <c r="I637" s="3"/>
      <c r="J637" s="3"/>
      <c r="K637" s="3"/>
      <c r="L637" s="139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</row>
    <row r="638" spans="1:32" x14ac:dyDescent="0.15">
      <c r="A638" s="3"/>
      <c r="I638" s="3"/>
      <c r="J638" s="3"/>
      <c r="K638" s="3"/>
      <c r="L638" s="139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</row>
    <row r="639" spans="1:32" x14ac:dyDescent="0.15">
      <c r="A639" s="3"/>
      <c r="I639" s="3"/>
      <c r="J639" s="3"/>
      <c r="K639" s="3"/>
      <c r="L639" s="139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</row>
    <row r="640" spans="1:32" x14ac:dyDescent="0.15">
      <c r="A640" s="3"/>
      <c r="I640" s="3"/>
      <c r="J640" s="3"/>
      <c r="K640" s="3"/>
      <c r="L640" s="139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</row>
    <row r="641" spans="1:32" x14ac:dyDescent="0.15">
      <c r="A641" s="3"/>
      <c r="I641" s="3"/>
      <c r="J641" s="3"/>
      <c r="K641" s="3"/>
      <c r="L641" s="139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</row>
    <row r="642" spans="1:32" x14ac:dyDescent="0.15">
      <c r="A642" s="3"/>
      <c r="I642" s="3"/>
      <c r="J642" s="3"/>
      <c r="K642" s="3"/>
      <c r="L642" s="139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</row>
    <row r="643" spans="1:32" x14ac:dyDescent="0.15">
      <c r="A643" s="3"/>
      <c r="I643" s="3"/>
      <c r="J643" s="3"/>
      <c r="K643" s="3"/>
      <c r="L643" s="139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</row>
    <row r="644" spans="1:32" x14ac:dyDescent="0.15">
      <c r="A644" s="3"/>
      <c r="I644" s="3"/>
      <c r="J644" s="3"/>
      <c r="K644" s="3"/>
      <c r="L644" s="139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</row>
    <row r="645" spans="1:32" x14ac:dyDescent="0.15">
      <c r="A645" s="3"/>
      <c r="I645" s="3"/>
      <c r="J645" s="3"/>
      <c r="K645" s="3"/>
      <c r="L645" s="139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</row>
    <row r="646" spans="1:32" x14ac:dyDescent="0.15">
      <c r="A646" s="3"/>
      <c r="I646" s="3"/>
      <c r="J646" s="3"/>
      <c r="K646" s="3"/>
      <c r="L646" s="139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</row>
    <row r="647" spans="1:32" x14ac:dyDescent="0.15">
      <c r="A647" s="3"/>
      <c r="I647" s="3"/>
      <c r="J647" s="3"/>
      <c r="K647" s="3"/>
      <c r="L647" s="139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</row>
    <row r="648" spans="1:32" x14ac:dyDescent="0.15">
      <c r="A648" s="3"/>
      <c r="I648" s="3"/>
      <c r="J648" s="3"/>
      <c r="K648" s="3"/>
      <c r="L648" s="139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</row>
    <row r="649" spans="1:32" x14ac:dyDescent="0.15">
      <c r="A649" s="3"/>
      <c r="I649" s="3"/>
      <c r="J649" s="3"/>
      <c r="K649" s="3"/>
      <c r="L649" s="139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</row>
    <row r="650" spans="1:32" x14ac:dyDescent="0.15">
      <c r="A650" s="3"/>
      <c r="I650" s="3"/>
      <c r="J650" s="3"/>
      <c r="K650" s="3"/>
      <c r="L650" s="139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</row>
    <row r="651" spans="1:32" x14ac:dyDescent="0.15">
      <c r="A651" s="3"/>
      <c r="I651" s="3"/>
      <c r="J651" s="3"/>
      <c r="K651" s="3"/>
      <c r="L651" s="139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</row>
    <row r="652" spans="1:32" x14ac:dyDescent="0.15">
      <c r="A652" s="3"/>
      <c r="I652" s="3"/>
      <c r="J652" s="3"/>
      <c r="K652" s="3"/>
      <c r="L652" s="139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</row>
    <row r="653" spans="1:32" x14ac:dyDescent="0.15">
      <c r="A653" s="3"/>
      <c r="I653" s="3"/>
      <c r="J653" s="3"/>
      <c r="K653" s="3"/>
      <c r="L653" s="139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</row>
    <row r="654" spans="1:32" x14ac:dyDescent="0.15">
      <c r="A654" s="3"/>
      <c r="I654" s="3"/>
      <c r="J654" s="3"/>
      <c r="K654" s="3"/>
      <c r="L654" s="139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</row>
    <row r="655" spans="1:32" x14ac:dyDescent="0.15">
      <c r="A655" s="3"/>
      <c r="I655" s="3"/>
      <c r="J655" s="3"/>
      <c r="K655" s="3"/>
      <c r="L655" s="139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</row>
    <row r="656" spans="1:32" x14ac:dyDescent="0.15">
      <c r="A656" s="3"/>
      <c r="I656" s="3"/>
      <c r="J656" s="3"/>
      <c r="K656" s="3"/>
      <c r="L656" s="139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</row>
    <row r="657" spans="1:32" x14ac:dyDescent="0.15">
      <c r="A657" s="3"/>
      <c r="I657" s="3"/>
      <c r="J657" s="3"/>
      <c r="K657" s="3"/>
      <c r="L657" s="139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</row>
    <row r="658" spans="1:32" x14ac:dyDescent="0.15">
      <c r="A658" s="3"/>
      <c r="I658" s="3"/>
      <c r="J658" s="3"/>
      <c r="K658" s="3"/>
      <c r="L658" s="139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</row>
    <row r="659" spans="1:32" x14ac:dyDescent="0.15">
      <c r="A659" s="3"/>
      <c r="I659" s="3"/>
      <c r="J659" s="3"/>
      <c r="K659" s="3"/>
      <c r="L659" s="139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</row>
    <row r="660" spans="1:32" x14ac:dyDescent="0.15">
      <c r="A660" s="3"/>
      <c r="I660" s="3"/>
      <c r="J660" s="3"/>
      <c r="K660" s="3"/>
      <c r="L660" s="139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</row>
    <row r="661" spans="1:32" x14ac:dyDescent="0.15">
      <c r="A661" s="3"/>
      <c r="I661" s="3"/>
      <c r="J661" s="3"/>
      <c r="K661" s="3"/>
      <c r="L661" s="139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</row>
    <row r="662" spans="1:32" x14ac:dyDescent="0.15">
      <c r="A662" s="3"/>
      <c r="I662" s="3"/>
      <c r="J662" s="3"/>
      <c r="K662" s="3"/>
      <c r="L662" s="139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</row>
    <row r="663" spans="1:32" x14ac:dyDescent="0.15">
      <c r="A663" s="3"/>
      <c r="I663" s="3"/>
      <c r="J663" s="3"/>
      <c r="K663" s="3"/>
      <c r="L663" s="139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</row>
    <row r="664" spans="1:32" x14ac:dyDescent="0.15">
      <c r="A664" s="3"/>
      <c r="I664" s="3"/>
      <c r="J664" s="3"/>
      <c r="K664" s="3"/>
      <c r="L664" s="139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</row>
    <row r="665" spans="1:32" x14ac:dyDescent="0.15">
      <c r="A665" s="3"/>
      <c r="I665" s="3"/>
      <c r="J665" s="3"/>
      <c r="K665" s="3"/>
      <c r="L665" s="139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</row>
    <row r="666" spans="1:32" x14ac:dyDescent="0.15">
      <c r="A666" s="3"/>
      <c r="I666" s="3"/>
      <c r="J666" s="3"/>
      <c r="K666" s="3"/>
      <c r="L666" s="139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</row>
    <row r="667" spans="1:32" x14ac:dyDescent="0.15">
      <c r="A667" s="3"/>
      <c r="I667" s="3"/>
      <c r="J667" s="3"/>
      <c r="K667" s="3"/>
      <c r="L667" s="139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</row>
    <row r="668" spans="1:32" x14ac:dyDescent="0.15">
      <c r="A668" s="3"/>
      <c r="I668" s="3"/>
      <c r="J668" s="3"/>
      <c r="K668" s="3"/>
      <c r="L668" s="139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</row>
    <row r="669" spans="1:32" x14ac:dyDescent="0.15">
      <c r="A669" s="3"/>
      <c r="I669" s="3"/>
      <c r="J669" s="3"/>
      <c r="K669" s="3"/>
      <c r="L669" s="139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</row>
    <row r="670" spans="1:32" x14ac:dyDescent="0.15">
      <c r="A670" s="3"/>
      <c r="I670" s="3"/>
      <c r="J670" s="3"/>
      <c r="K670" s="3"/>
      <c r="L670" s="139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</row>
    <row r="671" spans="1:32" x14ac:dyDescent="0.15">
      <c r="A671" s="3"/>
      <c r="I671" s="3"/>
      <c r="J671" s="3"/>
      <c r="K671" s="3"/>
      <c r="L671" s="139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</row>
    <row r="672" spans="1:32" x14ac:dyDescent="0.15">
      <c r="A672" s="3"/>
      <c r="I672" s="3"/>
      <c r="J672" s="3"/>
      <c r="K672" s="3"/>
      <c r="L672" s="139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</row>
    <row r="673" spans="1:32" x14ac:dyDescent="0.15">
      <c r="A673" s="3"/>
      <c r="I673" s="3"/>
      <c r="J673" s="3"/>
      <c r="K673" s="3"/>
      <c r="L673" s="139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</row>
    <row r="674" spans="1:32" x14ac:dyDescent="0.15">
      <c r="A674" s="3"/>
      <c r="I674" s="3"/>
      <c r="J674" s="3"/>
      <c r="K674" s="3"/>
      <c r="L674" s="139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</row>
    <row r="675" spans="1:32" x14ac:dyDescent="0.15">
      <c r="A675" s="3"/>
      <c r="I675" s="3"/>
      <c r="J675" s="3"/>
      <c r="K675" s="3"/>
      <c r="L675" s="139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</row>
    <row r="676" spans="1:32" x14ac:dyDescent="0.15">
      <c r="A676" s="3"/>
      <c r="I676" s="3"/>
      <c r="J676" s="3"/>
      <c r="K676" s="3"/>
      <c r="L676" s="139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</row>
    <row r="677" spans="1:32" x14ac:dyDescent="0.15">
      <c r="A677" s="3"/>
      <c r="I677" s="3"/>
      <c r="J677" s="3"/>
      <c r="K677" s="3"/>
      <c r="L677" s="139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</row>
    <row r="678" spans="1:32" x14ac:dyDescent="0.15">
      <c r="A678" s="3"/>
      <c r="I678" s="3"/>
      <c r="J678" s="3"/>
      <c r="K678" s="3"/>
      <c r="L678" s="139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</row>
    <row r="679" spans="1:32" x14ac:dyDescent="0.15">
      <c r="A679" s="3"/>
      <c r="I679" s="3"/>
      <c r="J679" s="3"/>
      <c r="K679" s="3"/>
      <c r="L679" s="139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</row>
    <row r="680" spans="1:32" x14ac:dyDescent="0.15">
      <c r="A680" s="3"/>
      <c r="I680" s="3"/>
      <c r="J680" s="3"/>
      <c r="K680" s="3"/>
      <c r="L680" s="139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</row>
    <row r="681" spans="1:32" x14ac:dyDescent="0.15">
      <c r="A681" s="3"/>
      <c r="I681" s="3"/>
      <c r="J681" s="3"/>
      <c r="K681" s="3"/>
      <c r="L681" s="139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</row>
    <row r="682" spans="1:32" x14ac:dyDescent="0.15">
      <c r="A682" s="3"/>
      <c r="I682" s="3"/>
      <c r="J682" s="3"/>
      <c r="K682" s="3"/>
      <c r="L682" s="139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</row>
    <row r="683" spans="1:32" x14ac:dyDescent="0.15">
      <c r="A683" s="3"/>
      <c r="I683" s="3"/>
      <c r="J683" s="3"/>
      <c r="K683" s="3"/>
      <c r="L683" s="139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</row>
    <row r="684" spans="1:32" x14ac:dyDescent="0.15">
      <c r="A684" s="3"/>
      <c r="I684" s="3"/>
      <c r="J684" s="3"/>
      <c r="K684" s="3"/>
      <c r="L684" s="139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</row>
    <row r="685" spans="1:32" x14ac:dyDescent="0.15">
      <c r="A685" s="3"/>
      <c r="I685" s="3"/>
      <c r="J685" s="3"/>
      <c r="K685" s="3"/>
      <c r="L685" s="139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</row>
    <row r="686" spans="1:32" x14ac:dyDescent="0.15">
      <c r="A686" s="3"/>
      <c r="I686" s="3"/>
      <c r="J686" s="3"/>
      <c r="K686" s="3"/>
      <c r="L686" s="139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</row>
    <row r="687" spans="1:32" x14ac:dyDescent="0.15">
      <c r="A687" s="3"/>
      <c r="I687" s="3"/>
      <c r="J687" s="3"/>
      <c r="K687" s="3"/>
      <c r="L687" s="139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</row>
    <row r="688" spans="1:32" x14ac:dyDescent="0.15">
      <c r="A688" s="3"/>
      <c r="I688" s="3"/>
      <c r="J688" s="3"/>
      <c r="K688" s="3"/>
      <c r="L688" s="139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</row>
    <row r="689" spans="1:32" x14ac:dyDescent="0.15">
      <c r="A689" s="3"/>
      <c r="I689" s="3"/>
      <c r="J689" s="3"/>
      <c r="K689" s="3"/>
      <c r="L689" s="139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</row>
    <row r="690" spans="1:32" x14ac:dyDescent="0.15">
      <c r="A690" s="3"/>
      <c r="I690" s="3"/>
      <c r="J690" s="3"/>
      <c r="K690" s="3"/>
      <c r="L690" s="139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</row>
    <row r="691" spans="1:32" x14ac:dyDescent="0.15">
      <c r="A691" s="3"/>
      <c r="I691" s="3"/>
      <c r="J691" s="3"/>
      <c r="K691" s="3"/>
      <c r="L691" s="139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</row>
    <row r="692" spans="1:32" x14ac:dyDescent="0.15">
      <c r="A692" s="3"/>
      <c r="I692" s="3"/>
      <c r="J692" s="3"/>
      <c r="K692" s="3"/>
      <c r="L692" s="139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</row>
    <row r="693" spans="1:32" x14ac:dyDescent="0.15">
      <c r="A693" s="3"/>
      <c r="I693" s="3"/>
      <c r="J693" s="3"/>
      <c r="K693" s="3"/>
      <c r="L693" s="139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</row>
    <row r="694" spans="1:32" x14ac:dyDescent="0.15">
      <c r="A694" s="3"/>
      <c r="I694" s="3"/>
      <c r="J694" s="3"/>
      <c r="K694" s="3"/>
      <c r="L694" s="139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</row>
    <row r="695" spans="1:32" x14ac:dyDescent="0.15">
      <c r="A695" s="3"/>
      <c r="I695" s="3"/>
      <c r="J695" s="3"/>
      <c r="K695" s="3"/>
      <c r="L695" s="139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</row>
    <row r="696" spans="1:32" x14ac:dyDescent="0.15">
      <c r="A696" s="3"/>
      <c r="I696" s="3"/>
      <c r="J696" s="3"/>
      <c r="K696" s="3"/>
      <c r="L696" s="139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</row>
    <row r="697" spans="1:32" x14ac:dyDescent="0.15">
      <c r="A697" s="3"/>
      <c r="I697" s="3"/>
      <c r="J697" s="3"/>
      <c r="K697" s="3"/>
      <c r="L697" s="139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</row>
    <row r="698" spans="1:32" x14ac:dyDescent="0.15">
      <c r="A698" s="3"/>
      <c r="I698" s="3"/>
      <c r="J698" s="3"/>
      <c r="K698" s="3"/>
      <c r="L698" s="139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</row>
    <row r="699" spans="1:32" x14ac:dyDescent="0.15">
      <c r="A699" s="3"/>
      <c r="I699" s="3"/>
      <c r="J699" s="3"/>
      <c r="K699" s="3"/>
      <c r="L699" s="139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</row>
    <row r="700" spans="1:32" x14ac:dyDescent="0.15">
      <c r="A700" s="3"/>
      <c r="I700" s="3"/>
      <c r="J700" s="3"/>
      <c r="K700" s="3"/>
      <c r="L700" s="139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</row>
    <row r="701" spans="1:32" x14ac:dyDescent="0.15">
      <c r="A701" s="3"/>
      <c r="I701" s="3"/>
      <c r="J701" s="3"/>
      <c r="K701" s="3"/>
      <c r="L701" s="139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</row>
    <row r="702" spans="1:32" x14ac:dyDescent="0.15">
      <c r="A702" s="3"/>
      <c r="I702" s="3"/>
      <c r="J702" s="3"/>
      <c r="K702" s="3"/>
      <c r="L702" s="139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</row>
    <row r="703" spans="1:32" x14ac:dyDescent="0.15">
      <c r="A703" s="3"/>
      <c r="I703" s="3"/>
      <c r="J703" s="3"/>
      <c r="K703" s="3"/>
      <c r="L703" s="139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</row>
    <row r="704" spans="1:32" x14ac:dyDescent="0.15">
      <c r="A704" s="3"/>
      <c r="I704" s="3"/>
      <c r="J704" s="3"/>
      <c r="K704" s="3"/>
      <c r="L704" s="139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</row>
    <row r="705" spans="1:32" x14ac:dyDescent="0.15">
      <c r="A705" s="3"/>
      <c r="I705" s="3"/>
      <c r="J705" s="3"/>
      <c r="K705" s="3"/>
      <c r="L705" s="139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</row>
    <row r="706" spans="1:32" x14ac:dyDescent="0.15">
      <c r="A706" s="3"/>
      <c r="I706" s="3"/>
      <c r="J706" s="3"/>
      <c r="K706" s="3"/>
      <c r="L706" s="139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</row>
    <row r="707" spans="1:32" x14ac:dyDescent="0.15">
      <c r="A707" s="3"/>
      <c r="I707" s="3"/>
      <c r="J707" s="3"/>
      <c r="K707" s="3"/>
      <c r="L707" s="139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</row>
    <row r="708" spans="1:32" x14ac:dyDescent="0.15">
      <c r="A708" s="3"/>
      <c r="I708" s="3"/>
      <c r="J708" s="3"/>
      <c r="K708" s="3"/>
      <c r="L708" s="139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</row>
    <row r="709" spans="1:32" x14ac:dyDescent="0.15">
      <c r="A709" s="3"/>
      <c r="I709" s="3"/>
      <c r="J709" s="3"/>
      <c r="K709" s="3"/>
      <c r="L709" s="139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</row>
    <row r="710" spans="1:32" x14ac:dyDescent="0.15">
      <c r="A710" s="3"/>
      <c r="I710" s="3"/>
      <c r="J710" s="3"/>
      <c r="K710" s="3"/>
      <c r="L710" s="139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</row>
    <row r="711" spans="1:32" x14ac:dyDescent="0.15">
      <c r="A711" s="3"/>
      <c r="I711" s="3"/>
      <c r="J711" s="3"/>
      <c r="K711" s="3"/>
      <c r="L711" s="139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</row>
    <row r="712" spans="1:32" x14ac:dyDescent="0.15">
      <c r="A712" s="3"/>
      <c r="I712" s="3"/>
      <c r="J712" s="3"/>
      <c r="K712" s="3"/>
      <c r="L712" s="139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</row>
    <row r="713" spans="1:32" x14ac:dyDescent="0.15">
      <c r="A713" s="3"/>
      <c r="I713" s="3"/>
      <c r="J713" s="3"/>
      <c r="K713" s="3"/>
      <c r="L713" s="139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</row>
    <row r="714" spans="1:32" x14ac:dyDescent="0.15">
      <c r="A714" s="3"/>
      <c r="I714" s="3"/>
      <c r="J714" s="3"/>
      <c r="K714" s="3"/>
      <c r="L714" s="139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</row>
    <row r="715" spans="1:32" x14ac:dyDescent="0.15">
      <c r="A715" s="3"/>
      <c r="I715" s="3"/>
      <c r="J715" s="3"/>
      <c r="K715" s="3"/>
      <c r="L715" s="139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</row>
    <row r="716" spans="1:32" x14ac:dyDescent="0.15">
      <c r="A716" s="3"/>
      <c r="I716" s="3"/>
      <c r="J716" s="3"/>
      <c r="K716" s="3"/>
      <c r="L716" s="139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</row>
    <row r="717" spans="1:32" x14ac:dyDescent="0.15">
      <c r="A717" s="3"/>
      <c r="I717" s="3"/>
      <c r="J717" s="3"/>
      <c r="K717" s="3"/>
      <c r="L717" s="139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</row>
    <row r="718" spans="1:32" x14ac:dyDescent="0.15">
      <c r="A718" s="3"/>
      <c r="I718" s="3"/>
      <c r="J718" s="3"/>
      <c r="K718" s="3"/>
      <c r="L718" s="139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</row>
    <row r="719" spans="1:32" x14ac:dyDescent="0.15">
      <c r="A719" s="3"/>
      <c r="I719" s="3"/>
      <c r="J719" s="3"/>
      <c r="K719" s="3"/>
      <c r="L719" s="139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</row>
    <row r="720" spans="1:32" x14ac:dyDescent="0.15">
      <c r="A720" s="3"/>
      <c r="I720" s="3"/>
      <c r="J720" s="3"/>
      <c r="K720" s="3"/>
      <c r="L720" s="139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</row>
    <row r="721" spans="1:32" x14ac:dyDescent="0.15">
      <c r="A721" s="3"/>
      <c r="I721" s="3"/>
      <c r="J721" s="3"/>
      <c r="K721" s="3"/>
      <c r="L721" s="139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</row>
    <row r="722" spans="1:32" x14ac:dyDescent="0.15">
      <c r="A722" s="3"/>
      <c r="I722" s="3"/>
      <c r="J722" s="3"/>
      <c r="K722" s="3"/>
      <c r="L722" s="139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</row>
    <row r="723" spans="1:32" x14ac:dyDescent="0.15">
      <c r="A723" s="3"/>
      <c r="I723" s="3"/>
      <c r="J723" s="3"/>
      <c r="K723" s="3"/>
      <c r="L723" s="139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</row>
    <row r="724" spans="1:32" x14ac:dyDescent="0.15">
      <c r="A724" s="3"/>
      <c r="I724" s="3"/>
      <c r="J724" s="3"/>
      <c r="K724" s="3"/>
      <c r="L724" s="139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</row>
    <row r="725" spans="1:32" x14ac:dyDescent="0.15">
      <c r="A725" s="3"/>
      <c r="I725" s="3"/>
      <c r="J725" s="3"/>
      <c r="K725" s="3"/>
      <c r="L725" s="139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</row>
    <row r="726" spans="1:32" x14ac:dyDescent="0.15">
      <c r="A726" s="3"/>
      <c r="I726" s="3"/>
      <c r="J726" s="3"/>
      <c r="K726" s="3"/>
      <c r="L726" s="139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</row>
    <row r="727" spans="1:32" x14ac:dyDescent="0.15">
      <c r="A727" s="3"/>
      <c r="I727" s="3"/>
      <c r="J727" s="3"/>
      <c r="K727" s="3"/>
      <c r="L727" s="139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</row>
    <row r="728" spans="1:32" x14ac:dyDescent="0.15">
      <c r="A728" s="3"/>
      <c r="I728" s="3"/>
      <c r="J728" s="3"/>
      <c r="K728" s="3"/>
      <c r="L728" s="139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</row>
    <row r="729" spans="1:32" x14ac:dyDescent="0.15">
      <c r="A729" s="3"/>
      <c r="I729" s="3"/>
      <c r="J729" s="3"/>
      <c r="K729" s="3"/>
      <c r="L729" s="139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</row>
    <row r="730" spans="1:32" x14ac:dyDescent="0.15">
      <c r="A730" s="3"/>
      <c r="I730" s="3"/>
      <c r="J730" s="3"/>
      <c r="K730" s="3"/>
      <c r="L730" s="139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</row>
    <row r="731" spans="1:32" x14ac:dyDescent="0.15">
      <c r="A731" s="3"/>
      <c r="I731" s="3"/>
      <c r="J731" s="3"/>
      <c r="K731" s="3"/>
      <c r="L731" s="139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</row>
    <row r="732" spans="1:32" x14ac:dyDescent="0.15">
      <c r="A732" s="3"/>
      <c r="I732" s="3"/>
      <c r="J732" s="3"/>
      <c r="K732" s="3"/>
      <c r="L732" s="139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</row>
    <row r="733" spans="1:32" x14ac:dyDescent="0.15">
      <c r="A733" s="3"/>
      <c r="I733" s="3"/>
      <c r="J733" s="3"/>
      <c r="K733" s="3"/>
      <c r="L733" s="139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</row>
    <row r="734" spans="1:32" x14ac:dyDescent="0.15">
      <c r="A734" s="3"/>
      <c r="I734" s="3"/>
      <c r="J734" s="3"/>
      <c r="K734" s="3"/>
      <c r="L734" s="139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</row>
    <row r="735" spans="1:32" x14ac:dyDescent="0.15">
      <c r="A735" s="3"/>
      <c r="I735" s="3"/>
      <c r="J735" s="3"/>
      <c r="K735" s="3"/>
      <c r="L735" s="139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</row>
    <row r="736" spans="1:32" x14ac:dyDescent="0.15">
      <c r="A736" s="3"/>
      <c r="I736" s="3"/>
      <c r="J736" s="3"/>
      <c r="K736" s="3"/>
      <c r="L736" s="139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</row>
    <row r="737" spans="1:32" x14ac:dyDescent="0.15">
      <c r="A737" s="3"/>
      <c r="I737" s="3"/>
      <c r="J737" s="3"/>
      <c r="K737" s="3"/>
      <c r="L737" s="139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</row>
    <row r="738" spans="1:32" x14ac:dyDescent="0.15">
      <c r="A738" s="3"/>
      <c r="I738" s="3"/>
      <c r="J738" s="3"/>
      <c r="K738" s="3"/>
      <c r="L738" s="139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</row>
    <row r="739" spans="1:32" x14ac:dyDescent="0.15">
      <c r="A739" s="3"/>
      <c r="I739" s="3"/>
      <c r="J739" s="3"/>
      <c r="K739" s="3"/>
      <c r="L739" s="139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</row>
    <row r="740" spans="1:32" x14ac:dyDescent="0.15">
      <c r="A740" s="3"/>
      <c r="I740" s="3"/>
      <c r="J740" s="3"/>
      <c r="K740" s="3"/>
      <c r="L740" s="139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</row>
    <row r="741" spans="1:32" x14ac:dyDescent="0.15">
      <c r="A741" s="3"/>
      <c r="I741" s="3"/>
      <c r="J741" s="3"/>
      <c r="K741" s="3"/>
      <c r="L741" s="139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</row>
    <row r="742" spans="1:32" x14ac:dyDescent="0.15">
      <c r="A742" s="3"/>
      <c r="I742" s="3"/>
      <c r="J742" s="3"/>
      <c r="K742" s="3"/>
      <c r="L742" s="139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</row>
    <row r="743" spans="1:32" x14ac:dyDescent="0.15">
      <c r="A743" s="3"/>
      <c r="I743" s="3"/>
      <c r="J743" s="3"/>
      <c r="K743" s="3"/>
      <c r="L743" s="139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</row>
    <row r="744" spans="1:32" x14ac:dyDescent="0.15">
      <c r="A744" s="3"/>
      <c r="I744" s="3"/>
      <c r="J744" s="3"/>
      <c r="K744" s="3"/>
      <c r="L744" s="139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</row>
    <row r="745" spans="1:32" x14ac:dyDescent="0.15">
      <c r="A745" s="3"/>
      <c r="I745" s="3"/>
      <c r="J745" s="3"/>
      <c r="K745" s="3"/>
      <c r="L745" s="139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</row>
    <row r="746" spans="1:32" x14ac:dyDescent="0.15">
      <c r="A746" s="3"/>
      <c r="I746" s="3"/>
      <c r="J746" s="3"/>
      <c r="K746" s="3"/>
      <c r="L746" s="139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</row>
    <row r="747" spans="1:32" x14ac:dyDescent="0.15">
      <c r="A747" s="3"/>
      <c r="I747" s="3"/>
      <c r="J747" s="3"/>
      <c r="K747" s="3"/>
      <c r="L747" s="139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</row>
    <row r="748" spans="1:32" x14ac:dyDescent="0.15">
      <c r="A748" s="3"/>
      <c r="I748" s="3"/>
      <c r="J748" s="3"/>
      <c r="K748" s="3"/>
      <c r="L748" s="139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</row>
    <row r="749" spans="1:32" x14ac:dyDescent="0.15">
      <c r="A749" s="3"/>
      <c r="I749" s="3"/>
      <c r="J749" s="3"/>
      <c r="K749" s="3"/>
      <c r="L749" s="139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</row>
    <row r="750" spans="1:32" x14ac:dyDescent="0.15">
      <c r="A750" s="3"/>
      <c r="I750" s="3"/>
      <c r="J750" s="3"/>
      <c r="K750" s="3"/>
      <c r="L750" s="139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</row>
    <row r="751" spans="1:32" x14ac:dyDescent="0.15">
      <c r="A751" s="3"/>
      <c r="I751" s="3"/>
      <c r="J751" s="3"/>
      <c r="K751" s="3"/>
      <c r="L751" s="139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</row>
    <row r="752" spans="1:32" x14ac:dyDescent="0.15">
      <c r="A752" s="3"/>
      <c r="I752" s="3"/>
      <c r="J752" s="3"/>
      <c r="K752" s="3"/>
      <c r="L752" s="139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</row>
    <row r="753" spans="1:32" x14ac:dyDescent="0.15">
      <c r="A753" s="3"/>
      <c r="I753" s="3"/>
      <c r="J753" s="3"/>
      <c r="K753" s="3"/>
      <c r="L753" s="139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</row>
    <row r="754" spans="1:32" x14ac:dyDescent="0.15">
      <c r="A754" s="3"/>
      <c r="I754" s="3"/>
      <c r="J754" s="3"/>
      <c r="K754" s="3"/>
      <c r="L754" s="139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</row>
    <row r="755" spans="1:32" x14ac:dyDescent="0.15">
      <c r="A755" s="3"/>
      <c r="I755" s="3"/>
      <c r="J755" s="3"/>
      <c r="K755" s="3"/>
      <c r="L755" s="139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</row>
    <row r="756" spans="1:32" x14ac:dyDescent="0.15">
      <c r="A756" s="3"/>
      <c r="I756" s="3"/>
      <c r="J756" s="3"/>
      <c r="K756" s="3"/>
      <c r="L756" s="139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</row>
    <row r="757" spans="1:32" x14ac:dyDescent="0.15">
      <c r="A757" s="3"/>
      <c r="I757" s="3"/>
      <c r="J757" s="3"/>
      <c r="K757" s="3"/>
      <c r="L757" s="139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</row>
    <row r="758" spans="1:32" x14ac:dyDescent="0.15">
      <c r="A758" s="3"/>
      <c r="I758" s="3"/>
      <c r="J758" s="3"/>
      <c r="K758" s="3"/>
      <c r="L758" s="139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</row>
    <row r="759" spans="1:32" x14ac:dyDescent="0.15">
      <c r="A759" s="3"/>
      <c r="I759" s="3"/>
      <c r="J759" s="3"/>
      <c r="K759" s="3"/>
      <c r="L759" s="139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</row>
    <row r="760" spans="1:32" x14ac:dyDescent="0.15">
      <c r="A760" s="3"/>
      <c r="I760" s="3"/>
      <c r="J760" s="3"/>
      <c r="K760" s="3"/>
      <c r="L760" s="139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</row>
    <row r="761" spans="1:32" x14ac:dyDescent="0.15">
      <c r="A761" s="3"/>
      <c r="I761" s="3"/>
      <c r="J761" s="3"/>
      <c r="K761" s="3"/>
      <c r="L761" s="139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</row>
    <row r="762" spans="1:32" x14ac:dyDescent="0.15">
      <c r="A762" s="3"/>
      <c r="I762" s="3"/>
      <c r="J762" s="3"/>
      <c r="K762" s="3"/>
      <c r="L762" s="139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</row>
    <row r="763" spans="1:32" x14ac:dyDescent="0.15">
      <c r="A763" s="3"/>
      <c r="I763" s="3"/>
      <c r="J763" s="3"/>
      <c r="K763" s="3"/>
      <c r="L763" s="139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</row>
    <row r="764" spans="1:32" x14ac:dyDescent="0.15">
      <c r="A764" s="3"/>
      <c r="I764" s="3"/>
      <c r="J764" s="3"/>
      <c r="K764" s="3"/>
      <c r="L764" s="139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</row>
    <row r="765" spans="1:32" x14ac:dyDescent="0.15">
      <c r="A765" s="3"/>
      <c r="I765" s="3"/>
      <c r="J765" s="3"/>
      <c r="K765" s="3"/>
      <c r="L765" s="139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</row>
    <row r="766" spans="1:32" x14ac:dyDescent="0.15">
      <c r="A766" s="3"/>
      <c r="I766" s="3"/>
      <c r="J766" s="3"/>
      <c r="K766" s="3"/>
      <c r="L766" s="139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</row>
    <row r="767" spans="1:32" x14ac:dyDescent="0.15">
      <c r="A767" s="3"/>
      <c r="I767" s="3"/>
      <c r="J767" s="3"/>
      <c r="K767" s="3"/>
      <c r="L767" s="139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</row>
    <row r="768" spans="1:32" x14ac:dyDescent="0.15">
      <c r="A768" s="3"/>
      <c r="I768" s="3"/>
      <c r="J768" s="3"/>
      <c r="K768" s="3"/>
      <c r="L768" s="139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</row>
    <row r="769" spans="1:32" x14ac:dyDescent="0.15">
      <c r="A769" s="3"/>
      <c r="I769" s="3"/>
      <c r="J769" s="3"/>
      <c r="K769" s="3"/>
      <c r="L769" s="139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</row>
    <row r="770" spans="1:32" x14ac:dyDescent="0.15">
      <c r="A770" s="3"/>
      <c r="I770" s="3"/>
      <c r="J770" s="3"/>
      <c r="K770" s="3"/>
      <c r="L770" s="139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</row>
    <row r="771" spans="1:32" x14ac:dyDescent="0.15">
      <c r="A771" s="3"/>
      <c r="I771" s="3"/>
      <c r="J771" s="3"/>
      <c r="K771" s="3"/>
      <c r="L771" s="139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</row>
    <row r="772" spans="1:32" x14ac:dyDescent="0.15">
      <c r="A772" s="3"/>
      <c r="I772" s="3"/>
      <c r="J772" s="3"/>
      <c r="K772" s="3"/>
      <c r="L772" s="139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</row>
    <row r="773" spans="1:32" x14ac:dyDescent="0.15">
      <c r="A773" s="3"/>
      <c r="I773" s="3"/>
      <c r="J773" s="3"/>
      <c r="K773" s="3"/>
      <c r="L773" s="139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</row>
    <row r="774" spans="1:32" x14ac:dyDescent="0.15">
      <c r="A774" s="3"/>
      <c r="I774" s="3"/>
      <c r="J774" s="3"/>
      <c r="K774" s="3"/>
      <c r="L774" s="139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</row>
    <row r="775" spans="1:32" x14ac:dyDescent="0.15">
      <c r="A775" s="3"/>
      <c r="I775" s="3"/>
      <c r="J775" s="3"/>
      <c r="K775" s="3"/>
      <c r="L775" s="139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</row>
    <row r="776" spans="1:32" x14ac:dyDescent="0.15">
      <c r="A776" s="3"/>
      <c r="I776" s="3"/>
      <c r="J776" s="3"/>
      <c r="K776" s="3"/>
      <c r="L776" s="139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</row>
    <row r="777" spans="1:32" x14ac:dyDescent="0.15">
      <c r="A777" s="3"/>
      <c r="I777" s="3"/>
      <c r="J777" s="3"/>
      <c r="K777" s="3"/>
      <c r="L777" s="139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</row>
    <row r="778" spans="1:32" x14ac:dyDescent="0.15">
      <c r="A778" s="3"/>
      <c r="I778" s="3"/>
      <c r="J778" s="3"/>
      <c r="K778" s="3"/>
      <c r="L778" s="139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</row>
    <row r="779" spans="1:32" x14ac:dyDescent="0.15">
      <c r="A779" s="3"/>
      <c r="I779" s="3"/>
      <c r="J779" s="3"/>
      <c r="K779" s="3"/>
      <c r="L779" s="139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</row>
    <row r="780" spans="1:32" x14ac:dyDescent="0.15">
      <c r="A780" s="3"/>
      <c r="I780" s="3"/>
      <c r="J780" s="3"/>
      <c r="K780" s="3"/>
      <c r="L780" s="139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</row>
    <row r="781" spans="1:32" x14ac:dyDescent="0.15">
      <c r="A781" s="3"/>
      <c r="I781" s="3"/>
      <c r="J781" s="3"/>
      <c r="K781" s="3"/>
      <c r="L781" s="139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</row>
    <row r="782" spans="1:32" x14ac:dyDescent="0.15">
      <c r="A782" s="3"/>
      <c r="I782" s="3"/>
      <c r="J782" s="3"/>
      <c r="K782" s="3"/>
      <c r="L782" s="139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</row>
    <row r="783" spans="1:32" x14ac:dyDescent="0.15">
      <c r="A783" s="3"/>
      <c r="I783" s="3"/>
      <c r="J783" s="3"/>
      <c r="K783" s="3"/>
      <c r="L783" s="139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</row>
    <row r="784" spans="1:32" x14ac:dyDescent="0.15">
      <c r="A784" s="3"/>
      <c r="I784" s="3"/>
      <c r="J784" s="3"/>
      <c r="K784" s="3"/>
      <c r="L784" s="139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</row>
    <row r="785" spans="1:32" x14ac:dyDescent="0.15">
      <c r="A785" s="3"/>
      <c r="I785" s="3"/>
      <c r="J785" s="3"/>
      <c r="K785" s="3"/>
      <c r="L785" s="139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</row>
    <row r="786" spans="1:32" x14ac:dyDescent="0.15">
      <c r="A786" s="3"/>
      <c r="I786" s="3"/>
      <c r="J786" s="3"/>
      <c r="K786" s="3"/>
      <c r="L786" s="139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</row>
    <row r="787" spans="1:32" x14ac:dyDescent="0.15">
      <c r="A787" s="3"/>
      <c r="I787" s="3"/>
      <c r="J787" s="3"/>
      <c r="K787" s="3"/>
      <c r="L787" s="139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</row>
    <row r="788" spans="1:32" x14ac:dyDescent="0.15">
      <c r="A788" s="3"/>
      <c r="I788" s="3"/>
      <c r="J788" s="3"/>
      <c r="K788" s="3"/>
      <c r="L788" s="139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</row>
    <row r="789" spans="1:32" x14ac:dyDescent="0.15">
      <c r="A789" s="3"/>
      <c r="I789" s="3"/>
      <c r="J789" s="3"/>
      <c r="K789" s="3"/>
      <c r="L789" s="139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</row>
    <row r="790" spans="1:32" x14ac:dyDescent="0.15">
      <c r="A790" s="3"/>
      <c r="I790" s="3"/>
      <c r="J790" s="3"/>
      <c r="K790" s="3"/>
      <c r="L790" s="139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</row>
    <row r="791" spans="1:32" x14ac:dyDescent="0.15">
      <c r="A791" s="3"/>
      <c r="I791" s="3"/>
      <c r="J791" s="3"/>
      <c r="K791" s="3"/>
      <c r="L791" s="139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</row>
    <row r="792" spans="1:32" x14ac:dyDescent="0.15">
      <c r="A792" s="3"/>
      <c r="I792" s="3"/>
      <c r="J792" s="3"/>
      <c r="K792" s="3"/>
      <c r="L792" s="139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</row>
    <row r="793" spans="1:32" x14ac:dyDescent="0.15">
      <c r="A793" s="3"/>
      <c r="I793" s="3"/>
      <c r="J793" s="3"/>
      <c r="K793" s="3"/>
      <c r="L793" s="139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</row>
    <row r="794" spans="1:32" x14ac:dyDescent="0.15">
      <c r="A794" s="3"/>
      <c r="I794" s="3"/>
      <c r="J794" s="3"/>
      <c r="K794" s="3"/>
      <c r="L794" s="139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</row>
    <row r="795" spans="1:32" x14ac:dyDescent="0.15">
      <c r="A795" s="3"/>
      <c r="I795" s="3"/>
      <c r="J795" s="3"/>
      <c r="K795" s="3"/>
      <c r="L795" s="139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</row>
    <row r="796" spans="1:32" x14ac:dyDescent="0.15">
      <c r="A796" s="3"/>
      <c r="I796" s="3"/>
      <c r="J796" s="3"/>
      <c r="K796" s="3"/>
      <c r="L796" s="139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</row>
    <row r="797" spans="1:32" x14ac:dyDescent="0.15">
      <c r="A797" s="3"/>
      <c r="I797" s="3"/>
      <c r="J797" s="3"/>
      <c r="K797" s="3"/>
      <c r="L797" s="139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</row>
    <row r="798" spans="1:32" x14ac:dyDescent="0.15">
      <c r="A798" s="3"/>
      <c r="I798" s="3"/>
      <c r="J798" s="3"/>
      <c r="K798" s="3"/>
      <c r="L798" s="139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</row>
    <row r="799" spans="1:32" x14ac:dyDescent="0.15">
      <c r="A799" s="3"/>
      <c r="I799" s="3"/>
      <c r="J799" s="3"/>
      <c r="K799" s="3"/>
      <c r="L799" s="139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</row>
    <row r="800" spans="1:32" x14ac:dyDescent="0.15">
      <c r="A800" s="3"/>
      <c r="I800" s="3"/>
      <c r="J800" s="3"/>
      <c r="K800" s="3"/>
      <c r="L800" s="139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</row>
    <row r="801" spans="1:32" x14ac:dyDescent="0.15">
      <c r="A801" s="3"/>
      <c r="I801" s="3"/>
      <c r="J801" s="3"/>
      <c r="K801" s="3"/>
      <c r="L801" s="139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</row>
    <row r="802" spans="1:32" x14ac:dyDescent="0.15">
      <c r="A802" s="3"/>
      <c r="I802" s="3"/>
      <c r="J802" s="3"/>
      <c r="K802" s="3"/>
      <c r="L802" s="139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</row>
    <row r="803" spans="1:32" x14ac:dyDescent="0.15">
      <c r="A803" s="3"/>
      <c r="I803" s="3"/>
      <c r="J803" s="3"/>
      <c r="K803" s="3"/>
      <c r="L803" s="139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</row>
    <row r="804" spans="1:32" x14ac:dyDescent="0.15">
      <c r="A804" s="3"/>
      <c r="I804" s="3"/>
      <c r="J804" s="3"/>
      <c r="K804" s="3"/>
      <c r="L804" s="139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</row>
    <row r="805" spans="1:32" x14ac:dyDescent="0.15">
      <c r="A805" s="3"/>
      <c r="I805" s="3"/>
      <c r="J805" s="3"/>
      <c r="K805" s="3"/>
      <c r="L805" s="139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</row>
    <row r="806" spans="1:32" x14ac:dyDescent="0.15">
      <c r="A806" s="3"/>
      <c r="I806" s="3"/>
      <c r="J806" s="3"/>
      <c r="K806" s="3"/>
      <c r="L806" s="139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</row>
    <row r="807" spans="1:32" x14ac:dyDescent="0.15">
      <c r="A807" s="3"/>
      <c r="I807" s="3"/>
      <c r="J807" s="3"/>
      <c r="K807" s="3"/>
      <c r="L807" s="139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</row>
    <row r="808" spans="1:32" x14ac:dyDescent="0.15">
      <c r="A808" s="3"/>
      <c r="I808" s="3"/>
      <c r="J808" s="3"/>
      <c r="K808" s="3"/>
      <c r="L808" s="139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</row>
    <row r="809" spans="1:32" x14ac:dyDescent="0.15">
      <c r="A809" s="3"/>
      <c r="I809" s="3"/>
      <c r="J809" s="3"/>
      <c r="K809" s="3"/>
      <c r="L809" s="139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</row>
    <row r="810" spans="1:32" x14ac:dyDescent="0.15">
      <c r="A810" s="3"/>
      <c r="I810" s="3"/>
      <c r="J810" s="3"/>
      <c r="K810" s="3"/>
      <c r="L810" s="139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</row>
    <row r="811" spans="1:32" x14ac:dyDescent="0.15">
      <c r="A811" s="3"/>
      <c r="I811" s="3"/>
      <c r="J811" s="3"/>
      <c r="K811" s="3"/>
      <c r="L811" s="139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</row>
    <row r="812" spans="1:32" x14ac:dyDescent="0.15">
      <c r="A812" s="3"/>
      <c r="I812" s="3"/>
      <c r="J812" s="3"/>
      <c r="K812" s="3"/>
      <c r="L812" s="139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</row>
    <row r="813" spans="1:32" x14ac:dyDescent="0.15">
      <c r="A813" s="3"/>
      <c r="I813" s="3"/>
      <c r="J813" s="3"/>
      <c r="K813" s="3"/>
      <c r="L813" s="139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</row>
    <row r="814" spans="1:32" x14ac:dyDescent="0.15">
      <c r="A814" s="3"/>
      <c r="I814" s="3"/>
      <c r="J814" s="3"/>
      <c r="K814" s="3"/>
      <c r="L814" s="139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</row>
    <row r="815" spans="1:32" x14ac:dyDescent="0.15">
      <c r="A815" s="3"/>
      <c r="I815" s="3"/>
      <c r="J815" s="3"/>
      <c r="K815" s="3"/>
      <c r="L815" s="139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</row>
    <row r="816" spans="1:32" x14ac:dyDescent="0.15">
      <c r="A816" s="3"/>
      <c r="I816" s="3"/>
      <c r="J816" s="3"/>
      <c r="K816" s="3"/>
      <c r="L816" s="139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</row>
    <row r="817" spans="1:32" x14ac:dyDescent="0.15">
      <c r="A817" s="3"/>
      <c r="I817" s="3"/>
      <c r="J817" s="3"/>
      <c r="K817" s="3"/>
      <c r="L817" s="139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</row>
    <row r="818" spans="1:32" x14ac:dyDescent="0.15">
      <c r="A818" s="3"/>
      <c r="I818" s="3"/>
      <c r="J818" s="3"/>
      <c r="K818" s="3"/>
      <c r="L818" s="139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</row>
    <row r="819" spans="1:32" x14ac:dyDescent="0.15">
      <c r="A819" s="3"/>
      <c r="I819" s="3"/>
      <c r="J819" s="3"/>
      <c r="K819" s="3"/>
      <c r="L819" s="139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</row>
    <row r="820" spans="1:32" x14ac:dyDescent="0.15">
      <c r="A820" s="3"/>
      <c r="I820" s="3"/>
      <c r="J820" s="3"/>
      <c r="K820" s="3"/>
      <c r="L820" s="139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</row>
    <row r="821" spans="1:32" x14ac:dyDescent="0.15">
      <c r="A821" s="3"/>
      <c r="I821" s="3"/>
      <c r="J821" s="3"/>
      <c r="K821" s="3"/>
      <c r="L821" s="139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</row>
    <row r="822" spans="1:32" x14ac:dyDescent="0.15">
      <c r="A822" s="3"/>
      <c r="I822" s="3"/>
      <c r="J822" s="3"/>
      <c r="K822" s="3"/>
      <c r="L822" s="139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</row>
    <row r="823" spans="1:32" x14ac:dyDescent="0.15">
      <c r="A823" s="3"/>
      <c r="I823" s="3"/>
      <c r="J823" s="3"/>
      <c r="K823" s="3"/>
      <c r="L823" s="139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</row>
    <row r="824" spans="1:32" x14ac:dyDescent="0.15">
      <c r="A824" s="3"/>
      <c r="I824" s="3"/>
      <c r="J824" s="3"/>
      <c r="K824" s="3"/>
      <c r="L824" s="139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</row>
    <row r="825" spans="1:32" x14ac:dyDescent="0.15">
      <c r="A825" s="3"/>
      <c r="I825" s="3"/>
      <c r="J825" s="3"/>
      <c r="K825" s="3"/>
      <c r="L825" s="139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</row>
    <row r="826" spans="1:32" x14ac:dyDescent="0.15">
      <c r="A826" s="3"/>
      <c r="I826" s="3"/>
      <c r="J826" s="3"/>
      <c r="K826" s="3"/>
      <c r="L826" s="139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</row>
    <row r="827" spans="1:32" x14ac:dyDescent="0.15">
      <c r="A827" s="3"/>
      <c r="I827" s="3"/>
      <c r="J827" s="3"/>
      <c r="K827" s="3"/>
      <c r="L827" s="139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</row>
    <row r="828" spans="1:32" x14ac:dyDescent="0.15">
      <c r="A828" s="3"/>
      <c r="I828" s="3"/>
      <c r="J828" s="3"/>
      <c r="K828" s="3"/>
      <c r="L828" s="139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</row>
    <row r="829" spans="1:32" x14ac:dyDescent="0.15">
      <c r="A829" s="3"/>
      <c r="I829" s="3"/>
      <c r="J829" s="3"/>
      <c r="K829" s="3"/>
      <c r="L829" s="139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</row>
    <row r="830" spans="1:32" x14ac:dyDescent="0.15">
      <c r="A830" s="3"/>
      <c r="I830" s="3"/>
      <c r="J830" s="3"/>
      <c r="K830" s="3"/>
      <c r="L830" s="139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</row>
    <row r="831" spans="1:32" x14ac:dyDescent="0.15">
      <c r="A831" s="3"/>
      <c r="I831" s="3"/>
      <c r="J831" s="3"/>
      <c r="K831" s="3"/>
      <c r="L831" s="139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</row>
    <row r="832" spans="1:32" x14ac:dyDescent="0.15">
      <c r="A832" s="3"/>
      <c r="I832" s="3"/>
      <c r="J832" s="3"/>
      <c r="K832" s="3"/>
      <c r="L832" s="139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</row>
    <row r="833" spans="1:32" x14ac:dyDescent="0.15">
      <c r="A833" s="3"/>
      <c r="I833" s="3"/>
      <c r="J833" s="3"/>
      <c r="K833" s="3"/>
      <c r="L833" s="139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</row>
    <row r="834" spans="1:32" x14ac:dyDescent="0.15">
      <c r="A834" s="3"/>
      <c r="I834" s="3"/>
      <c r="J834" s="3"/>
      <c r="K834" s="3"/>
      <c r="L834" s="139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</row>
    <row r="835" spans="1:32" x14ac:dyDescent="0.15">
      <c r="A835" s="3"/>
      <c r="I835" s="3"/>
      <c r="J835" s="3"/>
      <c r="K835" s="3"/>
      <c r="L835" s="139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</row>
    <row r="836" spans="1:32" x14ac:dyDescent="0.15">
      <c r="A836" s="3"/>
      <c r="I836" s="3"/>
      <c r="J836" s="3"/>
      <c r="K836" s="3"/>
      <c r="L836" s="139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</row>
    <row r="837" spans="1:32" x14ac:dyDescent="0.15">
      <c r="A837" s="3"/>
      <c r="I837" s="3"/>
      <c r="J837" s="3"/>
      <c r="K837" s="3"/>
      <c r="L837" s="139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</row>
    <row r="838" spans="1:32" x14ac:dyDescent="0.15">
      <c r="A838" s="3"/>
      <c r="I838" s="3"/>
      <c r="J838" s="3"/>
      <c r="K838" s="3"/>
      <c r="L838" s="139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</row>
    <row r="839" spans="1:32" x14ac:dyDescent="0.15">
      <c r="A839" s="3"/>
      <c r="I839" s="3"/>
      <c r="J839" s="3"/>
      <c r="K839" s="3"/>
      <c r="L839" s="139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</row>
    <row r="840" spans="1:32" x14ac:dyDescent="0.15">
      <c r="A840" s="3"/>
      <c r="I840" s="3"/>
      <c r="J840" s="3"/>
      <c r="K840" s="3"/>
      <c r="L840" s="139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</row>
    <row r="841" spans="1:32" x14ac:dyDescent="0.15">
      <c r="A841" s="3"/>
      <c r="I841" s="3"/>
      <c r="J841" s="3"/>
      <c r="K841" s="3"/>
      <c r="L841" s="139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</row>
    <row r="842" spans="1:32" x14ac:dyDescent="0.15">
      <c r="A842" s="3"/>
      <c r="I842" s="3"/>
      <c r="J842" s="3"/>
      <c r="K842" s="3"/>
      <c r="L842" s="139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</row>
    <row r="843" spans="1:32" x14ac:dyDescent="0.15">
      <c r="A843" s="3"/>
      <c r="I843" s="3"/>
      <c r="J843" s="3"/>
      <c r="K843" s="3"/>
      <c r="L843" s="139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</row>
    <row r="844" spans="1:32" x14ac:dyDescent="0.15">
      <c r="A844" s="3"/>
      <c r="I844" s="3"/>
      <c r="J844" s="3"/>
      <c r="K844" s="3"/>
      <c r="L844" s="139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</row>
    <row r="845" spans="1:32" x14ac:dyDescent="0.15">
      <c r="A845" s="3"/>
      <c r="I845" s="3"/>
      <c r="J845" s="3"/>
      <c r="K845" s="3"/>
      <c r="L845" s="139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</row>
    <row r="846" spans="1:32" x14ac:dyDescent="0.15">
      <c r="A846" s="3"/>
      <c r="I846" s="3"/>
      <c r="J846" s="3"/>
      <c r="K846" s="3"/>
      <c r="L846" s="139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</row>
    <row r="847" spans="1:32" x14ac:dyDescent="0.15">
      <c r="A847" s="3"/>
      <c r="I847" s="3"/>
      <c r="J847" s="3"/>
      <c r="K847" s="3"/>
      <c r="L847" s="139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</row>
    <row r="848" spans="1:32" x14ac:dyDescent="0.15">
      <c r="A848" s="3"/>
      <c r="I848" s="3"/>
      <c r="J848" s="3"/>
      <c r="K848" s="3"/>
      <c r="L848" s="139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</row>
    <row r="849" spans="1:32" x14ac:dyDescent="0.15">
      <c r="A849" s="3"/>
      <c r="I849" s="3"/>
      <c r="J849" s="3"/>
      <c r="K849" s="3"/>
      <c r="L849" s="139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</row>
    <row r="850" spans="1:32" x14ac:dyDescent="0.15">
      <c r="A850" s="3"/>
      <c r="I850" s="3"/>
      <c r="J850" s="3"/>
      <c r="K850" s="3"/>
      <c r="L850" s="139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</row>
    <row r="851" spans="1:32" x14ac:dyDescent="0.15">
      <c r="A851" s="3"/>
      <c r="I851" s="3"/>
      <c r="J851" s="3"/>
      <c r="K851" s="3"/>
      <c r="L851" s="139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</row>
    <row r="852" spans="1:32" x14ac:dyDescent="0.15">
      <c r="A852" s="3"/>
      <c r="I852" s="3"/>
      <c r="J852" s="3"/>
      <c r="K852" s="3"/>
      <c r="L852" s="139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</row>
    <row r="853" spans="1:32" x14ac:dyDescent="0.15">
      <c r="A853" s="3"/>
      <c r="I853" s="3"/>
      <c r="J853" s="3"/>
      <c r="K853" s="3"/>
      <c r="L853" s="139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</row>
    <row r="854" spans="1:32" x14ac:dyDescent="0.15">
      <c r="A854" s="3"/>
      <c r="I854" s="3"/>
      <c r="J854" s="3"/>
      <c r="K854" s="3"/>
      <c r="L854" s="139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</row>
    <row r="855" spans="1:32" x14ac:dyDescent="0.15">
      <c r="A855" s="3"/>
      <c r="I855" s="3"/>
      <c r="J855" s="3"/>
      <c r="K855" s="3"/>
      <c r="L855" s="139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</row>
    <row r="856" spans="1:32" x14ac:dyDescent="0.15">
      <c r="A856" s="3"/>
      <c r="I856" s="3"/>
      <c r="J856" s="3"/>
      <c r="K856" s="3"/>
      <c r="L856" s="139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</row>
    <row r="857" spans="1:32" x14ac:dyDescent="0.15">
      <c r="A857" s="3"/>
      <c r="I857" s="3"/>
      <c r="J857" s="3"/>
      <c r="K857" s="3"/>
      <c r="L857" s="139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</row>
    <row r="858" spans="1:32" x14ac:dyDescent="0.15">
      <c r="A858" s="3"/>
      <c r="I858" s="3"/>
      <c r="J858" s="3"/>
      <c r="K858" s="3"/>
      <c r="L858" s="139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</row>
    <row r="859" spans="1:32" x14ac:dyDescent="0.15">
      <c r="A859" s="3"/>
      <c r="I859" s="3"/>
      <c r="J859" s="3"/>
      <c r="K859" s="3"/>
      <c r="L859" s="139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</row>
    <row r="860" spans="1:32" x14ac:dyDescent="0.15">
      <c r="A860" s="3"/>
      <c r="I860" s="3"/>
      <c r="J860" s="3"/>
      <c r="K860" s="3"/>
      <c r="L860" s="139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</row>
    <row r="861" spans="1:32" x14ac:dyDescent="0.15">
      <c r="A861" s="3"/>
      <c r="I861" s="3"/>
      <c r="J861" s="3"/>
      <c r="K861" s="3"/>
      <c r="L861" s="139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</row>
    <row r="862" spans="1:32" x14ac:dyDescent="0.15">
      <c r="A862" s="3"/>
      <c r="I862" s="3"/>
      <c r="J862" s="3"/>
      <c r="K862" s="3"/>
      <c r="L862" s="139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</row>
    <row r="863" spans="1:32" x14ac:dyDescent="0.15">
      <c r="A863" s="3"/>
      <c r="I863" s="3"/>
      <c r="J863" s="3"/>
      <c r="K863" s="3"/>
      <c r="L863" s="139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</row>
    <row r="864" spans="1:32" x14ac:dyDescent="0.15">
      <c r="A864" s="3"/>
      <c r="I864" s="3"/>
      <c r="J864" s="3"/>
      <c r="K864" s="3"/>
      <c r="L864" s="139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</row>
    <row r="865" spans="1:32" x14ac:dyDescent="0.15">
      <c r="A865" s="3"/>
      <c r="I865" s="3"/>
      <c r="J865" s="3"/>
      <c r="K865" s="3"/>
      <c r="L865" s="139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</row>
    <row r="866" spans="1:32" x14ac:dyDescent="0.15">
      <c r="A866" s="3"/>
      <c r="I866" s="3"/>
      <c r="J866" s="3"/>
      <c r="K866" s="3"/>
      <c r="L866" s="139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</row>
    <row r="867" spans="1:32" x14ac:dyDescent="0.15">
      <c r="A867" s="3"/>
      <c r="I867" s="3"/>
      <c r="J867" s="3"/>
      <c r="K867" s="3"/>
      <c r="L867" s="139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</row>
    <row r="868" spans="1:32" x14ac:dyDescent="0.15">
      <c r="A868" s="3"/>
      <c r="I868" s="3"/>
      <c r="J868" s="3"/>
      <c r="K868" s="3"/>
      <c r="L868" s="139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</row>
    <row r="869" spans="1:32" x14ac:dyDescent="0.15">
      <c r="A869" s="3"/>
      <c r="I869" s="3"/>
      <c r="J869" s="3"/>
      <c r="K869" s="3"/>
      <c r="L869" s="139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</row>
    <row r="870" spans="1:32" x14ac:dyDescent="0.15">
      <c r="A870" s="3"/>
      <c r="I870" s="3"/>
      <c r="J870" s="3"/>
      <c r="K870" s="3"/>
      <c r="L870" s="139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</row>
    <row r="871" spans="1:32" x14ac:dyDescent="0.15">
      <c r="A871" s="3"/>
      <c r="I871" s="3"/>
      <c r="J871" s="3"/>
      <c r="K871" s="3"/>
      <c r="L871" s="139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</row>
    <row r="872" spans="1:32" x14ac:dyDescent="0.15">
      <c r="A872" s="3"/>
      <c r="I872" s="3"/>
      <c r="J872" s="3"/>
      <c r="K872" s="3"/>
      <c r="L872" s="139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</row>
    <row r="873" spans="1:32" x14ac:dyDescent="0.15">
      <c r="A873" s="3"/>
      <c r="I873" s="3"/>
      <c r="J873" s="3"/>
      <c r="K873" s="3"/>
      <c r="L873" s="139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</row>
    <row r="874" spans="1:32" x14ac:dyDescent="0.15">
      <c r="A874" s="3"/>
      <c r="I874" s="3"/>
      <c r="J874" s="3"/>
      <c r="K874" s="3"/>
      <c r="L874" s="139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</row>
    <row r="875" spans="1:32" x14ac:dyDescent="0.15">
      <c r="A875" s="3"/>
      <c r="I875" s="3"/>
      <c r="J875" s="3"/>
      <c r="K875" s="3"/>
      <c r="L875" s="139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</row>
    <row r="876" spans="1:32" x14ac:dyDescent="0.15">
      <c r="A876" s="3"/>
      <c r="I876" s="3"/>
      <c r="J876" s="3"/>
      <c r="K876" s="3"/>
      <c r="L876" s="139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</row>
    <row r="877" spans="1:32" x14ac:dyDescent="0.15">
      <c r="A877" s="3"/>
      <c r="I877" s="3"/>
      <c r="J877" s="3"/>
      <c r="K877" s="3"/>
      <c r="L877" s="139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</row>
    <row r="878" spans="1:32" x14ac:dyDescent="0.15">
      <c r="A878" s="3"/>
      <c r="I878" s="3"/>
      <c r="J878" s="3"/>
      <c r="K878" s="3"/>
      <c r="L878" s="139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</row>
    <row r="879" spans="1:32" x14ac:dyDescent="0.15">
      <c r="A879" s="3"/>
      <c r="I879" s="3"/>
      <c r="J879" s="3"/>
      <c r="K879" s="3"/>
      <c r="L879" s="139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</row>
    <row r="880" spans="1:32" x14ac:dyDescent="0.15">
      <c r="A880" s="3"/>
      <c r="I880" s="3"/>
      <c r="J880" s="3"/>
      <c r="K880" s="3"/>
      <c r="L880" s="139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</row>
    <row r="881" spans="1:32" x14ac:dyDescent="0.15">
      <c r="A881" s="3"/>
      <c r="I881" s="3"/>
      <c r="J881" s="3"/>
      <c r="K881" s="3"/>
      <c r="L881" s="139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</row>
    <row r="882" spans="1:32" x14ac:dyDescent="0.15">
      <c r="A882" s="3"/>
      <c r="I882" s="3"/>
      <c r="J882" s="3"/>
      <c r="K882" s="3"/>
      <c r="L882" s="139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</row>
    <row r="883" spans="1:32" x14ac:dyDescent="0.15">
      <c r="A883" s="3"/>
      <c r="I883" s="3"/>
      <c r="J883" s="3"/>
      <c r="K883" s="3"/>
      <c r="L883" s="139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</row>
    <row r="884" spans="1:32" x14ac:dyDescent="0.15">
      <c r="A884" s="3"/>
      <c r="I884" s="3"/>
      <c r="J884" s="3"/>
      <c r="K884" s="3"/>
      <c r="L884" s="139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</row>
    <row r="885" spans="1:32" x14ac:dyDescent="0.15">
      <c r="A885" s="3"/>
      <c r="I885" s="3"/>
      <c r="J885" s="3"/>
      <c r="K885" s="3"/>
      <c r="L885" s="139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</row>
    <row r="886" spans="1:32" x14ac:dyDescent="0.15">
      <c r="A886" s="3"/>
      <c r="I886" s="3"/>
      <c r="J886" s="3"/>
      <c r="K886" s="3"/>
      <c r="L886" s="139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</row>
    <row r="887" spans="1:32" x14ac:dyDescent="0.15">
      <c r="A887" s="3"/>
      <c r="I887" s="3"/>
      <c r="J887" s="3"/>
      <c r="K887" s="3"/>
      <c r="L887" s="139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</row>
    <row r="888" spans="1:32" x14ac:dyDescent="0.15">
      <c r="A888" s="3"/>
      <c r="I888" s="3"/>
      <c r="J888" s="3"/>
      <c r="K888" s="3"/>
      <c r="L888" s="139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</row>
    <row r="889" spans="1:32" x14ac:dyDescent="0.15">
      <c r="A889" s="3"/>
      <c r="I889" s="3"/>
      <c r="J889" s="3"/>
      <c r="K889" s="3"/>
      <c r="L889" s="139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</row>
    <row r="890" spans="1:32" x14ac:dyDescent="0.15">
      <c r="A890" s="3"/>
      <c r="I890" s="3"/>
      <c r="J890" s="3"/>
      <c r="K890" s="3"/>
      <c r="L890" s="139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</row>
    <row r="891" spans="1:32" x14ac:dyDescent="0.15">
      <c r="A891" s="3"/>
      <c r="I891" s="3"/>
      <c r="J891" s="3"/>
      <c r="K891" s="3"/>
      <c r="L891" s="139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</row>
    <row r="892" spans="1:32" x14ac:dyDescent="0.15">
      <c r="A892" s="3"/>
      <c r="I892" s="3"/>
      <c r="J892" s="3"/>
      <c r="K892" s="3"/>
      <c r="L892" s="139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</row>
    <row r="893" spans="1:32" x14ac:dyDescent="0.15">
      <c r="A893" s="3"/>
      <c r="I893" s="3"/>
      <c r="J893" s="3"/>
      <c r="K893" s="3"/>
      <c r="L893" s="139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</row>
    <row r="894" spans="1:32" x14ac:dyDescent="0.15">
      <c r="A894" s="3"/>
      <c r="I894" s="3"/>
      <c r="J894" s="3"/>
      <c r="K894" s="3"/>
      <c r="L894" s="139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</row>
    <row r="895" spans="1:32" x14ac:dyDescent="0.15">
      <c r="A895" s="3"/>
      <c r="I895" s="3"/>
      <c r="J895" s="3"/>
      <c r="K895" s="3"/>
      <c r="L895" s="139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</row>
    <row r="896" spans="1:32" x14ac:dyDescent="0.15">
      <c r="A896" s="3"/>
      <c r="I896" s="3"/>
      <c r="J896" s="3"/>
      <c r="K896" s="3"/>
      <c r="L896" s="139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</row>
    <row r="897" spans="1:32" x14ac:dyDescent="0.15">
      <c r="A897" s="3"/>
      <c r="I897" s="3"/>
      <c r="J897" s="3"/>
      <c r="K897" s="3"/>
      <c r="L897" s="139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</row>
    <row r="898" spans="1:32" x14ac:dyDescent="0.15">
      <c r="A898" s="3"/>
      <c r="I898" s="3"/>
      <c r="J898" s="3"/>
      <c r="K898" s="3"/>
      <c r="L898" s="139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</row>
    <row r="899" spans="1:32" x14ac:dyDescent="0.15">
      <c r="A899" s="3"/>
      <c r="I899" s="3"/>
      <c r="J899" s="3"/>
      <c r="K899" s="3"/>
      <c r="L899" s="139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</row>
    <row r="900" spans="1:32" x14ac:dyDescent="0.15">
      <c r="A900" s="3"/>
      <c r="I900" s="3"/>
      <c r="J900" s="3"/>
      <c r="K900" s="3"/>
      <c r="L900" s="139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</row>
    <row r="901" spans="1:32" x14ac:dyDescent="0.15">
      <c r="A901" s="3"/>
      <c r="I901" s="3"/>
      <c r="J901" s="3"/>
      <c r="K901" s="3"/>
      <c r="L901" s="139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</row>
    <row r="902" spans="1:32" x14ac:dyDescent="0.15">
      <c r="A902" s="3"/>
      <c r="I902" s="3"/>
      <c r="J902" s="3"/>
      <c r="K902" s="3"/>
      <c r="L902" s="139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</row>
    <row r="903" spans="1:32" x14ac:dyDescent="0.15">
      <c r="A903" s="3"/>
      <c r="I903" s="3"/>
      <c r="J903" s="3"/>
      <c r="K903" s="3"/>
      <c r="L903" s="139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</row>
    <row r="904" spans="1:32" x14ac:dyDescent="0.15">
      <c r="A904" s="3"/>
      <c r="I904" s="3"/>
      <c r="J904" s="3"/>
      <c r="K904" s="3"/>
      <c r="L904" s="139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</row>
    <row r="905" spans="1:32" x14ac:dyDescent="0.15">
      <c r="A905" s="3"/>
      <c r="I905" s="3"/>
      <c r="J905" s="3"/>
      <c r="K905" s="3"/>
      <c r="L905" s="139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</row>
    <row r="906" spans="1:32" x14ac:dyDescent="0.15">
      <c r="A906" s="3"/>
      <c r="I906" s="3"/>
      <c r="J906" s="3"/>
      <c r="K906" s="3"/>
      <c r="L906" s="139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</row>
    <row r="907" spans="1:32" x14ac:dyDescent="0.15">
      <c r="A907" s="3"/>
      <c r="I907" s="3"/>
      <c r="J907" s="3"/>
      <c r="K907" s="3"/>
      <c r="L907" s="139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</row>
    <row r="908" spans="1:32" x14ac:dyDescent="0.15">
      <c r="A908" s="3"/>
      <c r="I908" s="3"/>
      <c r="J908" s="3"/>
      <c r="K908" s="3"/>
      <c r="L908" s="139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</row>
    <row r="909" spans="1:32" x14ac:dyDescent="0.15">
      <c r="A909" s="3"/>
      <c r="I909" s="3"/>
      <c r="J909" s="3"/>
      <c r="K909" s="3"/>
      <c r="L909" s="139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</row>
    <row r="910" spans="1:32" x14ac:dyDescent="0.15">
      <c r="A910" s="3"/>
      <c r="I910" s="3"/>
      <c r="J910" s="3"/>
      <c r="K910" s="3"/>
      <c r="L910" s="139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</row>
    <row r="911" spans="1:32" x14ac:dyDescent="0.15">
      <c r="A911" s="3"/>
      <c r="I911" s="3"/>
      <c r="J911" s="3"/>
      <c r="K911" s="3"/>
      <c r="L911" s="139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</row>
    <row r="912" spans="1:32" x14ac:dyDescent="0.15">
      <c r="A912" s="3"/>
      <c r="I912" s="3"/>
      <c r="J912" s="3"/>
      <c r="K912" s="3"/>
      <c r="L912" s="139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</row>
    <row r="913" spans="1:32" x14ac:dyDescent="0.15">
      <c r="A913" s="3"/>
      <c r="I913" s="3"/>
      <c r="J913" s="3"/>
      <c r="K913" s="3"/>
      <c r="L913" s="139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</row>
    <row r="914" spans="1:32" x14ac:dyDescent="0.15">
      <c r="A914" s="3"/>
      <c r="I914" s="3"/>
      <c r="J914" s="3"/>
      <c r="K914" s="3"/>
      <c r="L914" s="139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</row>
    <row r="915" spans="1:32" x14ac:dyDescent="0.15">
      <c r="A915" s="3"/>
      <c r="I915" s="3"/>
      <c r="J915" s="3"/>
      <c r="K915" s="3"/>
      <c r="L915" s="139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</row>
    <row r="916" spans="1:32" x14ac:dyDescent="0.15">
      <c r="A916" s="3"/>
      <c r="I916" s="3"/>
      <c r="J916" s="3"/>
      <c r="K916" s="3"/>
      <c r="L916" s="139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</row>
    <row r="917" spans="1:32" x14ac:dyDescent="0.15">
      <c r="A917" s="3"/>
      <c r="I917" s="3"/>
      <c r="J917" s="3"/>
      <c r="K917" s="3"/>
      <c r="L917" s="139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</row>
    <row r="918" spans="1:32" x14ac:dyDescent="0.15">
      <c r="A918" s="3"/>
      <c r="I918" s="3"/>
      <c r="J918" s="3"/>
      <c r="K918" s="3"/>
      <c r="L918" s="139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</row>
    <row r="919" spans="1:32" x14ac:dyDescent="0.15">
      <c r="A919" s="3"/>
      <c r="I919" s="3"/>
      <c r="J919" s="3"/>
      <c r="K919" s="3"/>
      <c r="L919" s="139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</row>
    <row r="920" spans="1:32" x14ac:dyDescent="0.15">
      <c r="A920" s="3"/>
      <c r="I920" s="3"/>
      <c r="J920" s="3"/>
      <c r="K920" s="3"/>
      <c r="L920" s="139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</row>
    <row r="921" spans="1:32" x14ac:dyDescent="0.15">
      <c r="A921" s="3"/>
      <c r="I921" s="3"/>
      <c r="J921" s="3"/>
      <c r="K921" s="3"/>
      <c r="L921" s="139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</row>
    <row r="922" spans="1:32" x14ac:dyDescent="0.15">
      <c r="A922" s="3"/>
      <c r="I922" s="3"/>
      <c r="J922" s="3"/>
      <c r="K922" s="3"/>
      <c r="L922" s="139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</row>
    <row r="923" spans="1:32" x14ac:dyDescent="0.15">
      <c r="A923" s="3"/>
      <c r="I923" s="3"/>
      <c r="J923" s="3"/>
      <c r="K923" s="3"/>
      <c r="L923" s="139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</row>
    <row r="924" spans="1:32" x14ac:dyDescent="0.15">
      <c r="A924" s="3"/>
      <c r="I924" s="3"/>
      <c r="J924" s="3"/>
      <c r="K924" s="3"/>
      <c r="L924" s="139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</row>
    <row r="925" spans="1:32" x14ac:dyDescent="0.15">
      <c r="A925" s="3"/>
      <c r="I925" s="3"/>
      <c r="J925" s="3"/>
      <c r="K925" s="3"/>
      <c r="L925" s="139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</row>
    <row r="926" spans="1:32" x14ac:dyDescent="0.15">
      <c r="A926" s="3"/>
      <c r="I926" s="3"/>
      <c r="J926" s="3"/>
      <c r="K926" s="3"/>
      <c r="L926" s="139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</row>
    <row r="927" spans="1:32" x14ac:dyDescent="0.15">
      <c r="A927" s="3"/>
      <c r="I927" s="3"/>
      <c r="J927" s="3"/>
      <c r="K927" s="3"/>
      <c r="L927" s="139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</row>
    <row r="928" spans="1:32" x14ac:dyDescent="0.15">
      <c r="A928" s="3"/>
      <c r="I928" s="3"/>
      <c r="J928" s="3"/>
      <c r="K928" s="3"/>
      <c r="L928" s="139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</row>
    <row r="929" spans="1:32" x14ac:dyDescent="0.15">
      <c r="A929" s="3"/>
      <c r="I929" s="3"/>
      <c r="J929" s="3"/>
      <c r="K929" s="3"/>
      <c r="L929" s="139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</row>
    <row r="930" spans="1:32" x14ac:dyDescent="0.15">
      <c r="A930" s="3"/>
      <c r="I930" s="3"/>
      <c r="J930" s="3"/>
      <c r="K930" s="3"/>
      <c r="L930" s="139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</row>
    <row r="931" spans="1:32" x14ac:dyDescent="0.15">
      <c r="A931" s="3"/>
      <c r="I931" s="3"/>
      <c r="J931" s="3"/>
      <c r="K931" s="3"/>
      <c r="L931" s="139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</row>
    <row r="932" spans="1:32" x14ac:dyDescent="0.15">
      <c r="A932" s="3"/>
      <c r="I932" s="3"/>
      <c r="J932" s="3"/>
      <c r="K932" s="3"/>
      <c r="L932" s="139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</row>
    <row r="933" spans="1:32" x14ac:dyDescent="0.15">
      <c r="A933" s="3"/>
      <c r="I933" s="3"/>
      <c r="J933" s="3"/>
      <c r="K933" s="3"/>
      <c r="L933" s="139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</row>
    <row r="934" spans="1:32" x14ac:dyDescent="0.15">
      <c r="A934" s="3"/>
      <c r="I934" s="3"/>
      <c r="J934" s="3"/>
      <c r="K934" s="3"/>
      <c r="L934" s="139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</row>
    <row r="935" spans="1:32" x14ac:dyDescent="0.15">
      <c r="A935" s="3"/>
      <c r="I935" s="3"/>
      <c r="J935" s="3"/>
      <c r="K935" s="3"/>
      <c r="L935" s="139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</row>
    <row r="936" spans="1:32" x14ac:dyDescent="0.15">
      <c r="A936" s="3"/>
      <c r="I936" s="3"/>
      <c r="J936" s="3"/>
      <c r="K936" s="3"/>
      <c r="L936" s="139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</row>
    <row r="937" spans="1:32" x14ac:dyDescent="0.15">
      <c r="A937" s="3"/>
      <c r="I937" s="3"/>
      <c r="J937" s="3"/>
      <c r="K937" s="3"/>
      <c r="L937" s="139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</row>
    <row r="938" spans="1:32" x14ac:dyDescent="0.15">
      <c r="A938" s="3"/>
      <c r="I938" s="3"/>
      <c r="J938" s="3"/>
      <c r="K938" s="3"/>
      <c r="L938" s="139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</row>
    <row r="939" spans="1:32" x14ac:dyDescent="0.15">
      <c r="A939" s="3"/>
      <c r="I939" s="3"/>
      <c r="J939" s="3"/>
      <c r="K939" s="3"/>
      <c r="L939" s="139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</row>
    <row r="940" spans="1:32" x14ac:dyDescent="0.15">
      <c r="A940" s="3"/>
      <c r="I940" s="3"/>
      <c r="J940" s="3"/>
      <c r="K940" s="3"/>
      <c r="L940" s="139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</row>
    <row r="941" spans="1:32" x14ac:dyDescent="0.15">
      <c r="A941" s="3"/>
      <c r="I941" s="3"/>
      <c r="J941" s="3"/>
      <c r="K941" s="3"/>
      <c r="L941" s="139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</row>
    <row r="942" spans="1:32" x14ac:dyDescent="0.15">
      <c r="A942" s="3"/>
      <c r="I942" s="3"/>
      <c r="J942" s="3"/>
      <c r="K942" s="3"/>
      <c r="L942" s="139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</row>
    <row r="943" spans="1:32" x14ac:dyDescent="0.15">
      <c r="A943" s="3"/>
      <c r="I943" s="3"/>
      <c r="J943" s="3"/>
      <c r="K943" s="3"/>
      <c r="L943" s="139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</row>
    <row r="944" spans="1:32" x14ac:dyDescent="0.15">
      <c r="A944" s="3"/>
      <c r="I944" s="3"/>
      <c r="J944" s="3"/>
      <c r="K944" s="3"/>
      <c r="L944" s="139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</row>
    <row r="945" spans="1:32" x14ac:dyDescent="0.15">
      <c r="A945" s="3"/>
      <c r="I945" s="3"/>
      <c r="J945" s="3"/>
      <c r="K945" s="3"/>
      <c r="L945" s="139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</row>
    <row r="946" spans="1:32" x14ac:dyDescent="0.15">
      <c r="A946" s="3"/>
      <c r="I946" s="3"/>
      <c r="J946" s="3"/>
      <c r="K946" s="3"/>
      <c r="L946" s="139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</row>
    <row r="947" spans="1:32" x14ac:dyDescent="0.15">
      <c r="A947" s="3"/>
      <c r="I947" s="3"/>
      <c r="J947" s="3"/>
      <c r="K947" s="3"/>
      <c r="L947" s="139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</row>
    <row r="948" spans="1:32" x14ac:dyDescent="0.15">
      <c r="A948" s="3"/>
      <c r="I948" s="3"/>
      <c r="J948" s="3"/>
      <c r="K948" s="3"/>
      <c r="L948" s="139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</row>
    <row r="949" spans="1:32" x14ac:dyDescent="0.15">
      <c r="A949" s="3"/>
      <c r="I949" s="3"/>
      <c r="J949" s="3"/>
      <c r="K949" s="3"/>
      <c r="L949" s="139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</row>
    <row r="950" spans="1:32" x14ac:dyDescent="0.15">
      <c r="A950" s="3"/>
      <c r="I950" s="3"/>
      <c r="J950" s="3"/>
      <c r="K950" s="3"/>
      <c r="L950" s="139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</row>
    <row r="951" spans="1:32" x14ac:dyDescent="0.15">
      <c r="A951" s="3"/>
      <c r="I951" s="3"/>
      <c r="J951" s="3"/>
      <c r="K951" s="3"/>
      <c r="L951" s="139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</row>
    <row r="952" spans="1:32" x14ac:dyDescent="0.15">
      <c r="A952" s="3"/>
      <c r="I952" s="3"/>
      <c r="J952" s="3"/>
      <c r="K952" s="3"/>
      <c r="L952" s="139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</row>
    <row r="953" spans="1:32" x14ac:dyDescent="0.15">
      <c r="A953" s="3"/>
      <c r="I953" s="3"/>
      <c r="J953" s="3"/>
      <c r="K953" s="3"/>
      <c r="L953" s="139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</row>
    <row r="954" spans="1:32" x14ac:dyDescent="0.15">
      <c r="A954" s="3"/>
      <c r="I954" s="3"/>
      <c r="J954" s="3"/>
      <c r="K954" s="3"/>
      <c r="L954" s="139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</row>
    <row r="955" spans="1:32" x14ac:dyDescent="0.15">
      <c r="A955" s="3"/>
      <c r="I955" s="3"/>
      <c r="J955" s="3"/>
      <c r="K955" s="3"/>
      <c r="L955" s="139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</row>
    <row r="956" spans="1:32" x14ac:dyDescent="0.15">
      <c r="A956" s="3"/>
      <c r="I956" s="3"/>
      <c r="J956" s="3"/>
      <c r="K956" s="3"/>
      <c r="L956" s="139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</row>
    <row r="957" spans="1:32" x14ac:dyDescent="0.15">
      <c r="A957" s="3"/>
      <c r="I957" s="3"/>
      <c r="J957" s="3"/>
      <c r="K957" s="3"/>
      <c r="L957" s="139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</row>
    <row r="958" spans="1:32" x14ac:dyDescent="0.15">
      <c r="A958" s="3"/>
      <c r="I958" s="3"/>
      <c r="J958" s="3"/>
      <c r="K958" s="3"/>
      <c r="L958" s="139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</row>
    <row r="959" spans="1:32" x14ac:dyDescent="0.15">
      <c r="A959" s="3"/>
      <c r="I959" s="3"/>
      <c r="J959" s="3"/>
      <c r="K959" s="3"/>
      <c r="L959" s="139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</row>
    <row r="960" spans="1:32" x14ac:dyDescent="0.15">
      <c r="A960" s="3"/>
      <c r="I960" s="3"/>
      <c r="J960" s="3"/>
      <c r="K960" s="3"/>
      <c r="L960" s="139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</row>
    <row r="961" spans="1:32" x14ac:dyDescent="0.15">
      <c r="A961" s="3"/>
      <c r="I961" s="3"/>
      <c r="J961" s="3"/>
      <c r="K961" s="3"/>
      <c r="L961" s="139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</row>
    <row r="962" spans="1:32" x14ac:dyDescent="0.15">
      <c r="A962" s="3"/>
      <c r="I962" s="3"/>
      <c r="J962" s="3"/>
      <c r="K962" s="3"/>
      <c r="L962" s="139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</row>
    <row r="963" spans="1:32" x14ac:dyDescent="0.15">
      <c r="A963" s="3"/>
      <c r="I963" s="3"/>
      <c r="J963" s="3"/>
      <c r="K963" s="3"/>
      <c r="L963" s="139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</row>
    <row r="964" spans="1:32" x14ac:dyDescent="0.15">
      <c r="A964" s="3"/>
      <c r="I964" s="3"/>
      <c r="J964" s="3"/>
      <c r="K964" s="3"/>
      <c r="L964" s="139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</row>
    <row r="965" spans="1:32" x14ac:dyDescent="0.15">
      <c r="A965" s="3"/>
      <c r="I965" s="3"/>
      <c r="J965" s="3"/>
      <c r="K965" s="3"/>
      <c r="L965" s="139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</row>
    <row r="966" spans="1:32" x14ac:dyDescent="0.15">
      <c r="A966" s="3"/>
      <c r="I966" s="3"/>
      <c r="J966" s="3"/>
      <c r="K966" s="3"/>
      <c r="L966" s="139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</row>
    <row r="967" spans="1:32" x14ac:dyDescent="0.15">
      <c r="A967" s="3"/>
      <c r="I967" s="3"/>
      <c r="J967" s="3"/>
      <c r="K967" s="3"/>
      <c r="L967" s="139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</row>
    <row r="968" spans="1:32" x14ac:dyDescent="0.15">
      <c r="A968" s="3"/>
      <c r="I968" s="3"/>
      <c r="J968" s="3"/>
      <c r="K968" s="3"/>
      <c r="L968" s="139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</row>
    <row r="969" spans="1:32" x14ac:dyDescent="0.15">
      <c r="A969" s="3"/>
      <c r="I969" s="3"/>
      <c r="J969" s="3"/>
      <c r="K969" s="3"/>
      <c r="L969" s="139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</row>
    <row r="970" spans="1:32" x14ac:dyDescent="0.15">
      <c r="A970" s="3"/>
      <c r="I970" s="3"/>
      <c r="J970" s="3"/>
      <c r="K970" s="3"/>
      <c r="L970" s="139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</row>
    <row r="971" spans="1:32" x14ac:dyDescent="0.15">
      <c r="A971" s="3"/>
      <c r="I971" s="3"/>
      <c r="J971" s="3"/>
      <c r="K971" s="3"/>
      <c r="L971" s="139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</row>
    <row r="972" spans="1:32" x14ac:dyDescent="0.15">
      <c r="A972" s="3"/>
      <c r="I972" s="3"/>
      <c r="J972" s="3"/>
      <c r="K972" s="3"/>
      <c r="L972" s="139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</row>
    <row r="973" spans="1:32" x14ac:dyDescent="0.15">
      <c r="A973" s="3"/>
      <c r="I973" s="3"/>
      <c r="J973" s="3"/>
      <c r="K973" s="3"/>
      <c r="L973" s="139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</row>
    <row r="974" spans="1:32" x14ac:dyDescent="0.15">
      <c r="A974" s="3"/>
      <c r="I974" s="3"/>
      <c r="J974" s="3"/>
      <c r="K974" s="3"/>
      <c r="L974" s="139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</row>
    <row r="975" spans="1:32" x14ac:dyDescent="0.15">
      <c r="A975" s="3"/>
      <c r="I975" s="3"/>
      <c r="J975" s="3"/>
      <c r="K975" s="3"/>
      <c r="L975" s="139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</row>
    <row r="976" spans="1:32" x14ac:dyDescent="0.15">
      <c r="A976" s="3"/>
      <c r="I976" s="3"/>
      <c r="J976" s="3"/>
      <c r="K976" s="3"/>
      <c r="L976" s="139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</row>
    <row r="977" spans="1:32" x14ac:dyDescent="0.15">
      <c r="A977" s="3"/>
      <c r="I977" s="3"/>
      <c r="J977" s="3"/>
      <c r="K977" s="3"/>
      <c r="L977" s="139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</row>
    <row r="978" spans="1:32" x14ac:dyDescent="0.15">
      <c r="A978" s="3"/>
      <c r="I978" s="3"/>
      <c r="J978" s="3"/>
      <c r="K978" s="3"/>
      <c r="L978" s="139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</row>
    <row r="979" spans="1:32" x14ac:dyDescent="0.15">
      <c r="A979" s="3"/>
      <c r="I979" s="3"/>
      <c r="J979" s="3"/>
      <c r="K979" s="3"/>
      <c r="L979" s="139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</row>
    <row r="980" spans="1:32" x14ac:dyDescent="0.15">
      <c r="A980" s="3"/>
      <c r="I980" s="3"/>
      <c r="J980" s="3"/>
      <c r="K980" s="3"/>
      <c r="L980" s="139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</row>
    <row r="981" spans="1:32" x14ac:dyDescent="0.15">
      <c r="A981" s="3"/>
      <c r="I981" s="3"/>
      <c r="J981" s="3"/>
      <c r="K981" s="3"/>
      <c r="L981" s="139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</row>
    <row r="982" spans="1:32" x14ac:dyDescent="0.15">
      <c r="A982" s="3"/>
      <c r="I982" s="3"/>
      <c r="J982" s="3"/>
      <c r="K982" s="3"/>
      <c r="L982" s="139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</row>
    <row r="983" spans="1:32" x14ac:dyDescent="0.15">
      <c r="A983" s="3"/>
      <c r="I983" s="3"/>
      <c r="J983" s="3"/>
      <c r="K983" s="3"/>
      <c r="L983" s="139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</row>
    <row r="984" spans="1:32" x14ac:dyDescent="0.15">
      <c r="A984" s="3"/>
      <c r="I984" s="3"/>
      <c r="J984" s="3"/>
      <c r="K984" s="3"/>
      <c r="L984" s="139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</row>
    <row r="985" spans="1:32" x14ac:dyDescent="0.15">
      <c r="A985" s="3"/>
      <c r="I985" s="3"/>
      <c r="J985" s="3"/>
      <c r="K985" s="3"/>
      <c r="L985" s="139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</row>
    <row r="986" spans="1:32" x14ac:dyDescent="0.15">
      <c r="A986" s="3"/>
      <c r="I986" s="3"/>
      <c r="J986" s="3"/>
      <c r="K986" s="3"/>
      <c r="L986" s="139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</row>
    <row r="987" spans="1:32" x14ac:dyDescent="0.15">
      <c r="A987" s="3"/>
      <c r="I987" s="3"/>
      <c r="J987" s="3"/>
      <c r="K987" s="3"/>
      <c r="L987" s="139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</row>
    <row r="988" spans="1:32" x14ac:dyDescent="0.15">
      <c r="A988" s="3"/>
      <c r="I988" s="3"/>
      <c r="J988" s="3"/>
      <c r="K988" s="3"/>
      <c r="L988" s="139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</row>
    <row r="989" spans="1:32" x14ac:dyDescent="0.15">
      <c r="A989" s="3"/>
      <c r="I989" s="3"/>
      <c r="J989" s="3"/>
      <c r="K989" s="3"/>
      <c r="L989" s="139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</row>
    <row r="990" spans="1:32" x14ac:dyDescent="0.15">
      <c r="A990" s="3"/>
      <c r="I990" s="3"/>
      <c r="J990" s="3"/>
      <c r="K990" s="3"/>
      <c r="L990" s="139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</row>
    <row r="991" spans="1:32" x14ac:dyDescent="0.15">
      <c r="A991" s="3"/>
      <c r="I991" s="3"/>
      <c r="J991" s="3"/>
      <c r="K991" s="3"/>
      <c r="L991" s="139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</row>
    <row r="992" spans="1:32" x14ac:dyDescent="0.15">
      <c r="A992" s="3"/>
      <c r="I992" s="3"/>
      <c r="J992" s="3"/>
      <c r="K992" s="3"/>
      <c r="L992" s="139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</row>
    <row r="993" spans="1:32" x14ac:dyDescent="0.15">
      <c r="A993" s="3"/>
      <c r="I993" s="3"/>
      <c r="J993" s="3"/>
      <c r="K993" s="3"/>
      <c r="L993" s="139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</row>
    <row r="994" spans="1:32" x14ac:dyDescent="0.15">
      <c r="A994" s="3"/>
      <c r="I994" s="3"/>
      <c r="J994" s="3"/>
      <c r="K994" s="3"/>
      <c r="L994" s="139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</row>
    <row r="995" spans="1:32" x14ac:dyDescent="0.15">
      <c r="A995" s="3"/>
      <c r="I995" s="3"/>
      <c r="J995" s="3"/>
      <c r="K995" s="3"/>
      <c r="L995" s="139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</row>
    <row r="996" spans="1:32" x14ac:dyDescent="0.15">
      <c r="A996" s="3"/>
      <c r="I996" s="3"/>
      <c r="J996" s="3"/>
      <c r="K996" s="3"/>
      <c r="L996" s="139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</row>
    <row r="997" spans="1:32" x14ac:dyDescent="0.15">
      <c r="A997" s="3"/>
      <c r="I997" s="3"/>
      <c r="J997" s="3"/>
      <c r="K997" s="3"/>
      <c r="L997" s="139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</row>
    <row r="998" spans="1:32" x14ac:dyDescent="0.15">
      <c r="A998" s="3"/>
      <c r="I998" s="3"/>
      <c r="J998" s="3"/>
      <c r="K998" s="3"/>
      <c r="L998" s="139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</row>
    <row r="999" spans="1:32" x14ac:dyDescent="0.15">
      <c r="A999" s="3"/>
      <c r="I999" s="3"/>
      <c r="J999" s="3"/>
      <c r="K999" s="3"/>
      <c r="L999" s="139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</row>
    <row r="1000" spans="1:32" x14ac:dyDescent="0.15">
      <c r="A1000" s="3"/>
      <c r="I1000" s="3"/>
      <c r="J1000" s="3"/>
      <c r="K1000" s="3"/>
      <c r="L1000" s="139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</row>
    <row r="1001" spans="1:32" x14ac:dyDescent="0.15">
      <c r="A1001" s="3"/>
      <c r="I1001" s="3"/>
      <c r="J1001" s="3"/>
      <c r="K1001" s="3"/>
      <c r="L1001" s="139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</row>
    <row r="1002" spans="1:32" x14ac:dyDescent="0.15">
      <c r="A1002" s="3"/>
      <c r="I1002" s="3"/>
      <c r="J1002" s="3"/>
      <c r="K1002" s="3"/>
      <c r="L1002" s="139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</row>
    <row r="1003" spans="1:32" x14ac:dyDescent="0.15">
      <c r="A1003" s="3"/>
      <c r="I1003" s="3"/>
      <c r="J1003" s="3"/>
      <c r="K1003" s="3"/>
      <c r="L1003" s="139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</row>
    <row r="1004" spans="1:32" x14ac:dyDescent="0.15">
      <c r="A1004" s="3"/>
      <c r="I1004" s="3"/>
      <c r="J1004" s="3"/>
      <c r="K1004" s="3"/>
      <c r="L1004" s="139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</row>
    <row r="1005" spans="1:32" x14ac:dyDescent="0.15">
      <c r="A1005" s="3"/>
      <c r="I1005" s="3"/>
      <c r="J1005" s="3"/>
      <c r="K1005" s="3"/>
      <c r="L1005" s="139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</row>
    <row r="1006" spans="1:32" x14ac:dyDescent="0.15">
      <c r="A1006" s="3"/>
      <c r="I1006" s="3"/>
      <c r="J1006" s="3"/>
      <c r="K1006" s="3"/>
      <c r="L1006" s="139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</row>
    <row r="1007" spans="1:32" x14ac:dyDescent="0.15">
      <c r="A1007" s="3"/>
      <c r="I1007" s="3"/>
      <c r="J1007" s="3"/>
      <c r="K1007" s="3"/>
      <c r="L1007" s="139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</row>
    <row r="1008" spans="1:32" x14ac:dyDescent="0.15">
      <c r="A1008" s="3"/>
      <c r="I1008" s="3"/>
      <c r="J1008" s="3"/>
      <c r="K1008" s="3"/>
      <c r="L1008" s="139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</row>
    <row r="1009" spans="1:18" x14ac:dyDescent="0.15">
      <c r="A1009" s="3"/>
      <c r="I1009" s="3"/>
      <c r="J1009" s="3"/>
      <c r="K1009" s="3"/>
      <c r="L1009" s="139"/>
      <c r="M1009" s="3"/>
      <c r="N1009" s="3"/>
      <c r="O1009" s="3"/>
      <c r="P1009" s="3"/>
      <c r="Q1009" s="3"/>
      <c r="R1009" s="3"/>
    </row>
    <row r="1010" spans="1:18" x14ac:dyDescent="0.15">
      <c r="A1010" s="3"/>
      <c r="I1010" s="3"/>
      <c r="J1010" s="3"/>
    </row>
    <row r="1011" spans="1:18" x14ac:dyDescent="0.15">
      <c r="A1011" s="3"/>
      <c r="I1011" s="3"/>
    </row>
    <row r="1012" spans="1:18" x14ac:dyDescent="0.15">
      <c r="A1012" s="3"/>
      <c r="I1012" s="3"/>
    </row>
    <row r="1013" spans="1:18" x14ac:dyDescent="0.15">
      <c r="A1013" s="3"/>
      <c r="I1013" s="3"/>
    </row>
  </sheetData>
  <scenarios current="0" sqref="B1">
    <scenario name="pH5" locked="1" count="1" user="Cora Went" comment="Created by Cora Went on 5/27/2021_x000a_Modified by Cora Went on 5/27/2021">
      <inputCells r="B10" val="5"/>
    </scenario>
    <scenario name="pH6" locked="1" count="1" user="Cora Went" comment="Created by Cora Went on 5/27/2021">
      <inputCells r="B10" val="6"/>
    </scenario>
    <scenario name="pH7" locked="1" count="1" user="Cora Went" comment="Created by Cora Went on 5/27/2021">
      <inputCells r="B10" val="7"/>
    </scenario>
  </scenarios>
  <phoneticPr fontId="16" type="noConversion"/>
  <dataValidations count="6">
    <dataValidation allowBlank="1" showInputMessage="1" showErrorMessage="1" prompt="https://fred.stlouisfed.org/series/GDPDEF/" sqref="C146" xr:uid="{9944CCDC-F906-4267-971E-3CA862DB696B}"/>
    <dataValidation type="list" allowBlank="1" showInputMessage="1" showErrorMessage="1" sqref="B79" xr:uid="{6C5AECEC-FF0F-41BF-A309-C3552D95CB49}">
      <formula1>"Straight Line, MACRS"</formula1>
    </dataValidation>
    <dataValidation allowBlank="1" showInputMessage="1" showErrorMessage="1" promptTitle="Total plant staff" prompt="FTE" sqref="B117" xr:uid="{85BA1700-F38D-4DF3-9730-C8E6C2FABE83}"/>
    <dataValidation type="whole" allowBlank="1" showInputMessage="1" showErrorMessage="1" error="Debt period may not exceed analysis period" sqref="B83" xr:uid="{12F97C0E-4DD7-415D-8757-4DFC6FDF4FB9}">
      <formula1>0</formula1>
      <formula2>B77</formula2>
    </dataValidation>
    <dataValidation type="list" allowBlank="1" showInputMessage="1" showErrorMessage="1" sqref="B3" xr:uid="{FAE39F5C-3A1D-5B4F-B0C2-A3059D27ADCF}">
      <formula1>"current,future"</formula1>
    </dataValidation>
    <dataValidation type="list" allowBlank="1" showInputMessage="1" showErrorMessage="1" sqref="B4" xr:uid="{2521D7EA-706D-0C46-BB2A-E49D75DAB673}">
      <formula1>"equilibrium,steady-state"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94511-A6D2-5D43-AD6B-F735E90D81D4}">
  <sheetPr codeName="Sheet8"/>
  <dimension ref="A1:AT239"/>
  <sheetViews>
    <sheetView tabSelected="1" zoomScaleNormal="100" workbookViewId="0">
      <pane ySplit="1" topLeftCell="A2" activePane="bottomLeft" state="frozen"/>
      <selection pane="bottomLeft" activeCell="E46" sqref="E46"/>
    </sheetView>
  </sheetViews>
  <sheetFormatPr baseColWidth="10" defaultColWidth="16.83203125" defaultRowHeight="13" x14ac:dyDescent="0.15"/>
  <cols>
    <col min="8" max="8" width="19" customWidth="1"/>
  </cols>
  <sheetData>
    <row r="1" spans="1:46" s="385" customFormat="1" ht="27" x14ac:dyDescent="0.35">
      <c r="A1" s="383" t="s">
        <v>344</v>
      </c>
      <c r="B1" s="384">
        <f>H2_cost_infl*tons_to_kg</f>
        <v>138.15249440013105</v>
      </c>
      <c r="C1" s="383" t="s">
        <v>150</v>
      </c>
      <c r="H1" s="386"/>
    </row>
    <row r="2" spans="1:46" s="12" customFormat="1" x14ac:dyDescent="0.15"/>
    <row r="3" spans="1:46" ht="16" x14ac:dyDescent="0.2">
      <c r="A3" s="413" t="s">
        <v>361</v>
      </c>
      <c r="B3" s="414"/>
      <c r="C3" s="414"/>
      <c r="D3" s="414"/>
      <c r="E3" s="414"/>
      <c r="F3" s="414"/>
      <c r="G3" s="414"/>
      <c r="H3" s="414"/>
      <c r="I3" s="414"/>
    </row>
    <row r="4" spans="1:46" s="12" customFormat="1" ht="16" x14ac:dyDescent="0.2">
      <c r="A4" s="413"/>
      <c r="B4" s="414"/>
      <c r="C4" s="414"/>
      <c r="D4" s="414"/>
      <c r="E4" s="414"/>
      <c r="F4" s="414"/>
      <c r="G4" s="414"/>
      <c r="H4" s="414"/>
      <c r="I4" s="414"/>
    </row>
    <row r="5" spans="1:46" s="7" customFormat="1" ht="16" x14ac:dyDescent="0.2">
      <c r="A5" s="413"/>
      <c r="B5" s="429" t="s">
        <v>88</v>
      </c>
      <c r="C5" s="429" t="s">
        <v>79</v>
      </c>
      <c r="D5" s="429" t="s">
        <v>386</v>
      </c>
      <c r="E5" s="429"/>
      <c r="F5" s="429" t="s">
        <v>387</v>
      </c>
      <c r="G5" s="429" t="s">
        <v>388</v>
      </c>
      <c r="H5" s="429" t="s">
        <v>389</v>
      </c>
      <c r="I5" s="429" t="s">
        <v>385</v>
      </c>
    </row>
    <row r="6" spans="1:46" x14ac:dyDescent="0.15">
      <c r="A6" s="433" t="s">
        <v>377</v>
      </c>
      <c r="B6" s="431" cm="1">
        <f t="array" ref="B6:B22">TRANSPOSE('Cash flow analysis'!E61:U61)</f>
        <v>1615732386.3341694</v>
      </c>
      <c r="C6" s="431" cm="1">
        <f t="array" ref="C6:C22">TRANSPOSE('Cash flow analysis'!E62:U62)</f>
        <v>1745217179.7749896</v>
      </c>
      <c r="D6" s="414" t="s">
        <v>382</v>
      </c>
      <c r="E6" s="414"/>
      <c r="F6" s="414"/>
      <c r="G6" s="414"/>
      <c r="H6" s="414"/>
      <c r="I6" s="414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</row>
    <row r="7" spans="1:46" x14ac:dyDescent="0.15">
      <c r="A7" s="433" t="s">
        <v>8</v>
      </c>
      <c r="B7" s="431">
        <v>-215016344.30262768</v>
      </c>
      <c r="C7" s="431">
        <v>-232247754.13504025</v>
      </c>
      <c r="D7" s="414" t="s">
        <v>383</v>
      </c>
      <c r="E7" s="414"/>
      <c r="F7" s="414" t="s">
        <v>657</v>
      </c>
      <c r="G7" s="431">
        <f>-(C8+C11+C16+C21)</f>
        <v>276377006.25358826</v>
      </c>
      <c r="H7" s="437">
        <f>G7/G$14*(1+inflation_rate)^construct_period*tons_to_kg/(1+inflation_rate)^(startup_year-anal_year)</f>
        <v>21.87817840166845</v>
      </c>
      <c r="I7" s="440">
        <f>H7/H$16</f>
        <v>0.15836252900582942</v>
      </c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</row>
    <row r="8" spans="1:46" x14ac:dyDescent="0.15">
      <c r="A8" s="433" t="s">
        <v>9</v>
      </c>
      <c r="B8" s="431">
        <v>-143344229.53508514</v>
      </c>
      <c r="C8" s="431">
        <v>-154831836.09002686</v>
      </c>
      <c r="D8" s="414" t="s">
        <v>372</v>
      </c>
      <c r="E8" s="414"/>
      <c r="F8" s="414" t="s">
        <v>76</v>
      </c>
      <c r="G8" s="431">
        <f>-C9</f>
        <v>312736058.56019342</v>
      </c>
      <c r="H8" s="437">
        <f>G8/G$14*(1+inflation_rate)^construct_period*tons_to_kg/(1+inflation_rate)^(startup_year-anal_year)</f>
        <v>24.756383950177874</v>
      </c>
      <c r="I8" s="440">
        <f>H8/H$16</f>
        <v>0.17919606922532974</v>
      </c>
      <c r="J8" s="397"/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</row>
    <row r="9" spans="1:46" x14ac:dyDescent="0.15">
      <c r="A9" s="433" t="s">
        <v>10</v>
      </c>
      <c r="B9" s="431">
        <v>-289532892.55114454</v>
      </c>
      <c r="C9" s="431">
        <v>-312736058.56019342</v>
      </c>
      <c r="D9" s="414" t="s">
        <v>371</v>
      </c>
      <c r="E9" s="414"/>
      <c r="F9" s="414" t="s">
        <v>407</v>
      </c>
      <c r="G9" s="431">
        <f>-(C12+C13+C14)</f>
        <v>269906273.09919643</v>
      </c>
      <c r="H9" s="437">
        <f>G9/G$14*(1+inflation_rate)^construct_period*tons_to_kg/(1+inflation_rate)^(startup_year-anal_year)</f>
        <v>21.365951077621528</v>
      </c>
      <c r="I9" s="440">
        <f>H9/H$16</f>
        <v>0.1546548339238763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</row>
    <row r="10" spans="1:46" x14ac:dyDescent="0.15">
      <c r="A10" s="433" t="s">
        <v>11</v>
      </c>
      <c r="B10" s="431">
        <v>-11329364.036503328</v>
      </c>
      <c r="C10" s="431">
        <v>-12237299.270388704</v>
      </c>
      <c r="D10" s="414" t="s">
        <v>381</v>
      </c>
      <c r="E10" s="414"/>
      <c r="F10" s="414" t="s">
        <v>658</v>
      </c>
      <c r="G10" s="431">
        <f>-C15</f>
        <v>836934957.44749725</v>
      </c>
      <c r="H10" s="437">
        <f>G10/G$14*(1+inflation_rate)^construct_period*tons_to_kg/(1+inflation_rate)^(startup_year-anal_year)</f>
        <v>66.25229992117481</v>
      </c>
      <c r="I10" s="440">
        <f>H10/H$16</f>
        <v>0.47955920165500782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</row>
    <row r="11" spans="1:46" x14ac:dyDescent="0.15">
      <c r="A11" s="433" t="s">
        <v>187</v>
      </c>
      <c r="B11" s="431">
        <v>0</v>
      </c>
      <c r="C11" s="431">
        <v>0</v>
      </c>
      <c r="D11" s="414" t="s">
        <v>372</v>
      </c>
      <c r="E11" s="414"/>
      <c r="F11" s="414" t="s">
        <v>379</v>
      </c>
      <c r="G11" s="431">
        <f>-(C20+C10)</f>
        <v>49262884.414512083</v>
      </c>
      <c r="H11" s="437">
        <f>G11/G$14*(1+inflation_rate)^construct_period*tons_to_kg/(1+inflation_rate)^(startup_year-anal_year)</f>
        <v>3.8996810494884446</v>
      </c>
      <c r="I11" s="440">
        <f>H11/H$16</f>
        <v>2.822736618995671E-2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</row>
    <row r="12" spans="1:46" x14ac:dyDescent="0.15">
      <c r="A12" s="433" t="s">
        <v>12</v>
      </c>
      <c r="B12" s="431">
        <v>3484059.8976978054</v>
      </c>
      <c r="C12" s="431">
        <v>3763272.4578993074</v>
      </c>
      <c r="D12" s="414" t="s">
        <v>380</v>
      </c>
      <c r="E12" s="414"/>
      <c r="F12" s="414"/>
      <c r="G12" s="414"/>
      <c r="H12" s="414"/>
      <c r="I12" s="414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</row>
    <row r="13" spans="1:46" x14ac:dyDescent="0.15">
      <c r="A13" s="433" t="s">
        <v>13</v>
      </c>
      <c r="B13" s="431">
        <v>-3484059.8976978054</v>
      </c>
      <c r="C13" s="431">
        <v>-3763272.4578993074</v>
      </c>
      <c r="D13" s="414" t="s">
        <v>380</v>
      </c>
      <c r="E13" s="414"/>
      <c r="F13" s="414" t="s">
        <v>377</v>
      </c>
      <c r="G13" s="432">
        <f>C6</f>
        <v>1745217179.7749896</v>
      </c>
      <c r="H13" s="414"/>
      <c r="I13" s="414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</row>
    <row r="14" spans="1:46" x14ac:dyDescent="0.15">
      <c r="A14" s="433" t="s">
        <v>14</v>
      </c>
      <c r="B14" s="431">
        <v>-249880823.87393895</v>
      </c>
      <c r="C14" s="431">
        <v>-269906273.09919643</v>
      </c>
      <c r="D14" s="414" t="s">
        <v>369</v>
      </c>
      <c r="E14" s="414"/>
      <c r="F14" s="414" t="s">
        <v>390</v>
      </c>
      <c r="G14" s="415">
        <f>'Cash flow analysis'!G12</f>
        <v>13117138882.485611</v>
      </c>
      <c r="H14" s="414"/>
      <c r="I14" s="414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</row>
    <row r="15" spans="1:46" x14ac:dyDescent="0.15">
      <c r="A15" s="433" t="s">
        <v>15</v>
      </c>
      <c r="B15" s="431">
        <v>-774839333.27855432</v>
      </c>
      <c r="C15" s="431">
        <v>-836934957.44749725</v>
      </c>
      <c r="D15" s="414" t="s">
        <v>370</v>
      </c>
      <c r="E15" s="414"/>
      <c r="F15" s="414"/>
      <c r="G15" s="414"/>
      <c r="H15" s="414"/>
      <c r="I15" s="414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</row>
    <row r="16" spans="1:46" x14ac:dyDescent="0.15">
      <c r="A16" s="433" t="s">
        <v>16</v>
      </c>
      <c r="B16" s="431">
        <v>-102681018.09513344</v>
      </c>
      <c r="C16" s="431">
        <v>-110909874.88527744</v>
      </c>
      <c r="D16" s="414" t="s">
        <v>372</v>
      </c>
      <c r="E16" s="414"/>
      <c r="F16" s="429" t="s">
        <v>29</v>
      </c>
      <c r="G16" s="432">
        <f>SUM(G7:G11,-G13)</f>
        <v>-1.9073486328125E-6</v>
      </c>
      <c r="H16" s="436">
        <f>SUM(H7:H11,-H13)</f>
        <v>138.1524944001311</v>
      </c>
      <c r="I16" s="414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</row>
    <row r="17" spans="1:46" x14ac:dyDescent="0.15">
      <c r="A17" s="433" t="s">
        <v>17</v>
      </c>
      <c r="B17" s="431">
        <v>488331211.08654267</v>
      </c>
      <c r="C17" s="431">
        <v>527466074.34301823</v>
      </c>
      <c r="D17" s="414" t="s">
        <v>384</v>
      </c>
      <c r="E17" s="414"/>
      <c r="F17" s="414"/>
      <c r="G17" s="414"/>
      <c r="H17" s="414"/>
      <c r="I17" s="414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</row>
    <row r="18" spans="1:46" x14ac:dyDescent="0.15">
      <c r="A18" s="433" t="s">
        <v>18</v>
      </c>
      <c r="B18" s="431">
        <v>-355159083.27953482</v>
      </c>
      <c r="C18" s="431">
        <v>-383621532.21355689</v>
      </c>
      <c r="D18" s="414" t="s">
        <v>384</v>
      </c>
      <c r="E18" s="414"/>
      <c r="F18" s="414"/>
      <c r="G18" s="414"/>
      <c r="H18" s="414"/>
      <c r="I18" s="414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</row>
    <row r="19" spans="1:46" x14ac:dyDescent="0.15">
      <c r="A19" s="433" t="s">
        <v>19</v>
      </c>
      <c r="B19" s="431">
        <v>133172127.80700789</v>
      </c>
      <c r="C19" s="431">
        <v>143844542.1294615</v>
      </c>
      <c r="D19" s="414" t="s">
        <v>384</v>
      </c>
      <c r="E19" s="414"/>
      <c r="F19" s="414"/>
      <c r="G19" s="414"/>
      <c r="H19" s="414"/>
      <c r="I19" s="414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</row>
    <row r="20" spans="1:46" x14ac:dyDescent="0.15">
      <c r="A20" s="433" t="s">
        <v>20</v>
      </c>
      <c r="B20" s="431">
        <v>-34278505.697523817</v>
      </c>
      <c r="C20" s="431">
        <v>-37025585.144123383</v>
      </c>
      <c r="D20" s="414" t="s">
        <v>381</v>
      </c>
      <c r="E20" s="414"/>
      <c r="F20" s="414"/>
      <c r="G20" s="414"/>
      <c r="H20" s="414"/>
      <c r="I20" s="414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</row>
    <row r="21" spans="1:46" x14ac:dyDescent="0.15">
      <c r="A21" s="433" t="s">
        <v>21</v>
      </c>
      <c r="B21" s="431">
        <v>-9846219.266283961</v>
      </c>
      <c r="C21" s="431">
        <v>-10635295.278283959</v>
      </c>
      <c r="D21" s="414" t="s">
        <v>372</v>
      </c>
      <c r="E21" s="414"/>
      <c r="F21" s="414"/>
      <c r="G21" s="414"/>
      <c r="H21" s="414"/>
      <c r="I21" s="414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</row>
    <row r="22" spans="1:46" x14ac:dyDescent="0.15">
      <c r="A22" s="433" t="s">
        <v>22</v>
      </c>
      <c r="B22" s="431">
        <v>1.8294236605351083E-6</v>
      </c>
      <c r="C22" s="431">
        <v>1.9669532775878906E-6</v>
      </c>
      <c r="D22" s="414" t="s">
        <v>384</v>
      </c>
      <c r="E22" s="414"/>
      <c r="F22" s="414"/>
      <c r="G22" s="414"/>
      <c r="H22" s="414"/>
      <c r="I22" s="414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</row>
    <row r="23" spans="1:46" x14ac:dyDescent="0.15">
      <c r="A23" s="429" t="s">
        <v>29</v>
      </c>
      <c r="B23" s="415">
        <f>SUM(B6,B8:B10,B14:B16,B20,B21)</f>
        <v>1.8160790205001831E-6</v>
      </c>
      <c r="C23" s="431">
        <f>SUM(C6,C8:C10,C14:C16,C20,C21)</f>
        <v>2.1476298570632935E-6</v>
      </c>
      <c r="D23" s="414"/>
      <c r="E23" s="414"/>
      <c r="F23" s="414"/>
      <c r="G23" s="414"/>
      <c r="H23" s="414"/>
      <c r="I23" s="414"/>
    </row>
    <row r="29" spans="1:46" ht="16" x14ac:dyDescent="0.2">
      <c r="A29" s="416" t="s">
        <v>362</v>
      </c>
      <c r="B29" s="417"/>
      <c r="C29" s="417"/>
      <c r="D29" s="417"/>
      <c r="E29" s="417"/>
      <c r="F29" s="417"/>
      <c r="G29" s="417"/>
      <c r="W29" s="400"/>
      <c r="X29" s="12"/>
      <c r="Y29" s="12"/>
      <c r="Z29" s="12"/>
      <c r="AA29" s="12"/>
      <c r="AB29" s="12"/>
      <c r="AC29" s="12"/>
      <c r="AD29" s="12"/>
      <c r="AE29" s="12"/>
    </row>
    <row r="30" spans="1:46" x14ac:dyDescent="0.15">
      <c r="A30" s="417"/>
      <c r="B30" s="417"/>
      <c r="C30" s="417"/>
      <c r="D30" s="417"/>
      <c r="E30" s="417"/>
      <c r="F30" s="417"/>
      <c r="G30" s="417"/>
      <c r="W30" s="400"/>
      <c r="X30" s="12"/>
      <c r="Y30" s="12"/>
      <c r="Z30" s="12"/>
      <c r="AA30" s="12"/>
      <c r="AB30" s="12"/>
      <c r="AC30" s="12"/>
      <c r="AD30" s="12"/>
      <c r="AE30" s="12"/>
    </row>
    <row r="31" spans="1:46" x14ac:dyDescent="0.15">
      <c r="A31" s="417"/>
      <c r="B31" s="418" t="s">
        <v>432</v>
      </c>
      <c r="C31" s="418" t="s">
        <v>430</v>
      </c>
      <c r="D31" s="418" t="s">
        <v>431</v>
      </c>
      <c r="E31" s="418" t="s">
        <v>394</v>
      </c>
      <c r="F31" s="418" t="s">
        <v>392</v>
      </c>
      <c r="G31" s="418" t="s">
        <v>393</v>
      </c>
      <c r="W31" s="452"/>
      <c r="X31" s="12"/>
      <c r="Y31" s="12"/>
      <c r="Z31" s="12"/>
      <c r="AA31" s="12"/>
      <c r="AB31" s="12"/>
      <c r="AC31" s="12"/>
      <c r="AD31" s="12"/>
      <c r="AE31" s="12"/>
    </row>
    <row r="32" spans="1:46" x14ac:dyDescent="0.15">
      <c r="A32" s="240" t="s">
        <v>189</v>
      </c>
      <c r="B32" s="445">
        <f>E32*H$7</f>
        <v>3.5693690923900561</v>
      </c>
      <c r="C32" s="445">
        <f t="shared" ref="C32:C38" si="0">F32*H$10</f>
        <v>11.621607138366796</v>
      </c>
      <c r="D32" s="445">
        <f t="shared" ref="D32:D38" si="1">G32*H$8</f>
        <v>0</v>
      </c>
      <c r="E32" s="542">
        <f>cap_intake_scaled/direct_cap</f>
        <v>0.16314745345151097</v>
      </c>
      <c r="F32" s="446">
        <f>energy_intake/energy_total</f>
        <v>0.17541439545787646</v>
      </c>
      <c r="G32" s="434">
        <v>0</v>
      </c>
      <c r="W32" s="536"/>
      <c r="X32" s="12"/>
      <c r="Y32" s="12"/>
      <c r="Z32" s="12"/>
      <c r="AA32" s="12"/>
      <c r="AB32" s="12"/>
      <c r="AC32" s="12"/>
      <c r="AD32" s="12"/>
      <c r="AE32" s="12"/>
    </row>
    <row r="33" spans="1:31" x14ac:dyDescent="0.15">
      <c r="A33" s="243" t="s">
        <v>113</v>
      </c>
      <c r="B33" s="445">
        <f t="shared" ref="B33:B38" si="2">E33*H$7</f>
        <v>4.6361825823956844</v>
      </c>
      <c r="C33" s="445">
        <f t="shared" si="0"/>
        <v>0</v>
      </c>
      <c r="D33" s="445">
        <f t="shared" si="1"/>
        <v>0</v>
      </c>
      <c r="E33" s="444">
        <f>cap_screening_scaled/direct_cap</f>
        <v>0.21190898516679638</v>
      </c>
      <c r="F33" s="446">
        <f>0/energy_total</f>
        <v>0</v>
      </c>
      <c r="G33" s="434">
        <v>0</v>
      </c>
      <c r="W33" s="536"/>
      <c r="X33" s="12"/>
      <c r="Y33" s="12"/>
      <c r="Z33" s="12"/>
      <c r="AA33" s="12"/>
      <c r="AB33" s="12"/>
      <c r="AC33" s="12"/>
      <c r="AD33" s="12"/>
      <c r="AE33" s="12"/>
    </row>
    <row r="34" spans="1:31" x14ac:dyDescent="0.15">
      <c r="A34" s="243" t="s">
        <v>404</v>
      </c>
      <c r="B34" s="445">
        <f t="shared" si="2"/>
        <v>2.4567109723512202</v>
      </c>
      <c r="C34" s="445">
        <f t="shared" si="0"/>
        <v>0.47004585612998195</v>
      </c>
      <c r="D34" s="445">
        <f t="shared" si="1"/>
        <v>4.5033019042274454</v>
      </c>
      <c r="E34" s="444">
        <f>cap_micro_scaled/direct_cap</f>
        <v>0.11229047168588173</v>
      </c>
      <c r="F34" s="446">
        <f>energy_micro/energy_total</f>
        <v>7.0947854895487368E-3</v>
      </c>
      <c r="G34" s="434">
        <f>'Cash flow analysis'!H210/'Cash flow analysis'!J210</f>
        <v>0.18190467207530481</v>
      </c>
      <c r="W34" s="536"/>
      <c r="X34" s="12"/>
      <c r="Y34" s="12"/>
      <c r="Z34" s="12"/>
      <c r="AA34" s="12"/>
      <c r="AB34" s="12"/>
      <c r="AC34" s="12"/>
      <c r="AD34" s="12"/>
      <c r="AE34" s="12"/>
    </row>
    <row r="35" spans="1:31" x14ac:dyDescent="0.15">
      <c r="A35" s="58" t="s">
        <v>148</v>
      </c>
      <c r="B35" s="445">
        <f t="shared" si="2"/>
        <v>0.51392420553851903</v>
      </c>
      <c r="C35" s="445">
        <f t="shared" si="0"/>
        <v>0.41025612794611499</v>
      </c>
      <c r="D35" s="445">
        <f t="shared" si="1"/>
        <v>0</v>
      </c>
      <c r="E35" s="443">
        <f>cap_nano_scaled/direct_cap</f>
        <v>2.3490264870466855E-2</v>
      </c>
      <c r="F35" s="446">
        <f>energy_nano/energy_total</f>
        <v>6.1923303558401232E-3</v>
      </c>
      <c r="G35" s="434">
        <v>0</v>
      </c>
      <c r="W35" s="12"/>
      <c r="X35" s="12"/>
      <c r="Y35" s="12"/>
      <c r="Z35" s="12"/>
      <c r="AA35" s="12"/>
      <c r="AB35" s="12"/>
      <c r="AC35" s="12"/>
      <c r="AD35" s="12"/>
      <c r="AE35" s="12"/>
    </row>
    <row r="36" spans="1:31" x14ac:dyDescent="0.15">
      <c r="A36" s="58" t="s">
        <v>112</v>
      </c>
      <c r="B36" s="445">
        <f t="shared" si="2"/>
        <v>1.0593863242528261</v>
      </c>
      <c r="C36" s="445">
        <f t="shared" si="0"/>
        <v>46.058382956422676</v>
      </c>
      <c r="D36" s="445">
        <f t="shared" si="1"/>
        <v>2.6766085172786016</v>
      </c>
      <c r="E36" s="443">
        <f>cap_ed_scaled/direct_cap</f>
        <v>4.8422053463648342E-2</v>
      </c>
      <c r="F36" s="446">
        <f>energy_ed/energy_total</f>
        <v>0.69519674050895885</v>
      </c>
      <c r="G36" s="434">
        <f>'Cash flow analysis'!G210/'Cash flow analysis'!J210</f>
        <v>0.10811791102712197</v>
      </c>
      <c r="W36" s="12"/>
      <c r="X36" s="12"/>
      <c r="Y36" s="12"/>
      <c r="Z36" s="12"/>
      <c r="AA36" s="12"/>
      <c r="AB36" s="12"/>
      <c r="AC36" s="12"/>
      <c r="AD36" s="12"/>
      <c r="AE36" s="12"/>
    </row>
    <row r="37" spans="1:31" ht="15" x14ac:dyDescent="0.2">
      <c r="A37" s="58" t="s">
        <v>317</v>
      </c>
      <c r="B37" s="445">
        <f t="shared" si="2"/>
        <v>9.6426052247401461</v>
      </c>
      <c r="C37" s="445">
        <f t="shared" si="0"/>
        <v>7.6920078423092315</v>
      </c>
      <c r="D37" s="445">
        <f t="shared" si="1"/>
        <v>9.8922227339658786</v>
      </c>
      <c r="E37" s="443">
        <f>cap_co2_scaled/direct_cap</f>
        <v>0.44074077136169587</v>
      </c>
      <c r="F37" s="446">
        <f>energy_co2/energy_total</f>
        <v>0.11610174818777573</v>
      </c>
      <c r="G37" s="434">
        <f>'Cash flow analysis'!I210/'Cash flow analysis'!J210</f>
        <v>0.39958269971389759</v>
      </c>
      <c r="W37" s="12"/>
      <c r="X37" s="12"/>
      <c r="Y37" s="12"/>
      <c r="Z37" s="12"/>
      <c r="AA37" s="12"/>
      <c r="AB37" s="12"/>
      <c r="AC37" s="12"/>
      <c r="AD37" s="12"/>
      <c r="AE37" s="12"/>
    </row>
    <row r="38" spans="1:31" x14ac:dyDescent="0.15">
      <c r="A38" s="58" t="s">
        <v>345</v>
      </c>
      <c r="B38" s="445">
        <f t="shared" si="2"/>
        <v>0</v>
      </c>
      <c r="C38" s="445">
        <f t="shared" si="0"/>
        <v>0</v>
      </c>
      <c r="D38" s="445">
        <f t="shared" si="1"/>
        <v>7.6842507947059486</v>
      </c>
      <c r="E38" s="434">
        <v>0</v>
      </c>
      <c r="F38" s="434">
        <v>0</v>
      </c>
      <c r="G38" s="434">
        <f>('Cash flow analysis'!E210+'Cash flow analysis'!F210)/'Cash flow analysis'!J210</f>
        <v>0.31039471718367567</v>
      </c>
      <c r="W38" s="12"/>
      <c r="X38" s="12"/>
      <c r="Y38" s="12"/>
      <c r="Z38" s="12"/>
      <c r="AA38" s="12"/>
      <c r="AB38" s="12"/>
      <c r="AC38" s="12"/>
      <c r="AD38" s="12"/>
      <c r="AE38" s="12"/>
    </row>
    <row r="39" spans="1:31" x14ac:dyDescent="0.15">
      <c r="A39" s="141" t="s">
        <v>29</v>
      </c>
      <c r="B39" s="445">
        <f t="shared" ref="B39:G39" si="3">SUM(B32:B38)</f>
        <v>21.87817840166845</v>
      </c>
      <c r="C39" s="445">
        <f t="shared" si="3"/>
        <v>66.25229992117481</v>
      </c>
      <c r="D39" s="445">
        <f t="shared" si="3"/>
        <v>24.756383950177874</v>
      </c>
      <c r="E39" s="434">
        <f t="shared" si="3"/>
        <v>1.0000000000000002</v>
      </c>
      <c r="F39" s="434">
        <f t="shared" si="3"/>
        <v>0.99999999999999989</v>
      </c>
      <c r="G39" s="434">
        <f t="shared" si="3"/>
        <v>1</v>
      </c>
      <c r="W39" s="12"/>
      <c r="X39" s="12"/>
      <c r="Y39" s="12"/>
      <c r="Z39" s="12"/>
      <c r="AA39" s="12"/>
      <c r="AB39" s="12"/>
      <c r="AC39" s="12"/>
      <c r="AD39" s="12"/>
      <c r="AE39" s="12"/>
    </row>
    <row r="40" spans="1:31" x14ac:dyDescent="0.15">
      <c r="A40" s="399"/>
      <c r="B40" s="401"/>
      <c r="C40" s="452" t="s">
        <v>29</v>
      </c>
      <c r="D40" s="441">
        <f>SUM(B39:D39)+H11+H9</f>
        <v>138.1524944001311</v>
      </c>
      <c r="W40" s="12"/>
      <c r="X40" s="12"/>
      <c r="Y40" s="12"/>
      <c r="Z40" s="12"/>
      <c r="AA40" s="12"/>
      <c r="AB40" s="12"/>
      <c r="AC40" s="12"/>
      <c r="AD40" s="12"/>
      <c r="AE40" s="12"/>
    </row>
    <row r="41" spans="1:31" x14ac:dyDescent="0.15">
      <c r="A41" s="399"/>
      <c r="B41" s="401"/>
      <c r="W41" s="12"/>
      <c r="X41" s="12"/>
      <c r="Y41" s="12"/>
      <c r="Z41" s="12"/>
      <c r="AA41" s="12"/>
      <c r="AB41" s="12"/>
      <c r="AC41" s="12"/>
      <c r="AD41" s="12"/>
      <c r="AE41" s="12"/>
    </row>
    <row r="42" spans="1:31" x14ac:dyDescent="0.15">
      <c r="A42" s="399"/>
      <c r="B42" s="506"/>
      <c r="W42" s="12"/>
      <c r="X42" s="12"/>
      <c r="Y42" s="12"/>
      <c r="Z42" s="12"/>
      <c r="AA42" s="12"/>
      <c r="AB42" s="12"/>
      <c r="AC42" s="12"/>
      <c r="AD42" s="12"/>
      <c r="AE42" s="12"/>
    </row>
    <row r="43" spans="1:31" x14ac:dyDescent="0.15">
      <c r="A43" s="399"/>
      <c r="B43" s="441"/>
      <c r="X43" s="12"/>
      <c r="Y43" s="12"/>
      <c r="Z43" s="12"/>
      <c r="AA43" s="12"/>
      <c r="AB43" s="12"/>
      <c r="AC43" s="12"/>
      <c r="AD43" s="12"/>
      <c r="AE43" s="12"/>
    </row>
    <row r="44" spans="1:31" x14ac:dyDescent="0.15">
      <c r="A44" s="17"/>
      <c r="X44" s="12"/>
      <c r="Y44" s="12"/>
      <c r="Z44" s="12"/>
      <c r="AA44" s="12"/>
      <c r="AB44" s="12"/>
      <c r="AC44" s="12"/>
      <c r="AD44" s="12"/>
      <c r="AE44" s="12"/>
    </row>
    <row r="45" spans="1:31" x14ac:dyDescent="0.15">
      <c r="A45" s="17"/>
      <c r="X45" s="12"/>
      <c r="Y45" s="12"/>
      <c r="Z45" s="12"/>
      <c r="AA45" s="12"/>
      <c r="AB45" s="12"/>
      <c r="AC45" s="12"/>
      <c r="AD45" s="12"/>
      <c r="AE45" s="12"/>
    </row>
    <row r="46" spans="1:31" x14ac:dyDescent="0.15">
      <c r="X46" s="12"/>
      <c r="Y46" s="12"/>
      <c r="Z46" s="12"/>
      <c r="AA46" s="12"/>
      <c r="AB46" s="12"/>
      <c r="AC46" s="12"/>
      <c r="AD46" s="12"/>
      <c r="AE46" s="12"/>
    </row>
    <row r="47" spans="1:31" x14ac:dyDescent="0.15"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</row>
    <row r="48" spans="1:31" x14ac:dyDescent="0.15">
      <c r="Q48" s="12"/>
      <c r="R48" s="12"/>
      <c r="S48" s="12"/>
      <c r="T48" s="12"/>
      <c r="U48" s="12"/>
      <c r="V48" s="12"/>
      <c r="W48" s="12"/>
    </row>
    <row r="49" spans="1:23" x14ac:dyDescent="0.15">
      <c r="Q49" s="12"/>
      <c r="R49" s="12"/>
      <c r="S49" s="12"/>
      <c r="T49" s="12"/>
      <c r="U49" s="12"/>
      <c r="V49" s="12"/>
      <c r="W49" s="12"/>
    </row>
    <row r="51" spans="1:23" ht="16" x14ac:dyDescent="0.2">
      <c r="A51" s="422" t="s">
        <v>403</v>
      </c>
      <c r="B51" s="423"/>
      <c r="C51" s="42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</row>
    <row r="52" spans="1:23" s="12" customFormat="1" x14ac:dyDescent="0.15">
      <c r="A52" s="424"/>
      <c r="B52" s="423"/>
      <c r="C52" s="423"/>
      <c r="Q52"/>
      <c r="R52"/>
      <c r="S52"/>
      <c r="T52"/>
      <c r="U52"/>
      <c r="V52"/>
      <c r="W52"/>
    </row>
    <row r="53" spans="1:23" s="12" customFormat="1" x14ac:dyDescent="0.15">
      <c r="A53" s="424" t="s">
        <v>401</v>
      </c>
      <c r="B53" s="423" t="s">
        <v>656</v>
      </c>
      <c r="C53" s="423"/>
      <c r="Q53"/>
      <c r="R53"/>
      <c r="S53"/>
      <c r="T53"/>
      <c r="U53"/>
      <c r="V53"/>
      <c r="W53"/>
    </row>
    <row r="54" spans="1:23" s="12" customFormat="1" x14ac:dyDescent="0.15">
      <c r="A54" s="424" t="s">
        <v>458</v>
      </c>
      <c r="B54" s="423" t="s">
        <v>447</v>
      </c>
      <c r="C54" s="423"/>
      <c r="D54" s="12" t="s">
        <v>531</v>
      </c>
      <c r="E54" s="7"/>
      <c r="Q54"/>
      <c r="R54"/>
      <c r="S54"/>
      <c r="T54"/>
      <c r="U54"/>
      <c r="V54"/>
      <c r="W54"/>
    </row>
    <row r="55" spans="1:23" x14ac:dyDescent="0.15">
      <c r="A55" s="454"/>
      <c r="B55" s="423"/>
      <c r="C55" s="42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</row>
    <row r="56" spans="1:23" x14ac:dyDescent="0.15">
      <c r="A56" s="424" t="s">
        <v>402</v>
      </c>
      <c r="B56" s="424" t="s">
        <v>375</v>
      </c>
      <c r="C56" s="424" t="s">
        <v>453</v>
      </c>
      <c r="D56" s="7"/>
      <c r="E56" s="522"/>
      <c r="F56" s="524"/>
      <c r="G56" s="7"/>
      <c r="H56" s="7"/>
      <c r="I56" s="7"/>
      <c r="J56" s="7"/>
      <c r="K56" s="7"/>
      <c r="L56" s="12"/>
      <c r="M56" s="12"/>
      <c r="N56" s="12"/>
      <c r="O56" s="12"/>
      <c r="P56" s="12"/>
    </row>
    <row r="57" spans="1:23" x14ac:dyDescent="0.15">
      <c r="A57" s="546">
        <v>25</v>
      </c>
      <c r="B57" s="519">
        <v>238.2</v>
      </c>
      <c r="C57" s="425">
        <v>0.8</v>
      </c>
      <c r="E57" s="514"/>
      <c r="F57" s="524"/>
      <c r="G57" s="441"/>
      <c r="H57" s="441"/>
      <c r="I57" s="441"/>
      <c r="J57" s="441"/>
      <c r="K57" s="441"/>
      <c r="L57" s="12"/>
      <c r="M57" s="12"/>
      <c r="N57" s="12"/>
      <c r="O57" s="12"/>
      <c r="P57" s="12"/>
    </row>
    <row r="58" spans="1:23" x14ac:dyDescent="0.15">
      <c r="A58" s="520">
        <v>50</v>
      </c>
      <c r="B58" s="519">
        <v>185.5</v>
      </c>
      <c r="C58" s="425">
        <v>0.8</v>
      </c>
      <c r="E58" s="441"/>
      <c r="F58" s="441"/>
      <c r="G58" s="441"/>
      <c r="H58" s="441"/>
      <c r="I58" s="441"/>
      <c r="J58" s="441"/>
      <c r="K58" s="441"/>
      <c r="L58" s="12"/>
      <c r="M58" s="12"/>
      <c r="N58" s="12"/>
      <c r="O58" s="12"/>
      <c r="P58" s="12"/>
    </row>
    <row r="59" spans="1:23" x14ac:dyDescent="0.15">
      <c r="A59" s="546">
        <v>75</v>
      </c>
      <c r="B59" s="519">
        <v>168</v>
      </c>
      <c r="C59" s="425">
        <v>0.8</v>
      </c>
      <c r="E59" s="441"/>
      <c r="F59" s="441"/>
      <c r="G59" s="441"/>
      <c r="H59" s="441"/>
      <c r="I59" s="441"/>
      <c r="J59" s="441"/>
      <c r="K59" s="441"/>
      <c r="L59" s="12"/>
      <c r="M59" s="12"/>
      <c r="N59" s="12"/>
      <c r="O59" s="12"/>
      <c r="P59" s="423">
        <v>6.5511999999999997</v>
      </c>
    </row>
    <row r="60" spans="1:23" x14ac:dyDescent="0.15">
      <c r="A60" s="520">
        <v>100</v>
      </c>
      <c r="B60" s="519">
        <v>159.20000000000002</v>
      </c>
      <c r="C60" s="425">
        <v>0.8</v>
      </c>
      <c r="E60" s="441"/>
      <c r="F60" s="441"/>
      <c r="G60" s="441"/>
      <c r="H60" s="441"/>
      <c r="I60" s="441"/>
      <c r="J60" s="441"/>
      <c r="K60" s="441"/>
      <c r="L60" s="12"/>
      <c r="M60" s="12"/>
      <c r="N60" s="12"/>
      <c r="O60" s="12"/>
      <c r="P60" s="12"/>
    </row>
    <row r="61" spans="1:23" x14ac:dyDescent="0.15">
      <c r="A61" s="546">
        <v>200</v>
      </c>
      <c r="B61" s="519">
        <v>146</v>
      </c>
      <c r="C61" s="425">
        <v>0.8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</row>
    <row r="62" spans="1:23" x14ac:dyDescent="0.15">
      <c r="A62" s="520">
        <v>300</v>
      </c>
      <c r="B62" s="519">
        <v>141.69999999999999</v>
      </c>
      <c r="C62" s="425">
        <v>0.8</v>
      </c>
      <c r="E62" s="7" t="s">
        <v>460</v>
      </c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</row>
    <row r="63" spans="1:23" x14ac:dyDescent="0.15">
      <c r="A63" s="546">
        <v>400</v>
      </c>
      <c r="B63" s="519">
        <v>139.5</v>
      </c>
      <c r="C63" s="425">
        <v>0.8</v>
      </c>
      <c r="E63" s="12" t="s">
        <v>461</v>
      </c>
      <c r="F63" s="12" t="s">
        <v>462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</row>
    <row r="64" spans="1:23" x14ac:dyDescent="0.15">
      <c r="A64" s="520">
        <v>500</v>
      </c>
      <c r="B64" s="519">
        <v>138.19999999999999</v>
      </c>
      <c r="C64" s="425">
        <v>0.8</v>
      </c>
      <c r="E64" s="514">
        <f>extraction_efficiency_calc</f>
        <v>0.8877455527510234</v>
      </c>
      <c r="F64" s="12">
        <v>0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</row>
    <row r="65" spans="1:16" x14ac:dyDescent="0.15">
      <c r="A65" s="546">
        <v>600</v>
      </c>
      <c r="B65" s="519">
        <v>137.30000000000001</v>
      </c>
      <c r="C65" s="425">
        <v>0.8</v>
      </c>
      <c r="E65" s="12">
        <f>extraction_efficiency_calc</f>
        <v>0.8877455527510234</v>
      </c>
      <c r="F65" s="12">
        <v>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</row>
    <row r="66" spans="1:16" x14ac:dyDescent="0.15">
      <c r="A66" s="520">
        <v>700</v>
      </c>
      <c r="B66" s="519">
        <v>136.6</v>
      </c>
      <c r="C66" s="425">
        <v>0.8</v>
      </c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</row>
    <row r="67" spans="1:16" x14ac:dyDescent="0.15">
      <c r="A67" s="546">
        <v>800</v>
      </c>
      <c r="B67" s="519">
        <v>136.19999999999999</v>
      </c>
      <c r="C67" s="425">
        <v>0.8</v>
      </c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</row>
    <row r="68" spans="1:16" x14ac:dyDescent="0.15">
      <c r="A68" s="520">
        <v>900</v>
      </c>
      <c r="B68" s="519">
        <v>135.80000000000001</v>
      </c>
      <c r="C68" s="425">
        <v>0.8</v>
      </c>
      <c r="E68" s="7" t="s">
        <v>463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</row>
    <row r="69" spans="1:16" ht="13" customHeight="1" x14ac:dyDescent="0.15">
      <c r="A69" s="546">
        <v>1000</v>
      </c>
      <c r="B69" s="519">
        <v>135.5</v>
      </c>
      <c r="C69" s="425">
        <v>0.8</v>
      </c>
      <c r="E69" s="12" t="s">
        <v>461</v>
      </c>
      <c r="F69" s="12" t="s">
        <v>462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</row>
    <row r="70" spans="1:16" ht="13" customHeight="1" x14ac:dyDescent="0.15">
      <c r="A70" s="520"/>
      <c r="B70" s="519"/>
      <c r="C70" s="425"/>
      <c r="E70" s="514">
        <v>0</v>
      </c>
      <c r="F70" s="523">
        <v>100</v>
      </c>
      <c r="G70" s="12"/>
      <c r="H70" s="12"/>
      <c r="I70" s="12"/>
      <c r="J70" s="12"/>
      <c r="K70" s="12"/>
      <c r="L70" s="12"/>
      <c r="M70" s="12"/>
      <c r="N70" s="12"/>
      <c r="O70" s="12"/>
      <c r="P70" s="12"/>
    </row>
    <row r="71" spans="1:16" ht="13" customHeight="1" x14ac:dyDescent="0.15">
      <c r="A71" s="546"/>
      <c r="B71" s="519"/>
      <c r="C71" s="425"/>
      <c r="E71" s="514">
        <v>1</v>
      </c>
      <c r="F71" s="523">
        <v>100</v>
      </c>
      <c r="G71" s="12"/>
      <c r="H71" s="12"/>
      <c r="I71" s="12"/>
      <c r="J71" s="12"/>
      <c r="K71" s="12"/>
      <c r="L71" s="12"/>
      <c r="M71" s="12"/>
      <c r="N71" s="12"/>
      <c r="O71" s="12"/>
      <c r="P71" s="12"/>
    </row>
    <row r="72" spans="1:16" ht="13" customHeight="1" x14ac:dyDescent="0.15">
      <c r="A72" s="520"/>
      <c r="B72" s="519"/>
      <c r="C72" s="425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</row>
    <row r="73" spans="1:16" ht="13" customHeight="1" x14ac:dyDescent="0.15">
      <c r="A73" s="549"/>
      <c r="B73" s="519"/>
      <c r="C73" s="521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</row>
    <row r="74" spans="1:16" ht="13" customHeight="1" x14ac:dyDescent="0.15">
      <c r="A74" s="545"/>
      <c r="B74" s="519"/>
      <c r="C74" s="521"/>
    </row>
    <row r="75" spans="1:16" ht="13" customHeight="1" x14ac:dyDescent="0.15">
      <c r="A75" s="544"/>
      <c r="B75" s="519"/>
      <c r="C75" s="521"/>
    </row>
    <row r="76" spans="1:16" ht="13" customHeight="1" x14ac:dyDescent="0.15">
      <c r="A76" s="545"/>
      <c r="B76" s="519"/>
      <c r="C76" s="521"/>
    </row>
    <row r="77" spans="1:16" ht="13" customHeight="1" x14ac:dyDescent="0.15">
      <c r="A77" s="520"/>
      <c r="B77" s="423"/>
      <c r="C77" s="423"/>
    </row>
    <row r="78" spans="1:16" ht="13" customHeight="1" x14ac:dyDescent="0.15">
      <c r="A78" s="520"/>
      <c r="B78" s="423"/>
      <c r="C78" s="423"/>
    </row>
    <row r="79" spans="1:16" ht="13" customHeight="1" x14ac:dyDescent="0.15"/>
    <row r="80" spans="1:16" ht="13" customHeight="1" x14ac:dyDescent="0.15">
      <c r="C80" s="547"/>
      <c r="D80" s="547"/>
      <c r="E80" s="547"/>
      <c r="F80" s="547"/>
      <c r="G80" s="548"/>
    </row>
    <row r="81" spans="1:23" ht="13" customHeight="1" x14ac:dyDescent="0.15">
      <c r="Q81" s="20"/>
      <c r="R81" s="20"/>
      <c r="S81" s="20"/>
      <c r="T81" s="20"/>
      <c r="U81" s="20"/>
      <c r="V81" s="20"/>
      <c r="W81" s="20"/>
    </row>
    <row r="82" spans="1:23" ht="13" customHeight="1" x14ac:dyDescent="0.15">
      <c r="Q82" s="20"/>
      <c r="R82" s="20"/>
      <c r="S82" s="20"/>
      <c r="T82" s="20"/>
      <c r="U82" s="20"/>
      <c r="V82" s="20"/>
      <c r="W82" s="20"/>
    </row>
    <row r="83" spans="1:23" ht="13" customHeight="1" x14ac:dyDescent="0.15">
      <c r="Q83" s="20"/>
      <c r="R83" s="20"/>
      <c r="S83" s="20"/>
      <c r="T83" s="20"/>
      <c r="U83" s="20"/>
      <c r="V83" s="20"/>
      <c r="W83" s="20"/>
    </row>
    <row r="84" spans="1:23" x14ac:dyDescent="0.15">
      <c r="Q84" s="7"/>
      <c r="R84" s="7"/>
      <c r="S84" s="7"/>
      <c r="T84" s="7"/>
      <c r="U84" s="7"/>
      <c r="V84" s="7"/>
      <c r="W84" s="7"/>
    </row>
    <row r="85" spans="1:23" ht="16" x14ac:dyDescent="0.2">
      <c r="A85" s="447" t="s">
        <v>399</v>
      </c>
      <c r="B85" s="448"/>
      <c r="C85" s="448"/>
      <c r="D85" s="448"/>
      <c r="E85" s="448"/>
      <c r="F85" s="448"/>
    </row>
    <row r="86" spans="1:23" s="20" customFormat="1" x14ac:dyDescent="0.15">
      <c r="A86" s="449"/>
      <c r="B86" s="140"/>
      <c r="C86" s="140"/>
      <c r="D86" s="140"/>
      <c r="E86" s="140"/>
      <c r="F86" s="140"/>
      <c r="Q86"/>
      <c r="R86"/>
      <c r="S86"/>
      <c r="T86"/>
      <c r="U86"/>
      <c r="V86"/>
      <c r="W86"/>
    </row>
    <row r="87" spans="1:23" s="20" customFormat="1" x14ac:dyDescent="0.15">
      <c r="A87" s="449" t="s">
        <v>401</v>
      </c>
      <c r="B87" s="140" t="s">
        <v>475</v>
      </c>
      <c r="C87" s="140"/>
      <c r="D87" s="140"/>
      <c r="E87" s="140"/>
      <c r="F87" s="140"/>
      <c r="Q87"/>
      <c r="R87"/>
      <c r="S87"/>
      <c r="T87"/>
      <c r="U87"/>
      <c r="V87"/>
      <c r="W87"/>
    </row>
    <row r="88" spans="1:23" s="20" customFormat="1" x14ac:dyDescent="0.15">
      <c r="A88" s="140"/>
      <c r="B88" s="140"/>
      <c r="C88" s="140"/>
      <c r="D88" s="140"/>
      <c r="E88" s="140"/>
      <c r="F88" s="140"/>
      <c r="Q88"/>
      <c r="R88"/>
      <c r="S88"/>
      <c r="T88"/>
      <c r="U88"/>
      <c r="V88"/>
      <c r="W88"/>
    </row>
    <row r="89" spans="1:23" s="7" customFormat="1" x14ac:dyDescent="0.15">
      <c r="A89" s="449" t="s">
        <v>402</v>
      </c>
      <c r="B89" s="449">
        <v>1</v>
      </c>
      <c r="C89" s="505">
        <v>2</v>
      </c>
      <c r="D89" s="449">
        <v>3</v>
      </c>
      <c r="E89" s="505">
        <v>4</v>
      </c>
      <c r="F89" s="449"/>
      <c r="Q89"/>
      <c r="R89"/>
      <c r="S89"/>
      <c r="T89"/>
      <c r="U89"/>
      <c r="V89"/>
      <c r="W89"/>
    </row>
    <row r="90" spans="1:23" x14ac:dyDescent="0.15">
      <c r="A90" s="448" t="s">
        <v>396</v>
      </c>
      <c r="B90" s="450">
        <v>1</v>
      </c>
      <c r="C90" s="450">
        <v>2</v>
      </c>
      <c r="D90" s="450">
        <v>3</v>
      </c>
      <c r="E90" s="450">
        <v>4</v>
      </c>
      <c r="F90" s="453"/>
    </row>
    <row r="91" spans="1:23" x14ac:dyDescent="0.15">
      <c r="A91" s="448" t="s">
        <v>400</v>
      </c>
      <c r="B91" s="451">
        <v>48.64</v>
      </c>
      <c r="C91" s="451">
        <v>48.64</v>
      </c>
      <c r="D91" s="451">
        <v>48.64</v>
      </c>
      <c r="E91" s="451">
        <v>48.64</v>
      </c>
      <c r="F91" s="451"/>
    </row>
    <row r="92" spans="1:23" x14ac:dyDescent="0.15">
      <c r="A92" s="448" t="s">
        <v>405</v>
      </c>
      <c r="B92" s="451">
        <v>22.15</v>
      </c>
      <c r="C92" s="451">
        <v>22.15</v>
      </c>
      <c r="D92" s="451">
        <v>22.15</v>
      </c>
      <c r="E92" s="451">
        <v>22.15</v>
      </c>
      <c r="F92" s="451"/>
    </row>
    <row r="93" spans="1:23" ht="15" x14ac:dyDescent="0.2">
      <c r="A93" s="448" t="s">
        <v>406</v>
      </c>
      <c r="B93" s="451">
        <v>79.17</v>
      </c>
      <c r="C93" s="451">
        <v>79.17</v>
      </c>
      <c r="D93" s="451">
        <v>79.17</v>
      </c>
      <c r="E93" s="451">
        <v>79.17</v>
      </c>
      <c r="F93" s="451"/>
    </row>
    <row r="94" spans="1:23" x14ac:dyDescent="0.15">
      <c r="A94" s="448" t="s">
        <v>397</v>
      </c>
      <c r="B94" s="451">
        <v>20.945799999999998</v>
      </c>
      <c r="C94" s="451">
        <v>20.945799999999998</v>
      </c>
      <c r="D94" s="451">
        <v>20.945799999999998</v>
      </c>
      <c r="E94" s="451">
        <v>20.945799999999998</v>
      </c>
      <c r="F94" s="451"/>
    </row>
    <row r="95" spans="1:23" x14ac:dyDescent="0.15">
      <c r="A95" s="448" t="s">
        <v>395</v>
      </c>
      <c r="B95" s="451">
        <v>33.204700000000003</v>
      </c>
      <c r="C95" s="451">
        <v>66.409499999999994</v>
      </c>
      <c r="D95" s="451">
        <v>99.614199999999997</v>
      </c>
      <c r="E95" s="451">
        <v>132.81899999999999</v>
      </c>
      <c r="F95" s="451"/>
    </row>
    <row r="96" spans="1:23" x14ac:dyDescent="0.15">
      <c r="A96" s="448" t="s">
        <v>532</v>
      </c>
      <c r="B96" s="451">
        <v>282.29000000000002</v>
      </c>
      <c r="C96" s="451">
        <v>282.77999999999997</v>
      </c>
      <c r="D96" s="451">
        <v>283.27999999999997</v>
      </c>
      <c r="E96" s="451">
        <v>283.77</v>
      </c>
      <c r="F96" s="451"/>
    </row>
    <row r="97" spans="1:23" x14ac:dyDescent="0.15">
      <c r="A97" s="449" t="s">
        <v>29</v>
      </c>
      <c r="B97" s="451">
        <f>SUM(B91:B96)</f>
        <v>486.40049999999997</v>
      </c>
      <c r="C97" s="451">
        <f>SUM(C91:C96)</f>
        <v>520.09529999999995</v>
      </c>
      <c r="D97" s="451">
        <f>SUM(D91:D96)</f>
        <v>553.79999999999995</v>
      </c>
      <c r="E97" s="451">
        <f>SUM(E91:E96)</f>
        <v>587.49479999999994</v>
      </c>
      <c r="F97" s="451"/>
    </row>
    <row r="98" spans="1:23" x14ac:dyDescent="0.15">
      <c r="A98" s="448"/>
      <c r="B98" s="448"/>
      <c r="C98" s="448"/>
      <c r="D98" s="448"/>
      <c r="E98" s="448"/>
      <c r="F98" s="448"/>
    </row>
    <row r="99" spans="1:23" x14ac:dyDescent="0.15">
      <c r="A99" s="448" t="s">
        <v>398</v>
      </c>
      <c r="B99" s="448"/>
      <c r="C99" s="448"/>
      <c r="D99" s="448"/>
      <c r="E99" s="448"/>
      <c r="F99" s="448"/>
    </row>
    <row r="108" spans="1:23" x14ac:dyDescent="0.15">
      <c r="A108" s="12"/>
      <c r="B108" s="12"/>
      <c r="C108" s="12"/>
      <c r="Q108" s="12"/>
      <c r="R108" s="12"/>
      <c r="S108" s="12"/>
      <c r="T108" s="12"/>
      <c r="U108" s="12"/>
      <c r="V108" s="12"/>
      <c r="W108" s="12"/>
    </row>
    <row r="109" spans="1:23" x14ac:dyDescent="0.15">
      <c r="A109" s="12"/>
      <c r="B109" s="12"/>
      <c r="C109" s="12"/>
      <c r="Q109" s="12"/>
      <c r="R109" s="12"/>
      <c r="S109" s="12"/>
      <c r="T109" s="12"/>
      <c r="U109" s="12"/>
      <c r="V109" s="12"/>
      <c r="W109" s="12"/>
    </row>
    <row r="110" spans="1:23" x14ac:dyDescent="0.15">
      <c r="A110" s="12"/>
      <c r="B110" s="12"/>
      <c r="C110" s="12"/>
      <c r="Q110" s="12"/>
      <c r="R110" s="12"/>
      <c r="S110" s="12"/>
      <c r="T110" s="12"/>
      <c r="U110" s="12"/>
      <c r="V110" s="12"/>
      <c r="W110" s="12"/>
    </row>
    <row r="111" spans="1:23" x14ac:dyDescent="0.15">
      <c r="A111" s="12"/>
      <c r="B111" s="12"/>
      <c r="C111" s="12"/>
      <c r="Q111" s="12"/>
      <c r="R111" s="12"/>
      <c r="S111" s="12"/>
      <c r="T111" s="12"/>
      <c r="U111" s="12"/>
      <c r="V111" s="12"/>
      <c r="W111" s="12"/>
    </row>
    <row r="112" spans="1:23" x14ac:dyDescent="0.15">
      <c r="A112" s="12"/>
      <c r="B112" s="12"/>
      <c r="C112" s="12"/>
      <c r="Q112" s="12"/>
      <c r="R112" s="12"/>
      <c r="S112" s="12"/>
      <c r="T112" s="12"/>
      <c r="U112" s="12"/>
      <c r="V112" s="12"/>
      <c r="W112" s="12"/>
    </row>
    <row r="113" spans="1:28" ht="16" x14ac:dyDescent="0.2">
      <c r="A113" s="557" t="s">
        <v>444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39"/>
      <c r="M113" s="539"/>
      <c r="N113" s="539"/>
      <c r="O113" s="539"/>
      <c r="P113" s="539"/>
      <c r="Q113" s="539"/>
      <c r="R113" s="539"/>
      <c r="S113" s="539"/>
      <c r="T113" s="539"/>
      <c r="U113" s="539"/>
      <c r="V113" s="539"/>
      <c r="W113" s="539"/>
      <c r="X113" s="539"/>
      <c r="Y113" s="539"/>
      <c r="Z113" s="539"/>
      <c r="AA113" s="539"/>
      <c r="AB113" s="539"/>
    </row>
    <row r="114" spans="1:28" x14ac:dyDescent="0.15">
      <c r="A114" s="540"/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39"/>
      <c r="M114" s="539"/>
      <c r="N114" s="539"/>
      <c r="O114" s="539"/>
      <c r="P114" s="539"/>
      <c r="Q114" s="539"/>
      <c r="R114" s="539"/>
      <c r="S114" s="539"/>
      <c r="T114" s="539"/>
      <c r="U114" s="539"/>
      <c r="V114" s="539"/>
      <c r="W114" s="539"/>
      <c r="X114" s="539"/>
      <c r="Y114" s="539"/>
      <c r="Z114" s="539"/>
      <c r="AA114" s="539"/>
      <c r="AB114" s="539"/>
    </row>
    <row r="115" spans="1:28" x14ac:dyDescent="0.15">
      <c r="A115" s="540" t="s">
        <v>445</v>
      </c>
      <c r="B115" s="539" t="s">
        <v>494</v>
      </c>
      <c r="C115" s="539"/>
      <c r="D115" s="539"/>
      <c r="E115" s="539"/>
      <c r="F115" s="539"/>
      <c r="G115" s="539"/>
      <c r="H115" s="539"/>
      <c r="I115" s="539"/>
      <c r="J115" s="539"/>
      <c r="K115" s="539"/>
      <c r="L115" s="539"/>
      <c r="M115" s="539"/>
      <c r="N115" s="539"/>
      <c r="O115" s="539"/>
      <c r="P115" s="539"/>
      <c r="Q115" s="539"/>
      <c r="R115" s="539"/>
      <c r="S115" s="539"/>
      <c r="T115" s="539"/>
      <c r="U115" s="539"/>
      <c r="V115" s="539"/>
      <c r="W115" s="539"/>
      <c r="X115" s="539"/>
      <c r="Y115" s="539"/>
      <c r="Z115" s="539"/>
      <c r="AA115" s="539"/>
      <c r="AB115" s="539"/>
    </row>
    <row r="116" spans="1:28" s="12" customFormat="1" x14ac:dyDescent="0.15">
      <c r="A116" s="540" t="s">
        <v>446</v>
      </c>
      <c r="B116" s="539" t="s">
        <v>493</v>
      </c>
      <c r="C116" s="539"/>
      <c r="D116" s="539"/>
      <c r="E116" s="539"/>
      <c r="F116" s="539"/>
      <c r="G116" s="539"/>
      <c r="H116" s="539"/>
      <c r="I116" s="539"/>
      <c r="J116" s="539"/>
      <c r="K116" s="539"/>
      <c r="L116" s="539"/>
      <c r="M116" s="539"/>
      <c r="N116" s="539"/>
      <c r="O116" s="539"/>
      <c r="P116" s="539"/>
      <c r="Q116" s="539"/>
      <c r="R116" s="539"/>
      <c r="S116" s="539"/>
      <c r="T116" s="539"/>
      <c r="U116" s="539"/>
      <c r="V116" s="539"/>
      <c r="W116" s="539"/>
      <c r="X116" s="539"/>
      <c r="Y116" s="539"/>
      <c r="Z116" s="539"/>
      <c r="AA116" s="539"/>
      <c r="AB116" s="539"/>
    </row>
    <row r="117" spans="1:28" s="12" customFormat="1" x14ac:dyDescent="0.15">
      <c r="A117" s="540" t="s">
        <v>453</v>
      </c>
      <c r="B117" s="539" t="s">
        <v>459</v>
      </c>
      <c r="C117" s="539"/>
      <c r="D117" s="539"/>
      <c r="E117" s="539"/>
      <c r="F117" s="539"/>
      <c r="G117" s="539"/>
      <c r="H117" s="539"/>
      <c r="I117" s="539"/>
      <c r="J117" s="539"/>
      <c r="K117" s="539"/>
      <c r="L117" s="539"/>
      <c r="M117" s="539"/>
      <c r="N117" s="539"/>
      <c r="O117" s="539"/>
      <c r="P117" s="539"/>
      <c r="Q117" s="539"/>
      <c r="R117" s="539"/>
      <c r="S117" s="539"/>
      <c r="T117" s="539"/>
      <c r="U117" s="539"/>
      <c r="V117" s="539"/>
      <c r="W117" s="539"/>
      <c r="X117" s="539"/>
      <c r="Y117" s="539"/>
      <c r="Z117" s="539"/>
      <c r="AA117" s="539"/>
      <c r="AB117" s="539"/>
    </row>
    <row r="118" spans="1:28" s="12" customFormat="1" x14ac:dyDescent="0.15">
      <c r="A118" s="540"/>
      <c r="B118" s="539"/>
      <c r="C118" s="539"/>
      <c r="D118" s="539"/>
      <c r="E118" s="539"/>
      <c r="F118" s="539"/>
      <c r="G118" s="539"/>
      <c r="H118" s="539"/>
      <c r="I118" s="539"/>
      <c r="J118" s="539"/>
      <c r="K118" s="539"/>
      <c r="L118" s="539"/>
      <c r="M118" s="539"/>
      <c r="N118" s="539"/>
      <c r="O118" s="539"/>
      <c r="P118" s="539"/>
      <c r="Q118" s="539"/>
      <c r="R118" s="539"/>
      <c r="S118" s="539"/>
      <c r="T118" s="539"/>
      <c r="U118" s="539"/>
      <c r="V118" s="539"/>
      <c r="W118" s="539"/>
      <c r="X118" s="539"/>
      <c r="Y118" s="539"/>
      <c r="Z118" s="539"/>
      <c r="AA118" s="539"/>
      <c r="AB118" s="539"/>
    </row>
    <row r="119" spans="1:28" x14ac:dyDescent="0.15">
      <c r="A119" s="558" t="s">
        <v>466</v>
      </c>
      <c r="B119" s="539"/>
      <c r="C119" s="539"/>
      <c r="D119" s="539"/>
      <c r="E119" s="539"/>
      <c r="F119" s="539"/>
      <c r="G119" s="539"/>
      <c r="H119" s="539"/>
      <c r="I119" s="539"/>
      <c r="J119" s="539"/>
      <c r="K119" s="539"/>
      <c r="L119" s="539"/>
      <c r="M119" s="539"/>
      <c r="N119" s="539"/>
      <c r="O119" s="539"/>
      <c r="P119" s="539"/>
      <c r="Q119" s="539"/>
      <c r="R119" s="539"/>
      <c r="S119" s="539"/>
      <c r="T119" s="539"/>
      <c r="U119" s="539"/>
      <c r="V119" s="539"/>
      <c r="W119" s="539"/>
      <c r="X119" s="539"/>
      <c r="Y119" s="539"/>
      <c r="Z119" s="539"/>
      <c r="AA119" s="539"/>
      <c r="AB119" s="539"/>
    </row>
    <row r="120" spans="1:28" s="535" customFormat="1" x14ac:dyDescent="0.15">
      <c r="A120" s="559">
        <v>0</v>
      </c>
      <c r="B120" s="560">
        <v>1E-3</v>
      </c>
      <c r="C120" s="560">
        <v>0.05</v>
      </c>
      <c r="D120" s="560">
        <v>0.1</v>
      </c>
      <c r="E120" s="560">
        <v>0.15</v>
      </c>
      <c r="F120" s="560">
        <v>0.2</v>
      </c>
      <c r="G120" s="560">
        <v>0.25</v>
      </c>
      <c r="H120" s="560">
        <v>0.3</v>
      </c>
      <c r="I120" s="560">
        <v>0.35</v>
      </c>
      <c r="J120" s="560">
        <v>0.4</v>
      </c>
      <c r="K120" s="560">
        <v>0.45</v>
      </c>
      <c r="L120" s="560">
        <v>0.5</v>
      </c>
      <c r="M120" s="560">
        <v>0.55000000000000004</v>
      </c>
      <c r="N120" s="560">
        <v>0.6</v>
      </c>
      <c r="O120" s="560">
        <v>0.65</v>
      </c>
      <c r="P120" s="560">
        <v>0.7</v>
      </c>
      <c r="Q120" s="560">
        <v>0.75</v>
      </c>
      <c r="R120" s="560">
        <v>0.8</v>
      </c>
      <c r="S120" s="560">
        <v>0.85</v>
      </c>
      <c r="T120" s="560">
        <v>0.9</v>
      </c>
      <c r="U120" s="560">
        <v>0.95</v>
      </c>
      <c r="V120" s="560">
        <v>1</v>
      </c>
      <c r="W120" s="561"/>
      <c r="X120" s="561"/>
      <c r="Y120" s="561"/>
      <c r="Z120" s="561"/>
      <c r="AA120" s="561"/>
      <c r="AB120" s="561"/>
    </row>
    <row r="121" spans="1:28" s="535" customFormat="1" x14ac:dyDescent="0.15">
      <c r="A121" s="562">
        <v>0</v>
      </c>
      <c r="B121" s="563">
        <v>51680.2</v>
      </c>
      <c r="C121" s="563">
        <v>1033.6000000000001</v>
      </c>
      <c r="D121" s="563">
        <v>516.80000000000007</v>
      </c>
      <c r="E121" s="563">
        <v>344.5</v>
      </c>
      <c r="F121" s="563">
        <v>258.40000000000003</v>
      </c>
      <c r="G121" s="563">
        <v>206.7</v>
      </c>
      <c r="H121" s="563">
        <v>172.3</v>
      </c>
      <c r="I121" s="563">
        <v>147.69999999999999</v>
      </c>
      <c r="J121" s="563">
        <v>129.20000000000002</v>
      </c>
      <c r="K121" s="563">
        <v>114.8</v>
      </c>
      <c r="L121" s="563">
        <v>103.4</v>
      </c>
      <c r="M121" s="563">
        <v>94</v>
      </c>
      <c r="N121" s="563">
        <v>86.1</v>
      </c>
      <c r="O121" s="563">
        <v>79.5</v>
      </c>
      <c r="P121" s="563">
        <v>73.800000000000011</v>
      </c>
      <c r="Q121" s="563">
        <v>68.900000000000006</v>
      </c>
      <c r="R121" s="563">
        <v>64.600000000000009</v>
      </c>
      <c r="S121" s="563">
        <v>60.8</v>
      </c>
      <c r="T121" s="563">
        <v>57.4</v>
      </c>
      <c r="U121" s="564">
        <v>54.4</v>
      </c>
      <c r="V121" s="565">
        <v>51.7</v>
      </c>
      <c r="W121" s="565"/>
      <c r="X121" s="565"/>
      <c r="Y121" s="565"/>
      <c r="Z121" s="565"/>
      <c r="AA121" s="565"/>
      <c r="AB121" s="565"/>
    </row>
    <row r="122" spans="1:28" s="535" customFormat="1" x14ac:dyDescent="0.15">
      <c r="A122" s="562">
        <v>5.0000000000000001E-3</v>
      </c>
      <c r="B122" s="563">
        <v>51695.1</v>
      </c>
      <c r="C122" s="563">
        <v>1048.5</v>
      </c>
      <c r="D122" s="563">
        <v>531.69999999999993</v>
      </c>
      <c r="E122" s="563">
        <v>359.4</v>
      </c>
      <c r="F122" s="563">
        <v>273.3</v>
      </c>
      <c r="G122" s="563">
        <v>221.6</v>
      </c>
      <c r="H122" s="563">
        <v>187.1</v>
      </c>
      <c r="I122" s="563">
        <v>162.5</v>
      </c>
      <c r="J122" s="563">
        <v>144.1</v>
      </c>
      <c r="K122" s="563">
        <v>129.70000000000002</v>
      </c>
      <c r="L122" s="563">
        <v>118.2</v>
      </c>
      <c r="M122" s="563">
        <v>108.8</v>
      </c>
      <c r="N122" s="563">
        <v>101</v>
      </c>
      <c r="O122" s="563">
        <v>94.399999999999991</v>
      </c>
      <c r="P122" s="563">
        <v>88.7</v>
      </c>
      <c r="Q122" s="563">
        <v>83.8</v>
      </c>
      <c r="R122" s="563">
        <v>79.5</v>
      </c>
      <c r="S122" s="563">
        <v>75.7</v>
      </c>
      <c r="T122" s="563">
        <v>72.3</v>
      </c>
      <c r="U122" s="564">
        <v>69.3</v>
      </c>
      <c r="V122" s="565">
        <v>66.600000000000009</v>
      </c>
      <c r="W122" s="565"/>
      <c r="X122" s="565"/>
      <c r="Y122" s="565"/>
      <c r="Z122" s="565"/>
      <c r="AA122" s="565"/>
      <c r="AB122" s="565"/>
    </row>
    <row r="123" spans="1:28" s="535" customFormat="1" x14ac:dyDescent="0.15">
      <c r="A123" s="562">
        <v>0.01</v>
      </c>
      <c r="B123" s="563">
        <v>51710</v>
      </c>
      <c r="C123" s="563">
        <v>1063.3999999999999</v>
      </c>
      <c r="D123" s="563">
        <v>546.6</v>
      </c>
      <c r="E123" s="563">
        <v>374.3</v>
      </c>
      <c r="F123" s="563">
        <v>288.2</v>
      </c>
      <c r="G123" s="563">
        <v>236.5</v>
      </c>
      <c r="H123" s="563">
        <v>202</v>
      </c>
      <c r="I123" s="563">
        <v>177.4</v>
      </c>
      <c r="J123" s="563">
        <v>159</v>
      </c>
      <c r="K123" s="563">
        <v>144.6</v>
      </c>
      <c r="L123" s="563">
        <v>133.1</v>
      </c>
      <c r="M123" s="563">
        <v>123.7</v>
      </c>
      <c r="N123" s="563">
        <v>115.9</v>
      </c>
      <c r="O123" s="563">
        <v>109.3</v>
      </c>
      <c r="P123" s="563">
        <v>103.6</v>
      </c>
      <c r="Q123" s="563">
        <v>98.7</v>
      </c>
      <c r="R123" s="563">
        <v>94.399999999999991</v>
      </c>
      <c r="S123" s="563">
        <v>90.6</v>
      </c>
      <c r="T123" s="563">
        <v>87.2</v>
      </c>
      <c r="U123" s="564">
        <v>84.2</v>
      </c>
      <c r="V123" s="565">
        <v>81.400000000000006</v>
      </c>
      <c r="W123" s="565"/>
      <c r="X123" s="565"/>
      <c r="Y123" s="565"/>
      <c r="Z123" s="565"/>
      <c r="AA123" s="565"/>
      <c r="AB123" s="565"/>
    </row>
    <row r="124" spans="1:28" s="535" customFormat="1" x14ac:dyDescent="0.15">
      <c r="A124" s="562">
        <v>1.4999999999999999E-2</v>
      </c>
      <c r="B124" s="563">
        <v>51724.800000000003</v>
      </c>
      <c r="C124" s="563">
        <v>1078.2</v>
      </c>
      <c r="D124" s="563">
        <v>561.4</v>
      </c>
      <c r="E124" s="563">
        <v>389.2</v>
      </c>
      <c r="F124" s="563">
        <v>303</v>
      </c>
      <c r="G124" s="563">
        <v>251.3</v>
      </c>
      <c r="H124" s="563">
        <v>216.9</v>
      </c>
      <c r="I124" s="563">
        <v>192.3</v>
      </c>
      <c r="J124" s="563">
        <v>173.8</v>
      </c>
      <c r="K124" s="563">
        <v>159.5</v>
      </c>
      <c r="L124" s="563">
        <v>148</v>
      </c>
      <c r="M124" s="563">
        <v>138.6</v>
      </c>
      <c r="N124" s="563">
        <v>130.80000000000001</v>
      </c>
      <c r="O124" s="563">
        <v>124.10000000000001</v>
      </c>
      <c r="P124" s="563">
        <v>118.5</v>
      </c>
      <c r="Q124" s="563">
        <v>113.5</v>
      </c>
      <c r="R124" s="563">
        <v>109.2</v>
      </c>
      <c r="S124" s="563">
        <v>105.39999999999999</v>
      </c>
      <c r="T124" s="563">
        <v>102</v>
      </c>
      <c r="U124" s="564">
        <v>99</v>
      </c>
      <c r="V124" s="565">
        <v>96.3</v>
      </c>
      <c r="W124" s="565"/>
      <c r="X124" s="565"/>
      <c r="Y124" s="565"/>
      <c r="Z124" s="565"/>
      <c r="AA124" s="565"/>
      <c r="AB124" s="565"/>
    </row>
    <row r="125" spans="1:28" s="535" customFormat="1" x14ac:dyDescent="0.15">
      <c r="A125" s="562">
        <v>0.02</v>
      </c>
      <c r="B125" s="563">
        <v>51739.7</v>
      </c>
      <c r="C125" s="563">
        <v>1093.0999999999999</v>
      </c>
      <c r="D125" s="563">
        <v>576.30000000000007</v>
      </c>
      <c r="E125" s="563">
        <v>404</v>
      </c>
      <c r="F125" s="563">
        <v>317.90000000000003</v>
      </c>
      <c r="G125" s="563">
        <v>266.2</v>
      </c>
      <c r="H125" s="563">
        <v>231.8</v>
      </c>
      <c r="I125" s="563">
        <v>207.2</v>
      </c>
      <c r="J125" s="563">
        <v>188.70000000000002</v>
      </c>
      <c r="K125" s="563">
        <v>174.3</v>
      </c>
      <c r="L125" s="563">
        <v>162.89999999999998</v>
      </c>
      <c r="M125" s="563">
        <v>153.5</v>
      </c>
      <c r="N125" s="563">
        <v>145.6</v>
      </c>
      <c r="O125" s="563">
        <v>139</v>
      </c>
      <c r="P125" s="563">
        <v>133.30000000000001</v>
      </c>
      <c r="Q125" s="563">
        <v>128.39999999999998</v>
      </c>
      <c r="R125" s="563">
        <v>124.10000000000001</v>
      </c>
      <c r="S125" s="563">
        <v>120.3</v>
      </c>
      <c r="T125" s="563">
        <v>116.9</v>
      </c>
      <c r="U125" s="564">
        <v>113.9</v>
      </c>
      <c r="V125" s="565">
        <v>111.19999999999999</v>
      </c>
      <c r="W125" s="565"/>
      <c r="X125" s="565"/>
      <c r="Y125" s="565"/>
      <c r="Z125" s="565"/>
      <c r="AA125" s="565"/>
      <c r="AB125" s="565"/>
    </row>
    <row r="126" spans="1:28" s="535" customFormat="1" x14ac:dyDescent="0.15">
      <c r="A126" s="562">
        <v>2.5000000000000001E-2</v>
      </c>
      <c r="B126" s="563">
        <v>51754.600000000006</v>
      </c>
      <c r="C126" s="563">
        <v>1108</v>
      </c>
      <c r="D126" s="563">
        <v>591.19999999999993</v>
      </c>
      <c r="E126" s="563">
        <v>418.9</v>
      </c>
      <c r="F126" s="563">
        <v>332.8</v>
      </c>
      <c r="G126" s="563">
        <v>281.10000000000002</v>
      </c>
      <c r="H126" s="563">
        <v>246.60000000000002</v>
      </c>
      <c r="I126" s="563">
        <v>222</v>
      </c>
      <c r="J126" s="563">
        <v>203.6</v>
      </c>
      <c r="K126" s="563">
        <v>189.20000000000002</v>
      </c>
      <c r="L126" s="563">
        <v>177.7</v>
      </c>
      <c r="M126" s="563">
        <v>168.3</v>
      </c>
      <c r="N126" s="563">
        <v>160.5</v>
      </c>
      <c r="O126" s="563">
        <v>153.9</v>
      </c>
      <c r="P126" s="563">
        <v>148.19999999999999</v>
      </c>
      <c r="Q126" s="563">
        <v>143.30000000000001</v>
      </c>
      <c r="R126" s="563">
        <v>139</v>
      </c>
      <c r="S126" s="563">
        <v>135.19999999999999</v>
      </c>
      <c r="T126" s="563">
        <v>131.80000000000001</v>
      </c>
      <c r="U126" s="564">
        <v>128.80000000000001</v>
      </c>
      <c r="V126" s="565">
        <v>126.1</v>
      </c>
      <c r="W126" s="565"/>
      <c r="X126" s="565"/>
      <c r="Y126" s="565"/>
      <c r="Z126" s="565"/>
      <c r="AA126" s="565"/>
      <c r="AB126" s="565"/>
    </row>
    <row r="127" spans="1:28" s="535" customFormat="1" x14ac:dyDescent="0.15">
      <c r="A127" s="562">
        <v>0.03</v>
      </c>
      <c r="B127" s="563">
        <v>51769.5</v>
      </c>
      <c r="C127" s="563">
        <v>1122.9000000000001</v>
      </c>
      <c r="D127" s="563">
        <v>606.1</v>
      </c>
      <c r="E127" s="563">
        <v>433.8</v>
      </c>
      <c r="F127" s="563">
        <v>347.7</v>
      </c>
      <c r="G127" s="563">
        <v>296</v>
      </c>
      <c r="H127" s="563">
        <v>261.5</v>
      </c>
      <c r="I127" s="563">
        <v>236.9</v>
      </c>
      <c r="J127" s="563">
        <v>218.5</v>
      </c>
      <c r="K127" s="563">
        <v>204.1</v>
      </c>
      <c r="L127" s="563">
        <v>192.6</v>
      </c>
      <c r="M127" s="563">
        <v>183.2</v>
      </c>
      <c r="N127" s="563">
        <v>175.4</v>
      </c>
      <c r="O127" s="563">
        <v>168.8</v>
      </c>
      <c r="P127" s="563">
        <v>163.1</v>
      </c>
      <c r="Q127" s="563">
        <v>158.20000000000002</v>
      </c>
      <c r="R127" s="563">
        <v>153.9</v>
      </c>
      <c r="S127" s="563">
        <v>150.10000000000002</v>
      </c>
      <c r="T127" s="563">
        <v>146.69999999999999</v>
      </c>
      <c r="U127" s="564">
        <v>143.69999999999999</v>
      </c>
      <c r="V127" s="565">
        <v>140.9</v>
      </c>
      <c r="W127" s="565"/>
      <c r="X127" s="565"/>
      <c r="Y127" s="565"/>
      <c r="Z127" s="565"/>
      <c r="AA127" s="565"/>
      <c r="AB127" s="565"/>
    </row>
    <row r="128" spans="1:28" s="535" customFormat="1" x14ac:dyDescent="0.15">
      <c r="A128" s="562">
        <v>3.5000000000000003E-2</v>
      </c>
      <c r="B128" s="563">
        <v>51784.3</v>
      </c>
      <c r="C128" s="563">
        <v>1137.7</v>
      </c>
      <c r="D128" s="563">
        <v>620.9</v>
      </c>
      <c r="E128" s="563">
        <v>448.7</v>
      </c>
      <c r="F128" s="563">
        <v>362.5</v>
      </c>
      <c r="G128" s="563">
        <v>310.8</v>
      </c>
      <c r="H128" s="563">
        <v>276.39999999999998</v>
      </c>
      <c r="I128" s="563">
        <v>251.8</v>
      </c>
      <c r="J128" s="563">
        <v>233.3</v>
      </c>
      <c r="K128" s="563">
        <v>219</v>
      </c>
      <c r="L128" s="563">
        <v>207.5</v>
      </c>
      <c r="M128" s="563">
        <v>198.1</v>
      </c>
      <c r="N128" s="563">
        <v>190.29999999999998</v>
      </c>
      <c r="O128" s="563">
        <v>183.60000000000002</v>
      </c>
      <c r="P128" s="563">
        <v>178</v>
      </c>
      <c r="Q128" s="563">
        <v>173</v>
      </c>
      <c r="R128" s="563">
        <v>168.7</v>
      </c>
      <c r="S128" s="563">
        <v>164.89999999999998</v>
      </c>
      <c r="T128" s="563">
        <v>161.5</v>
      </c>
      <c r="U128" s="564">
        <v>158.5</v>
      </c>
      <c r="V128" s="565">
        <v>155.79999999999998</v>
      </c>
      <c r="W128" s="565"/>
      <c r="X128" s="565"/>
      <c r="Y128" s="565"/>
      <c r="Z128" s="565"/>
      <c r="AA128" s="565"/>
      <c r="AB128" s="565"/>
    </row>
    <row r="129" spans="1:28" s="535" customFormat="1" x14ac:dyDescent="0.15">
      <c r="A129" s="562">
        <v>0.04</v>
      </c>
      <c r="B129" s="563">
        <v>51799.199999999997</v>
      </c>
      <c r="C129" s="563">
        <v>1152.6000000000001</v>
      </c>
      <c r="D129" s="563">
        <v>635.80000000000007</v>
      </c>
      <c r="E129" s="563">
        <v>463.5</v>
      </c>
      <c r="F129" s="563">
        <v>377.40000000000003</v>
      </c>
      <c r="G129" s="563">
        <v>325.7</v>
      </c>
      <c r="H129" s="563">
        <v>291.3</v>
      </c>
      <c r="I129" s="563">
        <v>266.7</v>
      </c>
      <c r="J129" s="563">
        <v>248.20000000000002</v>
      </c>
      <c r="K129" s="563">
        <v>233.8</v>
      </c>
      <c r="L129" s="563">
        <v>222.39999999999998</v>
      </c>
      <c r="M129" s="563">
        <v>213</v>
      </c>
      <c r="N129" s="563">
        <v>205.1</v>
      </c>
      <c r="O129" s="563">
        <v>198.5</v>
      </c>
      <c r="P129" s="563">
        <v>192.8</v>
      </c>
      <c r="Q129" s="563">
        <v>187.9</v>
      </c>
      <c r="R129" s="563">
        <v>183.60000000000002</v>
      </c>
      <c r="S129" s="563">
        <v>179.79999999999998</v>
      </c>
      <c r="T129" s="563">
        <v>176.4</v>
      </c>
      <c r="U129" s="564">
        <v>173.4</v>
      </c>
      <c r="V129" s="565">
        <v>170.7</v>
      </c>
      <c r="W129" s="565"/>
      <c r="X129" s="565"/>
      <c r="Y129" s="565"/>
      <c r="Z129" s="565"/>
      <c r="AA129" s="565"/>
      <c r="AB129" s="565"/>
    </row>
    <row r="130" spans="1:28" s="535" customFormat="1" x14ac:dyDescent="0.15">
      <c r="A130" s="562">
        <v>4.4999999999999998E-2</v>
      </c>
      <c r="B130" s="563">
        <v>51814.100000000006</v>
      </c>
      <c r="C130" s="563">
        <v>1167.5</v>
      </c>
      <c r="D130" s="563">
        <v>650.69999999999993</v>
      </c>
      <c r="E130" s="563">
        <v>478.4</v>
      </c>
      <c r="F130" s="563">
        <v>392.29999999999995</v>
      </c>
      <c r="G130" s="563">
        <v>340.6</v>
      </c>
      <c r="H130" s="563">
        <v>306.09999999999997</v>
      </c>
      <c r="I130" s="563">
        <v>281.5</v>
      </c>
      <c r="J130" s="563">
        <v>263.10000000000002</v>
      </c>
      <c r="K130" s="563">
        <v>248.70000000000002</v>
      </c>
      <c r="L130" s="563">
        <v>237.2</v>
      </c>
      <c r="M130" s="563">
        <v>227.8</v>
      </c>
      <c r="N130" s="563">
        <v>220</v>
      </c>
      <c r="O130" s="563">
        <v>213.4</v>
      </c>
      <c r="P130" s="563">
        <v>207.7</v>
      </c>
      <c r="Q130" s="563">
        <v>202.8</v>
      </c>
      <c r="R130" s="563">
        <v>198.5</v>
      </c>
      <c r="S130" s="563">
        <v>194.70000000000002</v>
      </c>
      <c r="T130" s="563">
        <v>191.3</v>
      </c>
      <c r="U130" s="564">
        <v>188.29999999999998</v>
      </c>
      <c r="V130" s="565">
        <v>185.6</v>
      </c>
      <c r="W130" s="565"/>
      <c r="X130" s="565"/>
      <c r="Y130" s="565"/>
      <c r="Z130" s="565"/>
      <c r="AA130" s="565"/>
      <c r="AB130" s="565"/>
    </row>
    <row r="131" spans="1:28" s="535" customFormat="1" x14ac:dyDescent="0.15">
      <c r="A131" s="562">
        <v>0.05</v>
      </c>
      <c r="B131" s="563">
        <v>51829</v>
      </c>
      <c r="C131" s="563">
        <v>1182.3999999999999</v>
      </c>
      <c r="D131" s="563">
        <v>665.6</v>
      </c>
      <c r="E131" s="563">
        <v>493.3</v>
      </c>
      <c r="F131" s="563">
        <v>407.2</v>
      </c>
      <c r="G131" s="563">
        <v>355.5</v>
      </c>
      <c r="H131" s="563">
        <v>321</v>
      </c>
      <c r="I131" s="563">
        <v>296.39999999999998</v>
      </c>
      <c r="J131" s="563">
        <v>278</v>
      </c>
      <c r="K131" s="563">
        <v>263.60000000000002</v>
      </c>
      <c r="L131" s="563">
        <v>252.1</v>
      </c>
      <c r="M131" s="563">
        <v>242.7</v>
      </c>
      <c r="N131" s="563">
        <v>234.9</v>
      </c>
      <c r="O131" s="563">
        <v>228.3</v>
      </c>
      <c r="P131" s="563">
        <v>222.6</v>
      </c>
      <c r="Q131" s="563">
        <v>217.70000000000002</v>
      </c>
      <c r="R131" s="563">
        <v>213.4</v>
      </c>
      <c r="S131" s="563">
        <v>209.60000000000002</v>
      </c>
      <c r="T131" s="563">
        <v>206.2</v>
      </c>
      <c r="U131" s="564">
        <v>203.2</v>
      </c>
      <c r="V131" s="565">
        <v>200.4</v>
      </c>
      <c r="W131" s="565"/>
      <c r="X131" s="565"/>
      <c r="Y131" s="565"/>
      <c r="Z131" s="565"/>
      <c r="AA131" s="565"/>
      <c r="AB131" s="565"/>
    </row>
    <row r="132" spans="1:28" s="535" customFormat="1" x14ac:dyDescent="0.15">
      <c r="A132" s="562">
        <v>5.5E-2</v>
      </c>
      <c r="B132" s="563">
        <v>51843.8</v>
      </c>
      <c r="C132" s="563">
        <v>1197.2</v>
      </c>
      <c r="D132" s="563">
        <v>680.4</v>
      </c>
      <c r="E132" s="563">
        <v>508.2</v>
      </c>
      <c r="F132" s="563">
        <v>422</v>
      </c>
      <c r="G132" s="563">
        <v>370.3</v>
      </c>
      <c r="H132" s="563">
        <v>335.9</v>
      </c>
      <c r="I132" s="563">
        <v>311.3</v>
      </c>
      <c r="J132" s="563">
        <v>292.8</v>
      </c>
      <c r="K132" s="563">
        <v>278.5</v>
      </c>
      <c r="L132" s="563">
        <v>267</v>
      </c>
      <c r="M132" s="563">
        <v>257.60000000000002</v>
      </c>
      <c r="N132" s="563">
        <v>249.79999999999998</v>
      </c>
      <c r="O132" s="563">
        <v>243.10000000000002</v>
      </c>
      <c r="P132" s="563">
        <v>237.5</v>
      </c>
      <c r="Q132" s="563">
        <v>232.5</v>
      </c>
      <c r="R132" s="563">
        <v>228.2</v>
      </c>
      <c r="S132" s="563">
        <v>224.39999999999998</v>
      </c>
      <c r="T132" s="563">
        <v>221</v>
      </c>
      <c r="U132" s="564">
        <v>218</v>
      </c>
      <c r="V132" s="565">
        <v>215.29999999999998</v>
      </c>
      <c r="W132" s="565"/>
      <c r="X132" s="565"/>
      <c r="Y132" s="565"/>
      <c r="Z132" s="565"/>
      <c r="AA132" s="565"/>
      <c r="AB132" s="565"/>
    </row>
    <row r="133" spans="1:28" s="535" customFormat="1" x14ac:dyDescent="0.15">
      <c r="A133" s="562">
        <v>0.06</v>
      </c>
      <c r="B133" s="563">
        <v>51858.7</v>
      </c>
      <c r="C133" s="563">
        <v>1212.0999999999999</v>
      </c>
      <c r="D133" s="563">
        <v>695.30000000000007</v>
      </c>
      <c r="E133" s="563">
        <v>523</v>
      </c>
      <c r="F133" s="563">
        <v>436.90000000000003</v>
      </c>
      <c r="G133" s="563">
        <v>385.2</v>
      </c>
      <c r="H133" s="563">
        <v>350.8</v>
      </c>
      <c r="I133" s="563">
        <v>326.2</v>
      </c>
      <c r="J133" s="563">
        <v>307.7</v>
      </c>
      <c r="K133" s="563">
        <v>293.3</v>
      </c>
      <c r="L133" s="563">
        <v>281.89999999999998</v>
      </c>
      <c r="M133" s="563">
        <v>272.5</v>
      </c>
      <c r="N133" s="563">
        <v>264.60000000000002</v>
      </c>
      <c r="O133" s="563">
        <v>258</v>
      </c>
      <c r="P133" s="563">
        <v>252.3</v>
      </c>
      <c r="Q133" s="563">
        <v>247.4</v>
      </c>
      <c r="R133" s="563">
        <v>243.10000000000002</v>
      </c>
      <c r="S133" s="563">
        <v>239.3</v>
      </c>
      <c r="T133" s="563">
        <v>235.9</v>
      </c>
      <c r="U133" s="564">
        <v>232.9</v>
      </c>
      <c r="V133" s="565">
        <v>230.2</v>
      </c>
      <c r="W133" s="565"/>
      <c r="X133" s="565"/>
      <c r="Y133" s="565"/>
      <c r="Z133" s="565"/>
      <c r="AA133" s="565"/>
      <c r="AB133" s="565"/>
    </row>
    <row r="134" spans="1:28" s="535" customFormat="1" x14ac:dyDescent="0.15">
      <c r="A134" s="562"/>
      <c r="B134" s="563"/>
      <c r="C134" s="563"/>
      <c r="D134" s="563"/>
      <c r="E134" s="563"/>
      <c r="F134" s="563"/>
      <c r="G134" s="563"/>
      <c r="H134" s="563"/>
      <c r="I134" s="563"/>
      <c r="J134" s="563"/>
      <c r="K134" s="563"/>
      <c r="L134" s="563"/>
      <c r="M134" s="563"/>
      <c r="N134" s="563"/>
      <c r="O134" s="563"/>
      <c r="P134" s="563"/>
      <c r="Q134" s="563"/>
      <c r="R134" s="563"/>
      <c r="S134" s="563"/>
      <c r="T134" s="563"/>
      <c r="U134" s="564"/>
      <c r="V134" s="565"/>
      <c r="W134" s="565"/>
      <c r="X134" s="565"/>
      <c r="Y134" s="565"/>
      <c r="Z134" s="565"/>
      <c r="AA134" s="565"/>
      <c r="AB134" s="565"/>
    </row>
    <row r="135" spans="1:28" s="535" customFormat="1" x14ac:dyDescent="0.15">
      <c r="A135" s="559"/>
      <c r="B135" s="563"/>
      <c r="C135" s="563"/>
      <c r="D135" s="563"/>
      <c r="E135" s="563"/>
      <c r="F135" s="563"/>
      <c r="G135" s="563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4"/>
      <c r="V135" s="565"/>
      <c r="W135" s="565"/>
      <c r="X135" s="565"/>
      <c r="Y135" s="565"/>
      <c r="Z135" s="565"/>
      <c r="AA135" s="565"/>
      <c r="AB135" s="565"/>
    </row>
    <row r="136" spans="1:28" s="535" customFormat="1" x14ac:dyDescent="0.15">
      <c r="A136" s="560"/>
      <c r="B136" s="563"/>
      <c r="C136" s="563"/>
      <c r="D136" s="563"/>
      <c r="E136" s="563"/>
      <c r="F136" s="563"/>
      <c r="G136" s="563"/>
      <c r="H136" s="563"/>
      <c r="I136" s="563"/>
      <c r="J136" s="563"/>
      <c r="K136" s="563"/>
      <c r="L136" s="563"/>
      <c r="M136" s="563"/>
      <c r="N136" s="563"/>
      <c r="O136" s="563"/>
      <c r="P136" s="563"/>
      <c r="Q136" s="563"/>
      <c r="R136" s="563"/>
      <c r="S136" s="563"/>
      <c r="T136" s="563"/>
      <c r="U136" s="564"/>
      <c r="V136" s="565"/>
      <c r="W136" s="565"/>
      <c r="X136" s="565"/>
      <c r="Y136" s="565"/>
      <c r="Z136" s="565"/>
      <c r="AA136" s="565"/>
      <c r="AB136" s="565"/>
    </row>
    <row r="137" spans="1:28" s="535" customFormat="1" x14ac:dyDescent="0.15">
      <c r="A137" s="566"/>
      <c r="B137" s="566"/>
      <c r="C137" s="566"/>
      <c r="D137" s="566"/>
      <c r="E137" s="566"/>
      <c r="F137" s="566"/>
      <c r="G137" s="566"/>
      <c r="H137" s="566"/>
      <c r="I137" s="566"/>
      <c r="J137" s="566"/>
      <c r="K137" s="566"/>
      <c r="L137" s="566"/>
      <c r="M137" s="566"/>
      <c r="N137" s="566"/>
      <c r="O137" s="566"/>
      <c r="P137" s="566"/>
      <c r="Q137" s="566"/>
      <c r="R137" s="566"/>
      <c r="S137" s="566"/>
      <c r="T137" s="566"/>
      <c r="U137" s="565"/>
      <c r="V137" s="565"/>
      <c r="W137" s="565"/>
      <c r="X137" s="565"/>
      <c r="Y137" s="565"/>
      <c r="Z137" s="565"/>
      <c r="AA137" s="565"/>
      <c r="AB137" s="565"/>
    </row>
    <row r="138" spans="1:28" s="535" customFormat="1" x14ac:dyDescent="0.15">
      <c r="A138" s="566"/>
      <c r="B138" s="566"/>
      <c r="C138" s="566"/>
      <c r="D138" s="566"/>
      <c r="E138" s="566"/>
      <c r="F138" s="566"/>
      <c r="G138" s="566"/>
      <c r="H138" s="566"/>
      <c r="I138" s="566"/>
      <c r="J138" s="566"/>
      <c r="K138" s="566"/>
      <c r="L138" s="566"/>
      <c r="M138" s="566"/>
      <c r="N138" s="566"/>
      <c r="O138" s="566"/>
      <c r="P138" s="566"/>
      <c r="Q138" s="566"/>
      <c r="R138" s="566"/>
      <c r="S138" s="566"/>
      <c r="T138" s="566"/>
      <c r="U138" s="565"/>
      <c r="V138" s="565"/>
      <c r="W138" s="565"/>
      <c r="X138" s="565"/>
      <c r="Y138" s="565"/>
      <c r="Z138" s="565"/>
      <c r="AA138" s="565"/>
      <c r="AB138" s="565"/>
    </row>
    <row r="139" spans="1:28" s="535" customFormat="1" x14ac:dyDescent="0.15">
      <c r="A139" s="566"/>
      <c r="B139" s="566"/>
      <c r="C139" s="566"/>
      <c r="D139" s="566"/>
      <c r="E139" s="566"/>
      <c r="F139" s="566"/>
      <c r="G139" s="566"/>
      <c r="H139" s="566"/>
      <c r="I139" s="566"/>
      <c r="J139" s="566"/>
      <c r="K139" s="566"/>
      <c r="L139" s="566"/>
      <c r="M139" s="566"/>
      <c r="N139" s="566"/>
      <c r="O139" s="566"/>
      <c r="P139" s="566"/>
      <c r="Q139" s="566"/>
      <c r="R139" s="566"/>
      <c r="S139" s="566"/>
      <c r="T139" s="566"/>
      <c r="U139" s="565"/>
      <c r="V139" s="565"/>
      <c r="W139" s="565"/>
      <c r="X139" s="565"/>
      <c r="Y139" s="565"/>
      <c r="Z139" s="565"/>
      <c r="AA139" s="565"/>
      <c r="AB139" s="565"/>
    </row>
    <row r="140" spans="1:28" s="535" customFormat="1" ht="16" x14ac:dyDescent="0.2">
      <c r="A140" s="567"/>
      <c r="B140" s="566"/>
      <c r="C140" s="566"/>
      <c r="D140" s="566"/>
      <c r="E140" s="566"/>
      <c r="F140" s="566"/>
      <c r="G140" s="566"/>
      <c r="H140" s="566"/>
      <c r="I140" s="566"/>
      <c r="J140" s="566"/>
      <c r="K140" s="566"/>
      <c r="L140" s="566"/>
      <c r="M140" s="566"/>
      <c r="N140" s="566"/>
      <c r="O140" s="566"/>
      <c r="P140" s="566"/>
      <c r="Q140" s="566"/>
      <c r="R140" s="566"/>
      <c r="S140" s="566"/>
      <c r="T140" s="566"/>
      <c r="U140" s="565"/>
      <c r="V140" s="565"/>
      <c r="W140" s="565"/>
      <c r="X140" s="565"/>
      <c r="Y140" s="565"/>
      <c r="Z140" s="565"/>
      <c r="AA140" s="565"/>
      <c r="AB140" s="565"/>
    </row>
    <row r="141" spans="1:28" s="535" customFormat="1" x14ac:dyDescent="0.15">
      <c r="A141" s="568" t="s">
        <v>454</v>
      </c>
      <c r="B141" s="566"/>
      <c r="C141" s="566"/>
      <c r="D141" s="566"/>
      <c r="E141" s="566"/>
      <c r="F141" s="566"/>
      <c r="G141" s="566"/>
      <c r="H141" s="566"/>
      <c r="I141" s="566"/>
      <c r="J141" s="566"/>
      <c r="K141" s="566"/>
      <c r="L141" s="566"/>
      <c r="M141" s="566"/>
      <c r="N141" s="566"/>
      <c r="O141" s="566"/>
      <c r="P141" s="566"/>
      <c r="Q141" s="566"/>
      <c r="R141" s="566"/>
      <c r="S141" s="566"/>
      <c r="T141" s="566"/>
      <c r="U141" s="565"/>
      <c r="V141" s="565"/>
      <c r="W141" s="565"/>
      <c r="X141" s="565"/>
      <c r="Y141" s="565"/>
      <c r="Z141" s="565"/>
      <c r="AA141" s="565"/>
      <c r="AB141" s="565"/>
    </row>
    <row r="142" spans="1:28" s="550" customFormat="1" x14ac:dyDescent="0.15">
      <c r="A142" s="569">
        <v>0</v>
      </c>
      <c r="B142" s="569">
        <f t="shared" ref="B142:V142" si="4">B120</f>
        <v>1E-3</v>
      </c>
      <c r="C142" s="569">
        <f t="shared" si="4"/>
        <v>0.05</v>
      </c>
      <c r="D142" s="569">
        <f t="shared" si="4"/>
        <v>0.1</v>
      </c>
      <c r="E142" s="569">
        <f t="shared" si="4"/>
        <v>0.15</v>
      </c>
      <c r="F142" s="569">
        <f t="shared" si="4"/>
        <v>0.2</v>
      </c>
      <c r="G142" s="569">
        <f t="shared" si="4"/>
        <v>0.25</v>
      </c>
      <c r="H142" s="569">
        <f t="shared" si="4"/>
        <v>0.3</v>
      </c>
      <c r="I142" s="569">
        <f t="shared" si="4"/>
        <v>0.35</v>
      </c>
      <c r="J142" s="569">
        <f t="shared" si="4"/>
        <v>0.4</v>
      </c>
      <c r="K142" s="569">
        <f t="shared" si="4"/>
        <v>0.45</v>
      </c>
      <c r="L142" s="569">
        <f t="shared" si="4"/>
        <v>0.5</v>
      </c>
      <c r="M142" s="569">
        <f t="shared" si="4"/>
        <v>0.55000000000000004</v>
      </c>
      <c r="N142" s="569">
        <f t="shared" si="4"/>
        <v>0.6</v>
      </c>
      <c r="O142" s="569">
        <f t="shared" si="4"/>
        <v>0.65</v>
      </c>
      <c r="P142" s="569">
        <f t="shared" si="4"/>
        <v>0.7</v>
      </c>
      <c r="Q142" s="569">
        <f t="shared" si="4"/>
        <v>0.75</v>
      </c>
      <c r="R142" s="569">
        <f t="shared" si="4"/>
        <v>0.8</v>
      </c>
      <c r="S142" s="569">
        <f t="shared" si="4"/>
        <v>0.85</v>
      </c>
      <c r="T142" s="569">
        <f t="shared" si="4"/>
        <v>0.9</v>
      </c>
      <c r="U142" s="569">
        <f t="shared" si="4"/>
        <v>0.95</v>
      </c>
      <c r="V142" s="569">
        <f t="shared" si="4"/>
        <v>1</v>
      </c>
      <c r="W142" s="570"/>
      <c r="X142" s="570"/>
      <c r="Y142" s="570"/>
      <c r="Z142" s="570"/>
      <c r="AA142" s="570"/>
      <c r="AB142" s="570"/>
    </row>
    <row r="143" spans="1:28" s="535" customFormat="1" x14ac:dyDescent="0.15">
      <c r="A143" s="560" cm="1">
        <f t="array" ref="A143:A158">A121:A136</f>
        <v>0</v>
      </c>
      <c r="B143" s="571">
        <v>0.8495146552082008</v>
      </c>
      <c r="C143" s="571">
        <v>0.8495146552082008</v>
      </c>
      <c r="D143" s="571">
        <v>0.8495146552082008</v>
      </c>
      <c r="E143" s="571">
        <v>0.8495146552082008</v>
      </c>
      <c r="F143" s="571">
        <v>0.8495146552082008</v>
      </c>
      <c r="G143" s="571">
        <v>0.8495146552082008</v>
      </c>
      <c r="H143" s="571">
        <v>0.8495146552082008</v>
      </c>
      <c r="I143" s="571">
        <v>0.8495146552082008</v>
      </c>
      <c r="J143" s="571">
        <v>0.8495146552082008</v>
      </c>
      <c r="K143" s="571">
        <v>0.8495146552082008</v>
      </c>
      <c r="L143" s="571">
        <v>0.8495146552082008</v>
      </c>
      <c r="M143" s="571">
        <v>0.8495146552082008</v>
      </c>
      <c r="N143" s="571">
        <v>0.8495146552082008</v>
      </c>
      <c r="O143" s="571">
        <v>0.8495146552082008</v>
      </c>
      <c r="P143" s="571">
        <v>0.8495146552082008</v>
      </c>
      <c r="Q143" s="571">
        <v>0.8495146552082008</v>
      </c>
      <c r="R143" s="571">
        <v>0.8495146552082008</v>
      </c>
      <c r="S143" s="571">
        <v>0.8495146552082008</v>
      </c>
      <c r="T143" s="571">
        <v>0.8495146552082008</v>
      </c>
      <c r="U143" s="572">
        <v>0.8495146552082008</v>
      </c>
      <c r="V143" s="572">
        <v>0.8495146552082008</v>
      </c>
      <c r="W143" s="565"/>
      <c r="X143" s="565"/>
      <c r="Y143" s="565"/>
      <c r="Z143" s="565"/>
      <c r="AA143" s="565"/>
      <c r="AB143" s="565"/>
    </row>
    <row r="144" spans="1:28" s="535" customFormat="1" x14ac:dyDescent="0.15">
      <c r="A144" s="559">
        <v>5.0000000000000001E-3</v>
      </c>
      <c r="B144" s="571">
        <v>0.8495146552082008</v>
      </c>
      <c r="C144" s="571">
        <v>0.8495146552082008</v>
      </c>
      <c r="D144" s="571">
        <v>0.8495146552082008</v>
      </c>
      <c r="E144" s="571">
        <v>0.8495146552082008</v>
      </c>
      <c r="F144" s="571">
        <v>0.8495146552082008</v>
      </c>
      <c r="G144" s="571">
        <v>0.8495146552082008</v>
      </c>
      <c r="H144" s="571">
        <v>0.8495146552082008</v>
      </c>
      <c r="I144" s="571">
        <v>0.8495146552082008</v>
      </c>
      <c r="J144" s="571">
        <v>0.8495146552082008</v>
      </c>
      <c r="K144" s="571">
        <v>0.8495146552082008</v>
      </c>
      <c r="L144" s="571">
        <v>0.8495146552082008</v>
      </c>
      <c r="M144" s="571">
        <v>0.8495146552082008</v>
      </c>
      <c r="N144" s="571">
        <v>0.8495146552082008</v>
      </c>
      <c r="O144" s="571">
        <v>0.8495146552082008</v>
      </c>
      <c r="P144" s="571">
        <v>0.8495146552082008</v>
      </c>
      <c r="Q144" s="571">
        <v>0.8495146552082008</v>
      </c>
      <c r="R144" s="571">
        <v>0.8495146552082008</v>
      </c>
      <c r="S144" s="571">
        <v>0.8495146552082008</v>
      </c>
      <c r="T144" s="571">
        <v>0.8495146552082008</v>
      </c>
      <c r="U144" s="572">
        <v>0.8495146552082008</v>
      </c>
      <c r="V144" s="572">
        <v>0.8495146552082008</v>
      </c>
      <c r="W144" s="565"/>
      <c r="X144" s="565"/>
      <c r="Y144" s="565"/>
      <c r="Z144" s="565"/>
      <c r="AA144" s="565"/>
      <c r="AB144" s="565"/>
    </row>
    <row r="145" spans="1:28" s="535" customFormat="1" x14ac:dyDescent="0.15">
      <c r="A145" s="559">
        <v>0.01</v>
      </c>
      <c r="B145" s="571">
        <v>0.8495146552082008</v>
      </c>
      <c r="C145" s="571">
        <v>0.8495146552082008</v>
      </c>
      <c r="D145" s="571">
        <v>0.8495146552082008</v>
      </c>
      <c r="E145" s="571">
        <v>0.8495146552082008</v>
      </c>
      <c r="F145" s="571">
        <v>0.8495146552082008</v>
      </c>
      <c r="G145" s="571">
        <v>0.8495146552082008</v>
      </c>
      <c r="H145" s="571">
        <v>0.8495146552082008</v>
      </c>
      <c r="I145" s="571">
        <v>0.8495146552082008</v>
      </c>
      <c r="J145" s="571">
        <v>0.8495146552082008</v>
      </c>
      <c r="K145" s="571">
        <v>0.8495146552082008</v>
      </c>
      <c r="L145" s="571">
        <v>0.8495146552082008</v>
      </c>
      <c r="M145" s="571">
        <v>0.8495146552082008</v>
      </c>
      <c r="N145" s="571">
        <v>0.8495146552082008</v>
      </c>
      <c r="O145" s="571">
        <v>0.8495146552082008</v>
      </c>
      <c r="P145" s="571">
        <v>0.8495146552082008</v>
      </c>
      <c r="Q145" s="571">
        <v>0.8495146552082008</v>
      </c>
      <c r="R145" s="571">
        <v>0.8495146552082008</v>
      </c>
      <c r="S145" s="571">
        <v>0.8495146552082008</v>
      </c>
      <c r="T145" s="571">
        <v>0.8495146552082008</v>
      </c>
      <c r="U145" s="572">
        <v>0.8495146552082008</v>
      </c>
      <c r="V145" s="572">
        <v>0.8495146552082008</v>
      </c>
      <c r="W145" s="565"/>
      <c r="X145" s="565"/>
      <c r="Y145" s="565"/>
      <c r="Z145" s="565"/>
      <c r="AA145" s="565"/>
      <c r="AB145" s="565"/>
    </row>
    <row r="146" spans="1:28" s="535" customFormat="1" x14ac:dyDescent="0.15">
      <c r="A146" s="559">
        <v>1.4999999999999999E-2</v>
      </c>
      <c r="B146" s="571">
        <v>0.8495146552082008</v>
      </c>
      <c r="C146" s="571">
        <v>0.8495146552082008</v>
      </c>
      <c r="D146" s="571">
        <v>0.8495146552082008</v>
      </c>
      <c r="E146" s="571">
        <v>0.8495146552082008</v>
      </c>
      <c r="F146" s="571">
        <v>0.8495146552082008</v>
      </c>
      <c r="G146" s="571">
        <v>0.8495146552082008</v>
      </c>
      <c r="H146" s="571">
        <v>0.8495146552082008</v>
      </c>
      <c r="I146" s="571">
        <v>0.8495146552082008</v>
      </c>
      <c r="J146" s="571">
        <v>0.8495146552082008</v>
      </c>
      <c r="K146" s="571">
        <v>0.8495146552082008</v>
      </c>
      <c r="L146" s="571">
        <v>0.8495146552082008</v>
      </c>
      <c r="M146" s="571">
        <v>0.8495146552082008</v>
      </c>
      <c r="N146" s="571">
        <v>0.8495146552082008</v>
      </c>
      <c r="O146" s="571">
        <v>0.8495146552082008</v>
      </c>
      <c r="P146" s="571">
        <v>0.8495146552082008</v>
      </c>
      <c r="Q146" s="571">
        <v>0.8495146552082008</v>
      </c>
      <c r="R146" s="571">
        <v>0.8495146552082008</v>
      </c>
      <c r="S146" s="571">
        <v>0.8495146552082008</v>
      </c>
      <c r="T146" s="571">
        <v>0.8495146552082008</v>
      </c>
      <c r="U146" s="572">
        <v>0.8495146552082008</v>
      </c>
      <c r="V146" s="572">
        <v>0.8495146552082008</v>
      </c>
      <c r="W146" s="565"/>
      <c r="X146" s="565"/>
      <c r="Y146" s="565"/>
      <c r="Z146" s="565"/>
      <c r="AA146" s="565"/>
      <c r="AB146" s="565"/>
    </row>
    <row r="147" spans="1:28" s="535" customFormat="1" x14ac:dyDescent="0.15">
      <c r="A147" s="559">
        <v>0.02</v>
      </c>
      <c r="B147" s="571">
        <v>0.8495146552082008</v>
      </c>
      <c r="C147" s="571">
        <v>0.8495146552082008</v>
      </c>
      <c r="D147" s="571">
        <v>0.8495146552082008</v>
      </c>
      <c r="E147" s="571">
        <v>0.8495146552082008</v>
      </c>
      <c r="F147" s="571">
        <v>0.8495146552082008</v>
      </c>
      <c r="G147" s="571">
        <v>0.8495146552082008</v>
      </c>
      <c r="H147" s="571">
        <v>0.8495146552082008</v>
      </c>
      <c r="I147" s="571">
        <v>0.8495146552082008</v>
      </c>
      <c r="J147" s="571">
        <v>0.8495146552082008</v>
      </c>
      <c r="K147" s="571">
        <v>0.8495146552082008</v>
      </c>
      <c r="L147" s="571">
        <v>0.8495146552082008</v>
      </c>
      <c r="M147" s="571">
        <v>0.8495146552082008</v>
      </c>
      <c r="N147" s="571">
        <v>0.8495146552082008</v>
      </c>
      <c r="O147" s="571">
        <v>0.8495146552082008</v>
      </c>
      <c r="P147" s="571">
        <v>0.8495146552082008</v>
      </c>
      <c r="Q147" s="571">
        <v>0.8495146552082008</v>
      </c>
      <c r="R147" s="571">
        <v>0.8495146552082008</v>
      </c>
      <c r="S147" s="571">
        <v>0.8495146552082008</v>
      </c>
      <c r="T147" s="571">
        <v>0.8495146552082008</v>
      </c>
      <c r="U147" s="572">
        <v>0.8495146552082008</v>
      </c>
      <c r="V147" s="572">
        <v>0.8495146552082008</v>
      </c>
      <c r="W147" s="565"/>
      <c r="X147" s="565"/>
      <c r="Y147" s="565"/>
      <c r="Z147" s="565"/>
      <c r="AA147" s="565"/>
      <c r="AB147" s="565"/>
    </row>
    <row r="148" spans="1:28" s="535" customFormat="1" x14ac:dyDescent="0.15">
      <c r="A148" s="560">
        <v>2.5000000000000001E-2</v>
      </c>
      <c r="B148" s="571">
        <v>0.8495146552082008</v>
      </c>
      <c r="C148" s="571">
        <v>0.8495146552082008</v>
      </c>
      <c r="D148" s="571">
        <v>0.8495146552082008</v>
      </c>
      <c r="E148" s="571">
        <v>0.8495146552082008</v>
      </c>
      <c r="F148" s="571">
        <v>0.8495146552082008</v>
      </c>
      <c r="G148" s="571">
        <v>0.8495146552082008</v>
      </c>
      <c r="H148" s="571">
        <v>0.8495146552082008</v>
      </c>
      <c r="I148" s="571">
        <v>0.8495146552082008</v>
      </c>
      <c r="J148" s="571">
        <v>0.8495146552082008</v>
      </c>
      <c r="K148" s="571">
        <v>0.8495146552082008</v>
      </c>
      <c r="L148" s="571">
        <v>0.8495146552082008</v>
      </c>
      <c r="M148" s="571">
        <v>0.8495146552082008</v>
      </c>
      <c r="N148" s="571">
        <v>0.8495146552082008</v>
      </c>
      <c r="O148" s="571">
        <v>0.8495146552082008</v>
      </c>
      <c r="P148" s="571">
        <v>0.8495146552082008</v>
      </c>
      <c r="Q148" s="571">
        <v>0.8495146552082008</v>
      </c>
      <c r="R148" s="571">
        <v>0.8495146552082008</v>
      </c>
      <c r="S148" s="571">
        <v>0.8495146552082008</v>
      </c>
      <c r="T148" s="571">
        <v>0.8495146552082008</v>
      </c>
      <c r="U148" s="572">
        <v>0.8495146552082008</v>
      </c>
      <c r="V148" s="572">
        <v>0.8495146552082008</v>
      </c>
      <c r="W148" s="565"/>
      <c r="X148" s="565"/>
      <c r="Y148" s="565"/>
      <c r="Z148" s="565"/>
      <c r="AA148" s="565"/>
      <c r="AB148" s="565"/>
    </row>
    <row r="149" spans="1:28" s="535" customFormat="1" x14ac:dyDescent="0.15">
      <c r="A149" s="559">
        <v>0.03</v>
      </c>
      <c r="B149" s="571">
        <v>0.8495146552082008</v>
      </c>
      <c r="C149" s="571">
        <v>0.8495146552082008</v>
      </c>
      <c r="D149" s="571">
        <v>0.8495146552082008</v>
      </c>
      <c r="E149" s="571">
        <v>0.8495146552082008</v>
      </c>
      <c r="F149" s="571">
        <v>0.8495146552082008</v>
      </c>
      <c r="G149" s="571">
        <v>0.8495146552082008</v>
      </c>
      <c r="H149" s="571">
        <v>0.8495146552082008</v>
      </c>
      <c r="I149" s="571">
        <v>0.8495146552082008</v>
      </c>
      <c r="J149" s="571">
        <v>0.8495146552082008</v>
      </c>
      <c r="K149" s="571">
        <v>0.8495146552082008</v>
      </c>
      <c r="L149" s="571">
        <v>0.8495146552082008</v>
      </c>
      <c r="M149" s="571">
        <v>0.8495146552082008</v>
      </c>
      <c r="N149" s="571">
        <v>0.8495146552082008</v>
      </c>
      <c r="O149" s="571">
        <v>0.8495146552082008</v>
      </c>
      <c r="P149" s="571">
        <v>0.8495146552082008</v>
      </c>
      <c r="Q149" s="571">
        <v>0.8495146552082008</v>
      </c>
      <c r="R149" s="571">
        <v>0.8495146552082008</v>
      </c>
      <c r="S149" s="571">
        <v>0.8495146552082008</v>
      </c>
      <c r="T149" s="571">
        <v>0.8495146552082008</v>
      </c>
      <c r="U149" s="572">
        <v>0.8495146552082008</v>
      </c>
      <c r="V149" s="572">
        <v>0.8495146552082008</v>
      </c>
      <c r="W149" s="565"/>
      <c r="X149" s="565"/>
      <c r="Y149" s="565"/>
      <c r="Z149" s="565"/>
      <c r="AA149" s="565"/>
      <c r="AB149" s="565"/>
    </row>
    <row r="150" spans="1:28" s="535" customFormat="1" x14ac:dyDescent="0.15">
      <c r="A150" s="560">
        <v>3.5000000000000003E-2</v>
      </c>
      <c r="B150" s="571">
        <v>0.8495146552082008</v>
      </c>
      <c r="C150" s="571">
        <v>0.8495146552082008</v>
      </c>
      <c r="D150" s="571">
        <v>0.8495146552082008</v>
      </c>
      <c r="E150" s="571">
        <v>0.8495146552082008</v>
      </c>
      <c r="F150" s="571">
        <v>0.8495146552082008</v>
      </c>
      <c r="G150" s="571">
        <v>0.8495146552082008</v>
      </c>
      <c r="H150" s="571">
        <v>0.8495146552082008</v>
      </c>
      <c r="I150" s="571">
        <v>0.8495146552082008</v>
      </c>
      <c r="J150" s="571">
        <v>0.8495146552082008</v>
      </c>
      <c r="K150" s="571">
        <v>0.8495146552082008</v>
      </c>
      <c r="L150" s="571">
        <v>0.8495146552082008</v>
      </c>
      <c r="M150" s="571">
        <v>0.8495146552082008</v>
      </c>
      <c r="N150" s="571">
        <v>0.8495146552082008</v>
      </c>
      <c r="O150" s="571">
        <v>0.8495146552082008</v>
      </c>
      <c r="P150" s="571">
        <v>0.8495146552082008</v>
      </c>
      <c r="Q150" s="571">
        <v>0.8495146552082008</v>
      </c>
      <c r="R150" s="571">
        <v>0.8495146552082008</v>
      </c>
      <c r="S150" s="571">
        <v>0.8495146552082008</v>
      </c>
      <c r="T150" s="571">
        <v>0.8495146552082008</v>
      </c>
      <c r="U150" s="572">
        <v>0.8495146552082008</v>
      </c>
      <c r="V150" s="572">
        <v>0.8495146552082008</v>
      </c>
      <c r="W150" s="565"/>
      <c r="X150" s="565"/>
      <c r="Y150" s="565"/>
      <c r="Z150" s="565"/>
      <c r="AA150" s="565"/>
      <c r="AB150" s="565"/>
    </row>
    <row r="151" spans="1:28" s="535" customFormat="1" x14ac:dyDescent="0.15">
      <c r="A151" s="559">
        <v>0.04</v>
      </c>
      <c r="B151" s="571">
        <v>0.8495146552082008</v>
      </c>
      <c r="C151" s="571">
        <v>0.8495146552082008</v>
      </c>
      <c r="D151" s="571">
        <v>0.8495146552082008</v>
      </c>
      <c r="E151" s="571">
        <v>0.8495146552082008</v>
      </c>
      <c r="F151" s="571">
        <v>0.8495146552082008</v>
      </c>
      <c r="G151" s="571">
        <v>0.8495146552082008</v>
      </c>
      <c r="H151" s="571">
        <v>0.8495146552082008</v>
      </c>
      <c r="I151" s="571">
        <v>0.8495146552082008</v>
      </c>
      <c r="J151" s="571">
        <v>0.8495146552082008</v>
      </c>
      <c r="K151" s="571">
        <v>0.8495146552082008</v>
      </c>
      <c r="L151" s="571">
        <v>0.8495146552082008</v>
      </c>
      <c r="M151" s="571">
        <v>0.8495146552082008</v>
      </c>
      <c r="N151" s="571">
        <v>0.8495146552082008</v>
      </c>
      <c r="O151" s="571">
        <v>0.8495146552082008</v>
      </c>
      <c r="P151" s="571">
        <v>0.8495146552082008</v>
      </c>
      <c r="Q151" s="571">
        <v>0.8495146552082008</v>
      </c>
      <c r="R151" s="571">
        <v>0.8495146552082008</v>
      </c>
      <c r="S151" s="571">
        <v>0.8495146552082008</v>
      </c>
      <c r="T151" s="571">
        <v>0.8495146552082008</v>
      </c>
      <c r="U151" s="572">
        <v>0.8495146552082008</v>
      </c>
      <c r="V151" s="572">
        <v>0.8495146552082008</v>
      </c>
      <c r="W151" s="565"/>
      <c r="X151" s="565"/>
      <c r="Y151" s="565"/>
      <c r="Z151" s="565"/>
      <c r="AA151" s="565"/>
      <c r="AB151" s="565"/>
    </row>
    <row r="152" spans="1:28" s="535" customFormat="1" x14ac:dyDescent="0.15">
      <c r="A152" s="560">
        <v>4.4999999999999998E-2</v>
      </c>
      <c r="B152" s="571">
        <v>0.8495146552082008</v>
      </c>
      <c r="C152" s="571">
        <v>0.8495146552082008</v>
      </c>
      <c r="D152" s="571">
        <v>0.8495146552082008</v>
      </c>
      <c r="E152" s="571">
        <v>0.8495146552082008</v>
      </c>
      <c r="F152" s="571">
        <v>0.8495146552082008</v>
      </c>
      <c r="G152" s="571">
        <v>0.8495146552082008</v>
      </c>
      <c r="H152" s="571">
        <v>0.8495146552082008</v>
      </c>
      <c r="I152" s="571">
        <v>0.8495146552082008</v>
      </c>
      <c r="J152" s="571">
        <v>0.8495146552082008</v>
      </c>
      <c r="K152" s="571">
        <v>0.8495146552082008</v>
      </c>
      <c r="L152" s="571">
        <v>0.8495146552082008</v>
      </c>
      <c r="M152" s="571">
        <v>0.8495146552082008</v>
      </c>
      <c r="N152" s="571">
        <v>0.8495146552082008</v>
      </c>
      <c r="O152" s="571">
        <v>0.8495146552082008</v>
      </c>
      <c r="P152" s="571">
        <v>0.8495146552082008</v>
      </c>
      <c r="Q152" s="571">
        <v>0.8495146552082008</v>
      </c>
      <c r="R152" s="571">
        <v>0.8495146552082008</v>
      </c>
      <c r="S152" s="571">
        <v>0.8495146552082008</v>
      </c>
      <c r="T152" s="571">
        <v>0.8495146552082008</v>
      </c>
      <c r="U152" s="572">
        <v>0.8495146552082008</v>
      </c>
      <c r="V152" s="572">
        <v>0.8495146552082008</v>
      </c>
      <c r="W152" s="565"/>
      <c r="X152" s="565"/>
      <c r="Y152" s="565"/>
      <c r="Z152" s="565"/>
      <c r="AA152" s="565"/>
      <c r="AB152" s="565"/>
    </row>
    <row r="153" spans="1:28" s="535" customFormat="1" x14ac:dyDescent="0.15">
      <c r="A153" s="559">
        <v>0.05</v>
      </c>
      <c r="B153" s="571">
        <v>0.8495146552082008</v>
      </c>
      <c r="C153" s="571">
        <v>0.8495146552082008</v>
      </c>
      <c r="D153" s="571">
        <v>0.8495146552082008</v>
      </c>
      <c r="E153" s="571">
        <v>0.8495146552082008</v>
      </c>
      <c r="F153" s="571">
        <v>0.8495146552082008</v>
      </c>
      <c r="G153" s="571">
        <v>0.8495146552082008</v>
      </c>
      <c r="H153" s="571">
        <v>0.8495146552082008</v>
      </c>
      <c r="I153" s="571">
        <v>0.8495146552082008</v>
      </c>
      <c r="J153" s="571">
        <v>0.8495146552082008</v>
      </c>
      <c r="K153" s="571">
        <v>0.8495146552082008</v>
      </c>
      <c r="L153" s="571">
        <v>0.8495146552082008</v>
      </c>
      <c r="M153" s="571">
        <v>0.8495146552082008</v>
      </c>
      <c r="N153" s="571">
        <v>0.8495146552082008</v>
      </c>
      <c r="O153" s="571">
        <v>0.8495146552082008</v>
      </c>
      <c r="P153" s="571">
        <v>0.8495146552082008</v>
      </c>
      <c r="Q153" s="571">
        <v>0.8495146552082008</v>
      </c>
      <c r="R153" s="571">
        <v>0.8495146552082008</v>
      </c>
      <c r="S153" s="571">
        <v>0.8495146552082008</v>
      </c>
      <c r="T153" s="571">
        <v>0.8495146552082008</v>
      </c>
      <c r="U153" s="572">
        <v>0.8495146552082008</v>
      </c>
      <c r="V153" s="572">
        <v>0.8495146552082008</v>
      </c>
      <c r="W153" s="565"/>
      <c r="X153" s="565"/>
      <c r="Y153" s="565"/>
      <c r="Z153" s="565"/>
      <c r="AA153" s="565"/>
      <c r="AB153" s="565"/>
    </row>
    <row r="154" spans="1:28" s="535" customFormat="1" x14ac:dyDescent="0.15">
      <c r="A154" s="560">
        <v>5.5E-2</v>
      </c>
      <c r="B154" s="571">
        <v>0.8495146552082008</v>
      </c>
      <c r="C154" s="571">
        <v>0.8495146552082008</v>
      </c>
      <c r="D154" s="571">
        <v>0.8495146552082008</v>
      </c>
      <c r="E154" s="571">
        <v>0.8495146552082008</v>
      </c>
      <c r="F154" s="571">
        <v>0.8495146552082008</v>
      </c>
      <c r="G154" s="571">
        <v>0.8495146552082008</v>
      </c>
      <c r="H154" s="571">
        <v>0.8495146552082008</v>
      </c>
      <c r="I154" s="571">
        <v>0.8495146552082008</v>
      </c>
      <c r="J154" s="571">
        <v>0.8495146552082008</v>
      </c>
      <c r="K154" s="571">
        <v>0.8495146552082008</v>
      </c>
      <c r="L154" s="571">
        <v>0.8495146552082008</v>
      </c>
      <c r="M154" s="571">
        <v>0.8495146552082008</v>
      </c>
      <c r="N154" s="571">
        <v>0.8495146552082008</v>
      </c>
      <c r="O154" s="571">
        <v>0.8495146552082008</v>
      </c>
      <c r="P154" s="571">
        <v>0.8495146552082008</v>
      </c>
      <c r="Q154" s="571">
        <v>0.8495146552082008</v>
      </c>
      <c r="R154" s="571">
        <v>0.8495146552082008</v>
      </c>
      <c r="S154" s="571">
        <v>0.8495146552082008</v>
      </c>
      <c r="T154" s="571">
        <v>0.8495146552082008</v>
      </c>
      <c r="U154" s="572">
        <v>0.8495146552082008</v>
      </c>
      <c r="V154" s="572">
        <v>0.8495146552082008</v>
      </c>
      <c r="W154" s="565"/>
      <c r="X154" s="565"/>
      <c r="Y154" s="565"/>
      <c r="Z154" s="565"/>
      <c r="AA154" s="565"/>
      <c r="AB154" s="565"/>
    </row>
    <row r="155" spans="1:28" s="535" customFormat="1" x14ac:dyDescent="0.15">
      <c r="A155" s="559">
        <v>0.06</v>
      </c>
      <c r="B155" s="571">
        <v>0.8495146552082008</v>
      </c>
      <c r="C155" s="571">
        <v>0.8495146552082008</v>
      </c>
      <c r="D155" s="571">
        <v>0.8495146552082008</v>
      </c>
      <c r="E155" s="571">
        <v>0.8495146552082008</v>
      </c>
      <c r="F155" s="571">
        <v>0.8495146552082008</v>
      </c>
      <c r="G155" s="571">
        <v>0.8495146552082008</v>
      </c>
      <c r="H155" s="571">
        <v>0.8495146552082008</v>
      </c>
      <c r="I155" s="571">
        <v>0.8495146552082008</v>
      </c>
      <c r="J155" s="571">
        <v>0.8495146552082008</v>
      </c>
      <c r="K155" s="571">
        <v>0.8495146552082008</v>
      </c>
      <c r="L155" s="571">
        <v>0.8495146552082008</v>
      </c>
      <c r="M155" s="571">
        <v>0.8495146552082008</v>
      </c>
      <c r="N155" s="571">
        <v>0.8495146552082008</v>
      </c>
      <c r="O155" s="571">
        <v>0.8495146552082008</v>
      </c>
      <c r="P155" s="571">
        <v>0.8495146552082008</v>
      </c>
      <c r="Q155" s="571">
        <v>0.8495146552082008</v>
      </c>
      <c r="R155" s="571">
        <v>0.8495146552082008</v>
      </c>
      <c r="S155" s="571">
        <v>0.8495146552082008</v>
      </c>
      <c r="T155" s="571">
        <v>0.8495146552082008</v>
      </c>
      <c r="U155" s="572">
        <v>0.8495146552082008</v>
      </c>
      <c r="V155" s="572">
        <v>0.8495146552082008</v>
      </c>
      <c r="W155" s="565"/>
      <c r="X155" s="565"/>
      <c r="Y155" s="565"/>
      <c r="Z155" s="565"/>
      <c r="AA155" s="565"/>
      <c r="AB155" s="565"/>
    </row>
    <row r="156" spans="1:28" s="535" customFormat="1" x14ac:dyDescent="0.15">
      <c r="A156" s="560">
        <v>0</v>
      </c>
      <c r="B156" s="571">
        <v>3.9884430983276988E-3</v>
      </c>
      <c r="C156" s="571">
        <v>0.19942215491638493</v>
      </c>
      <c r="D156" s="571">
        <v>0.39884430983276986</v>
      </c>
      <c r="E156" s="571">
        <v>0.59826646474915479</v>
      </c>
      <c r="F156" s="571">
        <v>0.79768861966553972</v>
      </c>
      <c r="G156" s="571">
        <v>0.99711077458192465</v>
      </c>
      <c r="H156" s="571">
        <v>1.1965329294983096</v>
      </c>
      <c r="I156" s="571">
        <v>1.3959550844146942</v>
      </c>
      <c r="J156" s="571">
        <v>1.5953772393310794</v>
      </c>
      <c r="K156" s="571">
        <v>1.7947993942474645</v>
      </c>
      <c r="L156" s="571">
        <v>1.9942215491638493</v>
      </c>
      <c r="M156" s="571">
        <v>2.1936437040802343</v>
      </c>
      <c r="N156" s="571">
        <v>2.3930658589966192</v>
      </c>
      <c r="O156" s="571">
        <v>2.592488013913004</v>
      </c>
      <c r="P156" s="571">
        <v>2.7919101688293884</v>
      </c>
      <c r="Q156" s="571">
        <v>2.9913323237457741</v>
      </c>
      <c r="R156" s="571">
        <v>3.1907544786621589</v>
      </c>
      <c r="S156" s="571">
        <v>3.3901766335785433</v>
      </c>
      <c r="T156" s="571">
        <v>3.589598788494929</v>
      </c>
      <c r="U156" s="572">
        <v>3.7890209434113133</v>
      </c>
      <c r="V156" s="572">
        <v>3.9884430983276986</v>
      </c>
      <c r="W156" s="565"/>
      <c r="X156" s="565"/>
      <c r="Y156" s="565"/>
      <c r="Z156" s="565"/>
      <c r="AA156" s="565"/>
      <c r="AB156" s="565"/>
    </row>
    <row r="157" spans="1:28" s="535" customFormat="1" x14ac:dyDescent="0.15">
      <c r="A157" s="559">
        <v>0</v>
      </c>
      <c r="B157" s="571">
        <v>4.9446062055608642E-3</v>
      </c>
      <c r="C157" s="571">
        <v>0.24723031027804321</v>
      </c>
      <c r="D157" s="571">
        <v>0.49446062055608642</v>
      </c>
      <c r="E157" s="571">
        <v>0.74169093083412951</v>
      </c>
      <c r="F157" s="571">
        <v>0.98892124111217283</v>
      </c>
      <c r="G157" s="571">
        <v>1.2361515513902159</v>
      </c>
      <c r="H157" s="571">
        <v>1.483381861668259</v>
      </c>
      <c r="I157" s="571">
        <v>1.7306121719463023</v>
      </c>
      <c r="J157" s="571">
        <v>1.9778424822243457</v>
      </c>
      <c r="K157" s="571">
        <v>2.2250727925023885</v>
      </c>
      <c r="L157" s="571">
        <v>2.4723031027804319</v>
      </c>
      <c r="M157" s="571">
        <v>2.7195334130584752</v>
      </c>
      <c r="N157" s="571">
        <v>2.9667637233365181</v>
      </c>
      <c r="O157" s="571">
        <v>3.2139940336145614</v>
      </c>
      <c r="P157" s="571">
        <v>3.4612243438926047</v>
      </c>
      <c r="Q157" s="571">
        <v>3.7084546541706476</v>
      </c>
      <c r="R157" s="571">
        <v>3.9556849644486913</v>
      </c>
      <c r="S157" s="571">
        <v>4.2029152747267347</v>
      </c>
      <c r="T157" s="571">
        <v>4.4501455850047771</v>
      </c>
      <c r="U157" s="572">
        <v>4.6973758952828204</v>
      </c>
      <c r="V157" s="572">
        <v>4.9446062055608637</v>
      </c>
      <c r="W157" s="565"/>
      <c r="X157" s="565"/>
      <c r="Y157" s="565"/>
      <c r="Z157" s="565"/>
      <c r="AA157" s="565"/>
      <c r="AB157" s="565"/>
    </row>
    <row r="158" spans="1:28" s="535" customFormat="1" x14ac:dyDescent="0.15">
      <c r="A158" s="560">
        <v>0</v>
      </c>
      <c r="B158" s="571">
        <v>6.0137060700031523E-3</v>
      </c>
      <c r="C158" s="571">
        <v>0.30068530350015765</v>
      </c>
      <c r="D158" s="571">
        <v>0.6013706070003153</v>
      </c>
      <c r="E158" s="571">
        <v>0.90205591050047274</v>
      </c>
      <c r="F158" s="571">
        <v>1.2027412140006306</v>
      </c>
      <c r="G158" s="571">
        <v>1.5034265175007882</v>
      </c>
      <c r="H158" s="571">
        <v>1.8041118210009455</v>
      </c>
      <c r="I158" s="571">
        <v>2.1047971245011032</v>
      </c>
      <c r="J158" s="571">
        <v>2.4054824280012612</v>
      </c>
      <c r="K158" s="571">
        <v>2.7061677315014183</v>
      </c>
      <c r="L158" s="571">
        <v>3.0068530350015763</v>
      </c>
      <c r="M158" s="571">
        <v>3.3075383385017338</v>
      </c>
      <c r="N158" s="571">
        <v>3.6082236420018909</v>
      </c>
      <c r="O158" s="571">
        <v>3.9089089455020494</v>
      </c>
      <c r="P158" s="571">
        <v>4.2095942490022065</v>
      </c>
      <c r="Q158" s="571">
        <v>4.5102795525023636</v>
      </c>
      <c r="R158" s="571">
        <v>4.8109648560025224</v>
      </c>
      <c r="S158" s="571">
        <v>5.1116501595026795</v>
      </c>
      <c r="T158" s="571">
        <v>5.4123354630028366</v>
      </c>
      <c r="U158" s="572">
        <v>5.7130207665029946</v>
      </c>
      <c r="V158" s="572">
        <v>6.0137060700031526</v>
      </c>
      <c r="W158" s="565"/>
      <c r="X158" s="565"/>
      <c r="Y158" s="565"/>
      <c r="Z158" s="565"/>
      <c r="AA158" s="565"/>
      <c r="AB158" s="565"/>
    </row>
    <row r="159" spans="1:28" s="400" customFormat="1" x14ac:dyDescent="0.15">
      <c r="A159" s="512"/>
      <c r="B159" s="513"/>
      <c r="C159" s="513"/>
      <c r="D159" s="513"/>
      <c r="E159" s="513"/>
      <c r="F159" s="513"/>
      <c r="G159" s="513"/>
      <c r="H159" s="513"/>
      <c r="I159" s="513"/>
      <c r="J159" s="513"/>
      <c r="K159" s="513"/>
      <c r="L159" s="513"/>
      <c r="M159" s="513"/>
      <c r="N159" s="513"/>
      <c r="O159" s="513"/>
      <c r="P159" s="513"/>
      <c r="Q159" s="513"/>
      <c r="R159" s="513"/>
      <c r="S159" s="513"/>
      <c r="T159" s="513"/>
      <c r="U159" s="513"/>
    </row>
    <row r="161" spans="1:7" x14ac:dyDescent="0.15">
      <c r="A161" s="573" t="s">
        <v>490</v>
      </c>
      <c r="B161" s="574"/>
      <c r="C161" s="22"/>
      <c r="D161" s="22"/>
      <c r="E161" s="22"/>
      <c r="F161" s="22"/>
      <c r="G161" s="390"/>
    </row>
    <row r="162" spans="1:7" x14ac:dyDescent="0.15">
      <c r="A162" s="405"/>
      <c r="B162" s="405"/>
      <c r="C162" s="575"/>
      <c r="D162" s="575"/>
      <c r="E162" s="575"/>
      <c r="F162" s="576"/>
      <c r="G162" s="187"/>
    </row>
    <row r="163" spans="1:7" ht="14" x14ac:dyDescent="0.15">
      <c r="A163" s="405"/>
      <c r="B163" s="405" t="s">
        <v>491</v>
      </c>
      <c r="C163" s="577" t="s">
        <v>492</v>
      </c>
      <c r="D163" s="578" t="s">
        <v>480</v>
      </c>
      <c r="E163" s="575" t="s">
        <v>487</v>
      </c>
      <c r="F163" s="575" t="s">
        <v>488</v>
      </c>
      <c r="G163" s="187"/>
    </row>
    <row r="164" spans="1:7" x14ac:dyDescent="0.15">
      <c r="A164" s="579" t="s">
        <v>479</v>
      </c>
      <c r="B164" s="580">
        <f t="shared" ref="B164:B170" si="5">D164-E164</f>
        <v>-77.63</v>
      </c>
      <c r="C164" s="581">
        <f t="shared" ref="C164:C170" si="6">F164-E164</f>
        <v>77.639999999999986</v>
      </c>
      <c r="D164" s="582">
        <v>469.01</v>
      </c>
      <c r="E164" s="582">
        <v>546.64</v>
      </c>
      <c r="F164" s="582">
        <v>624.28</v>
      </c>
      <c r="G164" s="187"/>
    </row>
    <row r="165" spans="1:7" x14ac:dyDescent="0.15">
      <c r="A165" s="583" t="s">
        <v>484</v>
      </c>
      <c r="B165" s="580">
        <f t="shared" si="5"/>
        <v>-52.649999999999977</v>
      </c>
      <c r="C165" s="581">
        <f t="shared" si="6"/>
        <v>52.659999999999968</v>
      </c>
      <c r="D165" s="584">
        <v>493.99</v>
      </c>
      <c r="E165" s="582">
        <v>546.64</v>
      </c>
      <c r="F165" s="582">
        <v>599.29999999999995</v>
      </c>
      <c r="G165" s="187"/>
    </row>
    <row r="166" spans="1:7" x14ac:dyDescent="0.15">
      <c r="A166" s="579" t="s">
        <v>482</v>
      </c>
      <c r="B166" s="580">
        <f t="shared" si="5"/>
        <v>-42.409999999999968</v>
      </c>
      <c r="C166" s="581">
        <f t="shared" si="6"/>
        <v>42.419999999999959</v>
      </c>
      <c r="D166" s="582">
        <v>504.23</v>
      </c>
      <c r="E166" s="582">
        <v>546.64</v>
      </c>
      <c r="F166" s="582">
        <v>589.05999999999995</v>
      </c>
      <c r="G166" s="187"/>
    </row>
    <row r="167" spans="1:7" x14ac:dyDescent="0.15">
      <c r="A167" s="583" t="s">
        <v>485</v>
      </c>
      <c r="B167" s="580">
        <f t="shared" si="5"/>
        <v>-6.2400000000000091</v>
      </c>
      <c r="C167" s="581">
        <f t="shared" si="6"/>
        <v>18.730000000000018</v>
      </c>
      <c r="D167" s="584">
        <v>540.4</v>
      </c>
      <c r="E167" s="582">
        <v>546.64</v>
      </c>
      <c r="F167" s="582">
        <v>565.37</v>
      </c>
      <c r="G167" s="187"/>
    </row>
    <row r="168" spans="1:7" x14ac:dyDescent="0.15">
      <c r="A168" s="585" t="s">
        <v>483</v>
      </c>
      <c r="B168" s="580">
        <f t="shared" si="5"/>
        <v>-9.3600000000000136</v>
      </c>
      <c r="C168" s="581">
        <f t="shared" si="6"/>
        <v>9.3700000000000045</v>
      </c>
      <c r="D168" s="582">
        <v>537.28</v>
      </c>
      <c r="E168" s="582">
        <v>546.64</v>
      </c>
      <c r="F168" s="582">
        <v>556.01</v>
      </c>
      <c r="G168" s="187"/>
    </row>
    <row r="169" spans="1:7" x14ac:dyDescent="0.15">
      <c r="A169" s="586" t="s">
        <v>486</v>
      </c>
      <c r="B169" s="580">
        <f t="shared" si="5"/>
        <v>-4.4800000000000182</v>
      </c>
      <c r="C169" s="581">
        <f t="shared" si="6"/>
        <v>4.4900000000000091</v>
      </c>
      <c r="D169" s="582">
        <v>542.16</v>
      </c>
      <c r="E169" s="582">
        <v>546.64</v>
      </c>
      <c r="F169" s="582">
        <v>551.13</v>
      </c>
      <c r="G169" s="187"/>
    </row>
    <row r="170" spans="1:7" x14ac:dyDescent="0.15">
      <c r="A170" s="586" t="s">
        <v>481</v>
      </c>
      <c r="B170" s="580">
        <f t="shared" si="5"/>
        <v>-3.8600000000000136</v>
      </c>
      <c r="C170" s="581">
        <f t="shared" si="6"/>
        <v>3.8700000000000045</v>
      </c>
      <c r="D170" s="582">
        <v>542.78</v>
      </c>
      <c r="E170" s="582">
        <v>546.64</v>
      </c>
      <c r="F170" s="582">
        <v>550.51</v>
      </c>
      <c r="G170" s="187"/>
    </row>
    <row r="171" spans="1:7" x14ac:dyDescent="0.15">
      <c r="A171" s="556"/>
      <c r="B171" s="100"/>
      <c r="C171" s="187"/>
      <c r="D171" s="187"/>
      <c r="E171" s="187"/>
      <c r="F171" s="198"/>
      <c r="G171" s="187"/>
    </row>
    <row r="172" spans="1:7" x14ac:dyDescent="0.15">
      <c r="A172" s="100"/>
      <c r="B172" s="100"/>
      <c r="C172" s="187"/>
      <c r="D172" s="187"/>
      <c r="E172" s="187"/>
      <c r="F172" s="198"/>
      <c r="G172" s="187"/>
    </row>
    <row r="173" spans="1:7" x14ac:dyDescent="0.15">
      <c r="A173" s="221"/>
      <c r="B173" s="221"/>
      <c r="C173" s="221"/>
      <c r="D173" s="221"/>
      <c r="E173" s="221"/>
      <c r="F173" s="221"/>
      <c r="G173" s="221"/>
    </row>
    <row r="174" spans="1:7" x14ac:dyDescent="0.15">
      <c r="A174" s="221"/>
      <c r="B174" s="221"/>
      <c r="C174" s="221"/>
      <c r="D174" s="221"/>
      <c r="E174" s="221"/>
      <c r="F174" s="221"/>
      <c r="G174" s="221"/>
    </row>
    <row r="175" spans="1:7" x14ac:dyDescent="0.15">
      <c r="A175" s="221"/>
      <c r="B175" s="221"/>
      <c r="C175" s="221"/>
      <c r="D175" s="221"/>
      <c r="E175" s="221"/>
      <c r="F175" s="221"/>
      <c r="G175" s="221"/>
    </row>
    <row r="176" spans="1:7" x14ac:dyDescent="0.15">
      <c r="A176" s="221"/>
      <c r="B176" s="221"/>
      <c r="C176" s="221"/>
      <c r="D176" s="221"/>
      <c r="E176" s="221"/>
      <c r="F176" s="221"/>
      <c r="G176" s="221"/>
    </row>
    <row r="177" spans="1:7" x14ac:dyDescent="0.15">
      <c r="A177" s="221"/>
      <c r="B177" s="221"/>
      <c r="C177" s="221"/>
      <c r="D177" s="221"/>
      <c r="E177" s="221"/>
      <c r="F177" s="221"/>
      <c r="G177" s="221"/>
    </row>
    <row r="178" spans="1:7" x14ac:dyDescent="0.15">
      <c r="A178" s="221"/>
      <c r="B178" s="221"/>
      <c r="C178" s="221"/>
      <c r="D178" s="221"/>
      <c r="E178" s="221"/>
      <c r="F178" s="221"/>
      <c r="G178" s="221"/>
    </row>
    <row r="179" spans="1:7" x14ac:dyDescent="0.15">
      <c r="A179" s="221"/>
      <c r="B179" s="221"/>
      <c r="C179" s="221"/>
      <c r="D179" s="221"/>
      <c r="E179" s="221"/>
      <c r="F179" s="221"/>
      <c r="G179" s="221"/>
    </row>
    <row r="180" spans="1:7" x14ac:dyDescent="0.15">
      <c r="A180" s="221"/>
      <c r="B180" s="221"/>
      <c r="C180" s="221"/>
      <c r="D180" s="221"/>
      <c r="E180" s="221"/>
      <c r="F180" s="221"/>
      <c r="G180" s="221"/>
    </row>
    <row r="181" spans="1:7" x14ac:dyDescent="0.15">
      <c r="A181" s="94"/>
      <c r="B181" s="94"/>
      <c r="C181" s="221"/>
      <c r="D181" s="221"/>
      <c r="E181" s="221"/>
      <c r="F181" s="221"/>
      <c r="G181" s="221"/>
    </row>
    <row r="182" spans="1:7" x14ac:dyDescent="0.15">
      <c r="A182" s="94"/>
      <c r="B182" s="94"/>
      <c r="C182" s="221"/>
      <c r="D182" s="221"/>
      <c r="E182" s="221"/>
      <c r="F182" s="221"/>
      <c r="G182" s="221"/>
    </row>
    <row r="183" spans="1:7" x14ac:dyDescent="0.15">
      <c r="A183" s="94"/>
      <c r="B183" s="94"/>
      <c r="C183" s="221"/>
      <c r="D183" s="221"/>
      <c r="E183" s="221"/>
      <c r="F183" s="221"/>
      <c r="G183" s="221"/>
    </row>
    <row r="184" spans="1:7" x14ac:dyDescent="0.15">
      <c r="A184" s="94"/>
      <c r="B184" s="94"/>
      <c r="C184" s="221"/>
      <c r="D184" s="221"/>
      <c r="E184" s="221"/>
      <c r="F184" s="221"/>
      <c r="G184" s="221"/>
    </row>
    <row r="185" spans="1:7" x14ac:dyDescent="0.15">
      <c r="A185" s="225"/>
      <c r="B185" s="225"/>
      <c r="C185" s="221"/>
      <c r="D185" s="221"/>
      <c r="E185" s="221"/>
      <c r="F185" s="221"/>
      <c r="G185" s="221"/>
    </row>
    <row r="186" spans="1:7" x14ac:dyDescent="0.15">
      <c r="A186" s="93"/>
      <c r="B186" s="225"/>
      <c r="C186" s="221"/>
      <c r="D186" s="221"/>
      <c r="E186" s="221"/>
      <c r="F186" s="221"/>
      <c r="G186" s="221"/>
    </row>
    <row r="187" spans="1:7" x14ac:dyDescent="0.15">
      <c r="A187" s="93"/>
      <c r="B187" s="225"/>
      <c r="C187" s="221"/>
      <c r="D187" s="221"/>
      <c r="E187" s="221"/>
      <c r="F187" s="221"/>
      <c r="G187" s="221"/>
    </row>
    <row r="188" spans="1:7" x14ac:dyDescent="0.15">
      <c r="A188" s="93"/>
      <c r="B188" s="225"/>
      <c r="C188" s="221"/>
      <c r="D188" s="221"/>
      <c r="E188" s="221"/>
      <c r="F188" s="221"/>
      <c r="G188" s="221"/>
    </row>
    <row r="189" spans="1:7" x14ac:dyDescent="0.15">
      <c r="A189" s="93"/>
      <c r="B189" s="95"/>
      <c r="C189" s="221"/>
      <c r="D189" s="221"/>
      <c r="E189" s="221"/>
      <c r="F189" s="221"/>
      <c r="G189" s="221"/>
    </row>
    <row r="190" spans="1:7" x14ac:dyDescent="0.15">
      <c r="A190" s="93"/>
      <c r="B190" s="93"/>
      <c r="C190" s="221"/>
      <c r="D190" s="221"/>
      <c r="E190" s="221"/>
      <c r="F190" s="221"/>
      <c r="G190" s="221"/>
    </row>
    <row r="191" spans="1:7" x14ac:dyDescent="0.15">
      <c r="A191" s="93"/>
      <c r="B191" s="93"/>
      <c r="C191" s="221"/>
      <c r="D191" s="221"/>
      <c r="E191" s="221"/>
      <c r="F191" s="221"/>
      <c r="G191" s="221"/>
    </row>
    <row r="192" spans="1:7" x14ac:dyDescent="0.15">
      <c r="A192" s="93"/>
      <c r="B192" s="93"/>
      <c r="C192" s="221"/>
      <c r="D192" s="221"/>
      <c r="E192" s="221"/>
      <c r="F192" s="221"/>
      <c r="G192" s="221"/>
    </row>
    <row r="193" spans="1:7" x14ac:dyDescent="0.15">
      <c r="A193" s="3"/>
      <c r="B193" s="93"/>
      <c r="C193" s="221"/>
      <c r="D193" s="221"/>
      <c r="E193" s="221"/>
      <c r="F193" s="221"/>
      <c r="G193" s="221"/>
    </row>
    <row r="194" spans="1:7" x14ac:dyDescent="0.15">
      <c r="A194" s="3"/>
      <c r="B194" s="93"/>
      <c r="C194" s="221"/>
      <c r="D194" s="221"/>
      <c r="E194" s="221"/>
      <c r="F194" s="221"/>
      <c r="G194" s="221"/>
    </row>
    <row r="195" spans="1:7" x14ac:dyDescent="0.15">
      <c r="A195" s="93"/>
      <c r="B195" s="93"/>
      <c r="C195" s="221"/>
      <c r="D195" s="221"/>
      <c r="E195" s="221"/>
      <c r="F195" s="221"/>
      <c r="G195" s="221"/>
    </row>
    <row r="196" spans="1:7" x14ac:dyDescent="0.15">
      <c r="A196" s="221"/>
      <c r="B196" s="221"/>
      <c r="C196" s="221"/>
      <c r="D196" s="221"/>
      <c r="E196" s="221"/>
      <c r="F196" s="221"/>
      <c r="G196" s="221"/>
    </row>
    <row r="197" spans="1:7" x14ac:dyDescent="0.15">
      <c r="A197" s="221"/>
      <c r="B197" s="221"/>
      <c r="C197" s="221"/>
      <c r="D197" s="221"/>
      <c r="E197" s="221"/>
      <c r="F197" s="221"/>
      <c r="G197" s="221"/>
    </row>
    <row r="198" spans="1:7" x14ac:dyDescent="0.15">
      <c r="A198" s="221"/>
      <c r="B198" s="221"/>
      <c r="C198" s="221"/>
      <c r="D198" s="221"/>
      <c r="E198" s="221"/>
      <c r="F198" s="221"/>
      <c r="G198" s="221"/>
    </row>
    <row r="199" spans="1:7" x14ac:dyDescent="0.15">
      <c r="A199" s="221"/>
      <c r="B199" s="221"/>
      <c r="C199" s="221"/>
      <c r="D199" s="221"/>
      <c r="E199" s="221"/>
      <c r="F199" s="221"/>
      <c r="G199" s="221"/>
    </row>
    <row r="200" spans="1:7" x14ac:dyDescent="0.15">
      <c r="A200" s="221"/>
      <c r="B200" s="221"/>
      <c r="C200" s="221"/>
      <c r="D200" s="221"/>
      <c r="E200" s="221"/>
      <c r="F200" s="221"/>
      <c r="G200" s="221"/>
    </row>
    <row r="201" spans="1:7" x14ac:dyDescent="0.15">
      <c r="A201" s="587" t="s">
        <v>489</v>
      </c>
      <c r="B201" s="220"/>
      <c r="C201" s="220"/>
      <c r="D201" s="220"/>
      <c r="E201" s="220"/>
      <c r="F201" s="220"/>
      <c r="G201" s="221"/>
    </row>
    <row r="202" spans="1:7" x14ac:dyDescent="0.15">
      <c r="A202" s="218"/>
      <c r="B202" s="588"/>
      <c r="C202" s="213"/>
      <c r="D202" s="589"/>
      <c r="E202" s="43"/>
      <c r="F202" s="43"/>
      <c r="G202" s="246"/>
    </row>
    <row r="203" spans="1:7" ht="14" x14ac:dyDescent="0.15">
      <c r="A203" s="588"/>
      <c r="B203" s="588" t="s">
        <v>491</v>
      </c>
      <c r="C203" s="224" t="s">
        <v>492</v>
      </c>
      <c r="D203" s="590" t="s">
        <v>480</v>
      </c>
      <c r="E203" s="213" t="s">
        <v>487</v>
      </c>
      <c r="F203" s="213" t="s">
        <v>488</v>
      </c>
      <c r="G203" s="221"/>
    </row>
    <row r="204" spans="1:7" x14ac:dyDescent="0.15">
      <c r="A204" s="591" t="s">
        <v>479</v>
      </c>
      <c r="B204" s="592">
        <f t="shared" ref="B204:B210" si="7">D204-E204</f>
        <v>-31.049999999999997</v>
      </c>
      <c r="C204" s="593">
        <f t="shared" ref="C204:C210" si="8">F204-E204</f>
        <v>31.060000000000002</v>
      </c>
      <c r="D204" s="594">
        <v>84.26</v>
      </c>
      <c r="E204" s="594">
        <v>115.31</v>
      </c>
      <c r="F204" s="594">
        <v>146.37</v>
      </c>
      <c r="G204" s="221"/>
    </row>
    <row r="205" spans="1:7" x14ac:dyDescent="0.15">
      <c r="A205" s="595" t="s">
        <v>484</v>
      </c>
      <c r="B205" s="592">
        <f t="shared" si="7"/>
        <v>-21.060000000000002</v>
      </c>
      <c r="C205" s="593">
        <f t="shared" si="8"/>
        <v>21.060000000000002</v>
      </c>
      <c r="D205" s="596">
        <v>94.25</v>
      </c>
      <c r="E205" s="594">
        <v>115.31</v>
      </c>
      <c r="F205" s="594">
        <v>136.37</v>
      </c>
      <c r="G205" s="221"/>
    </row>
    <row r="206" spans="1:7" x14ac:dyDescent="0.15">
      <c r="A206" s="591" t="s">
        <v>482</v>
      </c>
      <c r="B206" s="592">
        <f t="shared" si="7"/>
        <v>-6.7199999999999989</v>
      </c>
      <c r="C206" s="593">
        <f t="shared" si="8"/>
        <v>6.730000000000004</v>
      </c>
      <c r="D206" s="594">
        <v>108.59</v>
      </c>
      <c r="E206" s="594">
        <v>115.31</v>
      </c>
      <c r="F206" s="594">
        <v>122.04</v>
      </c>
      <c r="G206" s="221"/>
    </row>
    <row r="207" spans="1:7" x14ac:dyDescent="0.15">
      <c r="A207" s="595" t="s">
        <v>485</v>
      </c>
      <c r="B207" s="592">
        <f t="shared" si="7"/>
        <v>-0.99000000000000909</v>
      </c>
      <c r="C207" s="593">
        <f t="shared" si="8"/>
        <v>2.9699999999999989</v>
      </c>
      <c r="D207" s="594">
        <v>114.32</v>
      </c>
      <c r="E207" s="594">
        <v>115.31</v>
      </c>
      <c r="F207" s="596">
        <v>118.28</v>
      </c>
      <c r="G207" s="221"/>
    </row>
    <row r="208" spans="1:7" x14ac:dyDescent="0.15">
      <c r="A208" s="597" t="s">
        <v>483</v>
      </c>
      <c r="B208" s="592">
        <f t="shared" si="7"/>
        <v>-1.480000000000004</v>
      </c>
      <c r="C208" s="593">
        <f t="shared" si="8"/>
        <v>1.4899999999999949</v>
      </c>
      <c r="D208" s="594">
        <v>113.83</v>
      </c>
      <c r="E208" s="594">
        <v>115.31</v>
      </c>
      <c r="F208" s="594">
        <v>116.8</v>
      </c>
      <c r="G208" s="221"/>
    </row>
    <row r="209" spans="1:7" x14ac:dyDescent="0.15">
      <c r="A209" s="598" t="s">
        <v>486</v>
      </c>
      <c r="B209" s="592">
        <f t="shared" si="7"/>
        <v>-0.71000000000000796</v>
      </c>
      <c r="C209" s="593">
        <f t="shared" si="8"/>
        <v>0.70999999999999375</v>
      </c>
      <c r="D209" s="594">
        <v>114.6</v>
      </c>
      <c r="E209" s="594">
        <v>115.31</v>
      </c>
      <c r="F209" s="594">
        <v>116.02</v>
      </c>
      <c r="G209" s="246"/>
    </row>
    <row r="210" spans="1:7" x14ac:dyDescent="0.15">
      <c r="A210" s="598" t="s">
        <v>481</v>
      </c>
      <c r="B210" s="592">
        <f t="shared" si="7"/>
        <v>-0.60999999999999943</v>
      </c>
      <c r="C210" s="593">
        <f t="shared" si="8"/>
        <v>0.62000000000000455</v>
      </c>
      <c r="D210" s="594">
        <v>114.7</v>
      </c>
      <c r="E210" s="594">
        <v>115.31</v>
      </c>
      <c r="F210" s="594">
        <v>115.93</v>
      </c>
      <c r="G210" s="221"/>
    </row>
    <row r="211" spans="1:7" x14ac:dyDescent="0.15">
      <c r="A211" s="221"/>
      <c r="B211" s="221"/>
      <c r="C211" s="221"/>
      <c r="D211" s="221"/>
      <c r="E211" s="221"/>
      <c r="F211" s="221"/>
      <c r="G211" s="221"/>
    </row>
    <row r="212" spans="1:7" x14ac:dyDescent="0.15">
      <c r="A212" s="100"/>
      <c r="B212" s="93"/>
      <c r="C212" s="221"/>
      <c r="D212" s="221"/>
      <c r="E212" s="221"/>
      <c r="F212" s="221"/>
      <c r="G212" s="221"/>
    </row>
    <row r="213" spans="1:7" x14ac:dyDescent="0.15">
      <c r="A213" s="100"/>
      <c r="B213" s="206"/>
      <c r="C213" s="221"/>
      <c r="D213" s="221"/>
      <c r="E213" s="221"/>
      <c r="F213" s="221"/>
      <c r="G213" s="221"/>
    </row>
    <row r="214" spans="1:7" x14ac:dyDescent="0.15">
      <c r="A214" s="100"/>
      <c r="B214" s="93"/>
      <c r="C214" s="221"/>
      <c r="D214" s="221"/>
      <c r="E214" s="221"/>
      <c r="F214" s="221"/>
      <c r="G214" s="221"/>
    </row>
    <row r="215" spans="1:7" x14ac:dyDescent="0.15">
      <c r="A215" s="100"/>
      <c r="B215" s="93"/>
      <c r="C215" s="187"/>
      <c r="D215" s="187"/>
      <c r="E215" s="187"/>
      <c r="F215" s="187"/>
      <c r="G215" s="187"/>
    </row>
    <row r="216" spans="1:7" x14ac:dyDescent="0.15">
      <c r="A216" s="100"/>
      <c r="B216" s="206"/>
      <c r="C216" s="187"/>
      <c r="D216" s="187"/>
      <c r="E216" s="187"/>
      <c r="F216" s="187"/>
      <c r="G216" s="187"/>
    </row>
    <row r="217" spans="1:7" x14ac:dyDescent="0.15">
      <c r="A217" s="100"/>
      <c r="B217" s="206"/>
      <c r="C217" s="187"/>
      <c r="D217" s="187"/>
      <c r="E217" s="187"/>
      <c r="F217" s="187"/>
      <c r="G217" s="187"/>
    </row>
    <row r="218" spans="1:7" x14ac:dyDescent="0.15">
      <c r="A218" s="100"/>
      <c r="B218" s="100"/>
      <c r="C218" s="187"/>
      <c r="D218" s="187"/>
      <c r="E218" s="187"/>
      <c r="F218" s="187"/>
      <c r="G218" s="187"/>
    </row>
    <row r="219" spans="1:7" x14ac:dyDescent="0.15">
      <c r="A219" s="100"/>
      <c r="B219" s="100"/>
      <c r="C219" s="187"/>
      <c r="D219" s="187"/>
      <c r="E219" s="187"/>
      <c r="F219" s="187"/>
      <c r="G219" s="187"/>
    </row>
    <row r="220" spans="1:7" x14ac:dyDescent="0.15">
      <c r="A220" s="100"/>
      <c r="B220" s="100"/>
      <c r="C220" s="187"/>
      <c r="D220" s="187"/>
      <c r="E220" s="187"/>
      <c r="F220" s="198"/>
      <c r="G220" s="187"/>
    </row>
    <row r="221" spans="1:7" x14ac:dyDescent="0.15">
      <c r="A221" s="100"/>
      <c r="B221" s="106"/>
      <c r="C221" s="187"/>
      <c r="D221" s="187"/>
      <c r="E221" s="187"/>
      <c r="F221" s="198"/>
      <c r="G221" s="187"/>
    </row>
    <row r="222" spans="1:7" x14ac:dyDescent="0.15">
      <c r="A222" s="100"/>
      <c r="B222" s="100"/>
      <c r="C222" s="187"/>
      <c r="D222" s="187"/>
      <c r="E222" s="187"/>
      <c r="F222" s="198"/>
      <c r="G222" s="187"/>
    </row>
    <row r="223" spans="1:7" x14ac:dyDescent="0.15">
      <c r="A223" s="100"/>
      <c r="B223" s="100"/>
      <c r="C223" s="187"/>
      <c r="D223" s="187"/>
      <c r="E223" s="187"/>
      <c r="F223" s="198"/>
      <c r="G223" s="187"/>
    </row>
    <row r="224" spans="1:7" x14ac:dyDescent="0.15">
      <c r="A224" s="100"/>
      <c r="B224" s="100"/>
      <c r="C224" s="187"/>
      <c r="D224" s="187"/>
      <c r="E224" s="187"/>
      <c r="F224" s="198"/>
      <c r="G224" s="187"/>
    </row>
    <row r="225" spans="1:7" x14ac:dyDescent="0.15">
      <c r="A225" s="100"/>
      <c r="B225" s="100"/>
      <c r="C225" s="187"/>
      <c r="D225" s="187"/>
      <c r="E225" s="187"/>
      <c r="F225" s="198"/>
      <c r="G225" s="187"/>
    </row>
    <row r="226" spans="1:7" x14ac:dyDescent="0.15">
      <c r="A226" s="100"/>
      <c r="B226" s="100"/>
      <c r="C226" s="187"/>
      <c r="D226" s="187"/>
      <c r="E226" s="187"/>
      <c r="F226" s="198"/>
      <c r="G226" s="187"/>
    </row>
    <row r="227" spans="1:7" x14ac:dyDescent="0.15">
      <c r="A227" s="100"/>
      <c r="B227" s="100"/>
      <c r="C227" s="187"/>
      <c r="D227" s="187"/>
      <c r="E227" s="187"/>
      <c r="F227" s="198"/>
      <c r="G227" s="187"/>
    </row>
    <row r="228" spans="1:7" x14ac:dyDescent="0.15">
      <c r="A228" s="100"/>
      <c r="B228" s="100"/>
      <c r="C228" s="187"/>
      <c r="D228" s="187"/>
      <c r="E228" s="187"/>
      <c r="F228" s="198"/>
      <c r="G228" s="187"/>
    </row>
    <row r="229" spans="1:7" x14ac:dyDescent="0.15">
      <c r="A229" s="100"/>
      <c r="B229" s="100"/>
      <c r="C229" s="187"/>
      <c r="D229" s="187"/>
      <c r="E229" s="187"/>
      <c r="F229" s="198"/>
      <c r="G229" s="187"/>
    </row>
    <row r="230" spans="1:7" x14ac:dyDescent="0.15">
      <c r="A230" s="100"/>
      <c r="B230" s="100"/>
      <c r="C230" s="187"/>
      <c r="D230" s="187"/>
      <c r="E230" s="187"/>
      <c r="F230" s="198"/>
      <c r="G230" s="187"/>
    </row>
    <row r="231" spans="1:7" x14ac:dyDescent="0.15">
      <c r="A231" s="100"/>
      <c r="B231" s="100"/>
      <c r="C231" s="187"/>
      <c r="D231" s="187"/>
      <c r="E231" s="187"/>
      <c r="F231" s="198"/>
      <c r="G231" s="187"/>
    </row>
    <row r="232" spans="1:7" x14ac:dyDescent="0.15">
      <c r="A232" s="100"/>
      <c r="B232" s="100"/>
      <c r="C232" s="187"/>
      <c r="D232" s="187"/>
      <c r="E232" s="187"/>
      <c r="F232" s="198"/>
      <c r="G232" s="187"/>
    </row>
    <row r="233" spans="1:7" x14ac:dyDescent="0.15">
      <c r="A233" s="100"/>
      <c r="B233" s="100"/>
      <c r="C233" s="187"/>
      <c r="D233" s="187"/>
      <c r="E233" s="187"/>
      <c r="F233" s="198"/>
      <c r="G233" s="187"/>
    </row>
    <row r="234" spans="1:7" x14ac:dyDescent="0.15">
      <c r="A234" s="100"/>
      <c r="B234" s="100"/>
      <c r="C234" s="187"/>
      <c r="D234" s="187"/>
      <c r="E234" s="187"/>
      <c r="F234" s="198"/>
      <c r="G234" s="187"/>
    </row>
    <row r="235" spans="1:7" x14ac:dyDescent="0.15">
      <c r="A235" s="100"/>
      <c r="B235" s="100"/>
      <c r="C235" s="187"/>
      <c r="D235" s="187"/>
      <c r="E235" s="187"/>
      <c r="F235" s="198"/>
      <c r="G235" s="187"/>
    </row>
    <row r="236" spans="1:7" x14ac:dyDescent="0.15">
      <c r="A236" s="100"/>
      <c r="B236" s="100"/>
      <c r="C236" s="187"/>
      <c r="D236" s="187"/>
      <c r="E236" s="187"/>
      <c r="F236" s="198"/>
      <c r="G236" s="187"/>
    </row>
    <row r="237" spans="1:7" x14ac:dyDescent="0.15">
      <c r="A237" s="100"/>
      <c r="B237" s="100"/>
      <c r="C237" s="187"/>
      <c r="D237" s="187"/>
      <c r="E237" s="187"/>
      <c r="F237" s="198"/>
      <c r="G237" s="187"/>
    </row>
    <row r="238" spans="1:7" x14ac:dyDescent="0.15">
      <c r="A238" s="100"/>
      <c r="B238" s="100"/>
      <c r="C238" s="187"/>
      <c r="D238" s="187"/>
      <c r="E238" s="187"/>
      <c r="F238" s="198"/>
      <c r="G238" s="187"/>
    </row>
    <row r="239" spans="1:7" x14ac:dyDescent="0.15">
      <c r="A239" s="100"/>
      <c r="B239" s="100"/>
      <c r="C239" s="187"/>
      <c r="D239" s="187"/>
      <c r="E239" s="187"/>
      <c r="F239" s="198"/>
      <c r="G239" s="187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aram_Sweep">
                <anchor moveWithCells="1" sizeWithCells="1">
                  <from>
                    <xdr:col>0</xdr:col>
                    <xdr:colOff>165100</xdr:colOff>
                    <xdr:row>46</xdr:row>
                    <xdr:rowOff>101600</xdr:rowOff>
                  </from>
                  <to>
                    <xdr:col>0</xdr:col>
                    <xdr:colOff>1689100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weep_Breakdown">
                <anchor moveWithCells="1" sizeWithCells="1">
                  <from>
                    <xdr:col>0</xdr:col>
                    <xdr:colOff>101600</xdr:colOff>
                    <xdr:row>80</xdr:row>
                    <xdr:rowOff>152400</xdr:rowOff>
                  </from>
                  <to>
                    <xdr:col>0</xdr:col>
                    <xdr:colOff>1625600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weep_2D">
                <anchor moveWithCells="1" sizeWithCells="1">
                  <from>
                    <xdr:col>0</xdr:col>
                    <xdr:colOff>482600</xdr:colOff>
                    <xdr:row>108</xdr:row>
                    <xdr:rowOff>152400</xdr:rowOff>
                  </from>
                  <to>
                    <xdr:col>1</xdr:col>
                    <xdr:colOff>723900</xdr:colOff>
                    <xdr:row>111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F1F53-59C9-234E-9768-FD3D8FF3981D}">
  <sheetPr codeName="Sheet7"/>
  <dimension ref="A1:AC212"/>
  <sheetViews>
    <sheetView workbookViewId="0">
      <pane ySplit="1" topLeftCell="A2" activePane="bottomLeft" state="frozen"/>
      <selection pane="bottomLeft" activeCell="M59" sqref="M59"/>
    </sheetView>
  </sheetViews>
  <sheetFormatPr baseColWidth="10" defaultColWidth="20.83203125" defaultRowHeight="13" x14ac:dyDescent="0.15"/>
  <cols>
    <col min="1" max="16384" width="20.83203125" style="87"/>
  </cols>
  <sheetData>
    <row r="1" spans="1:26" s="385" customFormat="1" ht="27" x14ac:dyDescent="0.35">
      <c r="A1" s="383" t="s">
        <v>344</v>
      </c>
      <c r="B1" s="384">
        <f>H2_cost_infl*tons_to_kg</f>
        <v>138.15249440013105</v>
      </c>
      <c r="C1" s="383" t="s">
        <v>150</v>
      </c>
      <c r="H1" s="386"/>
    </row>
    <row r="3" spans="1:26" ht="16" x14ac:dyDescent="0.15">
      <c r="A3" s="155" t="s">
        <v>1</v>
      </c>
      <c r="B3" s="156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8"/>
      <c r="U3" s="158"/>
    </row>
    <row r="4" spans="1:26" x14ac:dyDescent="0.15">
      <c r="A4" s="88"/>
      <c r="B4" s="89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8"/>
      <c r="U4" s="158"/>
    </row>
    <row r="5" spans="1:26" ht="15" x14ac:dyDescent="0.15">
      <c r="A5" s="162" t="s">
        <v>318</v>
      </c>
      <c r="B5" s="163">
        <f>SUM(B14:F14)/G14*(1+inflation_rate)^construct_period</f>
        <v>0.13557654013751821</v>
      </c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8"/>
      <c r="U5" s="158"/>
    </row>
    <row r="6" spans="1:26" x14ac:dyDescent="0.15">
      <c r="A6" s="162" t="s">
        <v>2</v>
      </c>
      <c r="B6" s="164">
        <f>NPV(nominal_irr,U19:U59)</f>
        <v>1.8294236605351083E-6</v>
      </c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8"/>
      <c r="U6" s="158"/>
    </row>
    <row r="7" spans="1:26" ht="15" x14ac:dyDescent="0.15">
      <c r="A7" s="162" t="s">
        <v>319</v>
      </c>
      <c r="B7" s="163">
        <f>H2_cost/(1+inflation_rate)^(startup_year-anal_year)</f>
        <v>0.13815249440013105</v>
      </c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8"/>
      <c r="U7" s="158"/>
    </row>
    <row r="8" spans="1:26" s="170" customFormat="1" x14ac:dyDescent="0.15">
      <c r="A8" s="161"/>
      <c r="B8" s="165"/>
      <c r="C8" s="165"/>
      <c r="D8" s="166"/>
      <c r="E8" s="167"/>
      <c r="F8" s="168"/>
      <c r="G8" s="169"/>
      <c r="H8" s="169"/>
      <c r="I8" s="169"/>
      <c r="J8" s="169"/>
      <c r="K8" s="169"/>
      <c r="L8" s="169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</row>
    <row r="9" spans="1:26" s="170" customFormat="1" x14ac:dyDescent="0.15">
      <c r="A9" s="161"/>
      <c r="B9" s="165"/>
      <c r="C9" s="165"/>
      <c r="D9" s="166"/>
      <c r="E9" s="167"/>
      <c r="F9" s="168"/>
      <c r="G9" s="169"/>
      <c r="H9" s="169"/>
      <c r="I9" s="169"/>
      <c r="J9" s="169"/>
      <c r="K9" s="169"/>
      <c r="L9" s="169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</row>
    <row r="10" spans="1:26" ht="16" x14ac:dyDescent="0.15">
      <c r="A10" s="171" t="s">
        <v>320</v>
      </c>
      <c r="B10" s="171"/>
      <c r="C10" s="171"/>
      <c r="D10" s="172"/>
      <c r="E10" s="172"/>
      <c r="F10" s="172"/>
      <c r="G10" s="172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8"/>
      <c r="Z10" s="158"/>
    </row>
    <row r="11" spans="1:26" s="160" customFormat="1" ht="15" x14ac:dyDescent="0.2">
      <c r="A11" s="173"/>
      <c r="B11" s="173" t="s">
        <v>87</v>
      </c>
      <c r="C11" s="173" t="s">
        <v>18</v>
      </c>
      <c r="D11" s="173" t="s">
        <v>89</v>
      </c>
      <c r="E11" s="173" t="s">
        <v>90</v>
      </c>
      <c r="F11" s="173" t="s">
        <v>91</v>
      </c>
      <c r="G11" s="173" t="s">
        <v>321</v>
      </c>
      <c r="J11" s="394" t="s">
        <v>378</v>
      </c>
      <c r="K11" s="394"/>
      <c r="Z11" s="161"/>
    </row>
    <row r="12" spans="1:26" x14ac:dyDescent="0.15">
      <c r="A12" s="173" t="s">
        <v>79</v>
      </c>
      <c r="B12" s="174">
        <f>-SUM(G62:J62)</f>
        <v>479805193.920609</v>
      </c>
      <c r="C12" s="174">
        <f>Q62</f>
        <v>-383621532.21355689</v>
      </c>
      <c r="D12" s="174">
        <f>-T62</f>
        <v>10635295.278283959</v>
      </c>
      <c r="E12" s="174">
        <f>-SUM(K62:O62)</f>
        <v>1217751105.4319713</v>
      </c>
      <c r="F12" s="97">
        <v>0</v>
      </c>
      <c r="G12" s="174">
        <f>Y62</f>
        <v>13117138882.485611</v>
      </c>
      <c r="I12" s="435"/>
      <c r="J12" s="438">
        <f>-tax_rate*(E62-E12+C12)</f>
        <v>-37025585.144123361</v>
      </c>
      <c r="K12" s="363"/>
      <c r="Z12" s="175"/>
    </row>
    <row r="13" spans="1:26" x14ac:dyDescent="0.15">
      <c r="A13" s="176" t="s">
        <v>80</v>
      </c>
      <c r="B13" s="177">
        <v>1</v>
      </c>
      <c r="C13" s="177">
        <f>tax_rate</f>
        <v>0.25739999999999996</v>
      </c>
      <c r="D13" s="177">
        <v>1</v>
      </c>
      <c r="E13" s="177">
        <f>1-tax_rate</f>
        <v>0.74260000000000004</v>
      </c>
      <c r="F13" s="177">
        <v>1</v>
      </c>
      <c r="G13" s="177">
        <f>1-tax_rate</f>
        <v>0.74260000000000004</v>
      </c>
      <c r="J13" s="439">
        <f>SUM(B12,D12:F12,-J12)/G12*(1+inflation_rate)^construct_period</f>
        <v>0.13557654013751827</v>
      </c>
      <c r="K13" s="363" t="s">
        <v>391</v>
      </c>
      <c r="Z13" s="175"/>
    </row>
    <row r="14" spans="1:26" x14ac:dyDescent="0.15">
      <c r="A14" s="176" t="s">
        <v>92</v>
      </c>
      <c r="B14" s="174">
        <f t="shared" ref="B14:G14" si="0">B12*B13</f>
        <v>479805193.920609</v>
      </c>
      <c r="C14" s="174">
        <f t="shared" si="0"/>
        <v>-98744182.391769528</v>
      </c>
      <c r="D14" s="174">
        <f t="shared" si="0"/>
        <v>10635295.278283959</v>
      </c>
      <c r="E14" s="174">
        <f t="shared" si="0"/>
        <v>904301970.8937819</v>
      </c>
      <c r="F14" s="174">
        <f t="shared" si="0"/>
        <v>0</v>
      </c>
      <c r="G14" s="174">
        <f t="shared" si="0"/>
        <v>9740787334.1338158</v>
      </c>
      <c r="J14" s="363"/>
      <c r="K14" s="363"/>
      <c r="Z14" s="175"/>
    </row>
    <row r="15" spans="1:26" x14ac:dyDescent="0.15">
      <c r="Z15" s="175"/>
    </row>
    <row r="16" spans="1:26" x14ac:dyDescent="0.15">
      <c r="Z16" s="175"/>
    </row>
    <row r="17" spans="1:26" ht="16" x14ac:dyDescent="0.15">
      <c r="A17" s="66" t="s">
        <v>104</v>
      </c>
      <c r="B17" s="66"/>
      <c r="C17" s="66"/>
      <c r="D17" s="99"/>
      <c r="E17" s="99"/>
      <c r="F17" s="99"/>
      <c r="G17" s="99"/>
      <c r="H17" s="99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9"/>
      <c r="Z17" s="175"/>
    </row>
    <row r="18" spans="1:26" s="160" customFormat="1" ht="42" x14ac:dyDescent="0.15">
      <c r="A18" s="101" t="s">
        <v>3</v>
      </c>
      <c r="B18" s="101" t="s">
        <v>4</v>
      </c>
      <c r="C18" s="101" t="s">
        <v>5</v>
      </c>
      <c r="D18" s="101" t="s">
        <v>6</v>
      </c>
      <c r="E18" s="101" t="s">
        <v>7</v>
      </c>
      <c r="F18" s="101" t="s">
        <v>8</v>
      </c>
      <c r="G18" s="101" t="s">
        <v>376</v>
      </c>
      <c r="H18" s="101" t="s">
        <v>10</v>
      </c>
      <c r="I18" s="180" t="s">
        <v>11</v>
      </c>
      <c r="J18" s="180" t="s">
        <v>187</v>
      </c>
      <c r="K18" s="180" t="s">
        <v>12</v>
      </c>
      <c r="L18" s="180" t="s">
        <v>13</v>
      </c>
      <c r="M18" s="101" t="s">
        <v>14</v>
      </c>
      <c r="N18" s="101" t="s">
        <v>15</v>
      </c>
      <c r="O18" s="101" t="s">
        <v>16</v>
      </c>
      <c r="P18" s="101" t="s">
        <v>17</v>
      </c>
      <c r="Q18" s="101" t="s">
        <v>18</v>
      </c>
      <c r="R18" s="181" t="s">
        <v>19</v>
      </c>
      <c r="S18" s="181" t="s">
        <v>20</v>
      </c>
      <c r="T18" s="101" t="s">
        <v>21</v>
      </c>
      <c r="U18" s="101" t="s">
        <v>22</v>
      </c>
      <c r="V18" s="101" t="s">
        <v>23</v>
      </c>
      <c r="W18" s="180" t="s">
        <v>24</v>
      </c>
      <c r="X18" s="181"/>
      <c r="Y18" s="181" t="s">
        <v>321</v>
      </c>
      <c r="Z18" s="182"/>
    </row>
    <row r="19" spans="1:26" x14ac:dyDescent="0.15">
      <c r="A19" s="99">
        <f>startup_year-construct_period</f>
        <v>2018</v>
      </c>
      <c r="B19" s="99">
        <v>1</v>
      </c>
      <c r="C19" s="99">
        <v>-1</v>
      </c>
      <c r="D19" s="183">
        <f t="shared" ref="D19:D59" si="1">(1+inflation_rate)^(A19-startup_year)</f>
        <v>0.9813542688910698</v>
      </c>
      <c r="E19" s="184">
        <f t="shared" ref="E19:E59" si="2">IF(OR(A19&lt;startup_year,C19&gt;anal_period),0,IF(A19=startup_year,startup_perct_revs*H2_cost*avg_prod*D19*365,H2_cost*avg_prod*D19*365))</f>
        <v>0</v>
      </c>
      <c r="F19" s="185">
        <f>-debt_financing*depr_cap_infl*D19</f>
        <v>-232247754.13504025</v>
      </c>
      <c r="G19" s="185">
        <f>IF(A19&lt;startup_year,-equity_financing*depr_cap_infl*D19,0)</f>
        <v>-154831836.09002686</v>
      </c>
      <c r="H19" s="184">
        <f>J169</f>
        <v>0</v>
      </c>
      <c r="I19" s="185">
        <f>IF(C19=anal_period,-SUM($I18:I$19),IF(AND(C19&gt;=1,C19&lt;anal_period),working_cap_perct*(SUM(M19:N19)-SUM(M18:N18)),0))</f>
        <v>0</v>
      </c>
      <c r="J19" s="185">
        <f t="shared" ref="J19:J59" si="3">IF(C19=-construct_period,-D19*non_depr_cap,0)</f>
        <v>0</v>
      </c>
      <c r="K19" s="185">
        <f t="shared" ref="K19:K58" si="4">IF(C19=anal_period,salvage*total_capital*D19,0)</f>
        <v>0</v>
      </c>
      <c r="L19" s="185" cm="1">
        <f t="array" ref="L19">IF(C19=plant_life,-decom_prct*depr_cap_infl*D19,0)</f>
        <v>0</v>
      </c>
      <c r="M19" s="184">
        <f>IF(OR(A19&lt;startup_year,C19&gt;anal_period),0,IF(A19=startup_year,-Main!$B$84*Main!$E$121*D19,-Main!$E$121*D19))</f>
        <v>0</v>
      </c>
      <c r="N19" s="184">
        <f>IF(OR(A19&lt;startup_year,C19&gt;anal_period),0,IF(A19=startup_year,-Main!$B$86*Main!$E$134*D19,-Main!$E$134*D19))</f>
        <v>0</v>
      </c>
      <c r="O19" s="184">
        <f t="shared" ref="O19:O59" si="5">IF(C19&gt;anal_period,0,$F$19*debt_interest_rate)</f>
        <v>-8593166.9029964898</v>
      </c>
      <c r="P19" s="184">
        <f t="shared" ref="P19:P59" si="6">E19+SUM(K19:O19)</f>
        <v>-8593166.9029964898</v>
      </c>
      <c r="Q19" s="184">
        <f>IF(C19=anal_period,-SUM(X73:$X$134),IF(C19&gt;anal_period,0,-X73))</f>
        <v>0</v>
      </c>
      <c r="R19" s="184">
        <f t="shared" ref="R19:R59" si="7">SUM(P19:Q19)</f>
        <v>-8593166.9029964898</v>
      </c>
      <c r="S19" s="184">
        <f t="shared" ref="S19:S59" si="8">-R19*tax_rate</f>
        <v>2211881.1608312964</v>
      </c>
      <c r="T19" s="184">
        <f t="shared" ref="T19:T58" si="9">IF(C19&lt;&gt;plant_life,0,$F$19)</f>
        <v>0</v>
      </c>
      <c r="U19" s="184">
        <f t="shared" ref="U19:U59" si="10">SUM(G19,H19,I19,J19,P19,S19,T19)</f>
        <v>-161213121.83219203</v>
      </c>
      <c r="V19" s="184">
        <f>U19</f>
        <v>-161213121.83219203</v>
      </c>
      <c r="W19" s="184">
        <f t="shared" ref="W19:W59" si="11">SUM(G19,H19,I19,J19,P19,T19)</f>
        <v>-163425002.99302334</v>
      </c>
      <c r="X19" s="184"/>
      <c r="Y19" s="184">
        <f t="shared" ref="Y19:Y25" si="12">IF(OR(C19&lt;0,C19&gt;anal_period),0,IF(C19=1,startup_perct_revs*avg_prod*365,avg_prod*365))</f>
        <v>0</v>
      </c>
      <c r="Z19" s="175"/>
    </row>
    <row r="20" spans="1:26" x14ac:dyDescent="0.15">
      <c r="A20" s="99">
        <f>startup_year</f>
        <v>2019</v>
      </c>
      <c r="B20" s="99">
        <f>B19+1</f>
        <v>2</v>
      </c>
      <c r="C20" s="99">
        <v>1</v>
      </c>
      <c r="D20" s="183">
        <f t="shared" si="1"/>
        <v>1</v>
      </c>
      <c r="E20" s="184">
        <f t="shared" si="2"/>
        <v>61009443.061883204</v>
      </c>
      <c r="F20" s="184"/>
      <c r="G20" s="185" cm="1">
        <f t="array" ref="G20">IF(A20&lt;startup_year,-equity_financing*depr_cap_infl*D20,0)</f>
        <v>0</v>
      </c>
      <c r="H20" s="184">
        <f t="shared" ref="H20:H59" si="13">J170</f>
        <v>-1466297.7785849196</v>
      </c>
      <c r="I20" s="185">
        <f>IF(C20=anal_period,-SUM($I$19:I19),IF(AND(C20&gt;=1,C20&lt;anal_period),working_cap_perct*(SUM(M20:N20)-SUM(M19:N19)),0))</f>
        <v>-8567297.4343802575</v>
      </c>
      <c r="J20" s="185">
        <f t="shared" si="3"/>
        <v>0</v>
      </c>
      <c r="K20" s="185">
        <f t="shared" si="4"/>
        <v>0</v>
      </c>
      <c r="L20" s="185" cm="1">
        <f t="array" ref="L20">IF(C20=plant_life,-decom_prct*depr_cap_infl*D20,0)</f>
        <v>0</v>
      </c>
      <c r="M20" s="184">
        <f>IF(OR(A20&lt;startup_year,C20&gt;anal_period),0,IF(A20=startup_year,-Main!$B$84*Main!$E$121*D20,-Main!$E$121*D20))</f>
        <v>-13927726.682797752</v>
      </c>
      <c r="N20" s="184">
        <f>IF(OR(A20&lt;startup_year,C20&gt;anal_period),0,IF(A20=startup_year,-Main!$B$86*Main!$E$134*D20,-Main!$E$134*D20))</f>
        <v>-43187589.546403967</v>
      </c>
      <c r="O20" s="184">
        <f t="shared" si="5"/>
        <v>-8593166.9029964898</v>
      </c>
      <c r="P20" s="184">
        <f t="shared" si="6"/>
        <v>-4699040.0703150034</v>
      </c>
      <c r="Q20" s="184">
        <f>IF(C20=anal_period,-SUM(X74:$X$134),IF(C20&gt;anal_period,0,-X74))</f>
        <v>-14570470.800136952</v>
      </c>
      <c r="R20" s="184">
        <f t="shared" si="7"/>
        <v>-19269510.870451957</v>
      </c>
      <c r="S20" s="184">
        <f t="shared" si="8"/>
        <v>4959972.0980543327</v>
      </c>
      <c r="T20" s="184">
        <f t="shared" si="9"/>
        <v>0</v>
      </c>
      <c r="U20" s="184">
        <f>SUM(G20,H20,I20,J20,P20,S20,T20)</f>
        <v>-9772663.1852258481</v>
      </c>
      <c r="V20" s="184">
        <f t="shared" ref="V20:V59" si="14">IF(C20&gt;anal_period,0,V19+U20)</f>
        <v>-170985785.01741788</v>
      </c>
      <c r="W20" s="184">
        <f t="shared" si="11"/>
        <v>-14732635.283280181</v>
      </c>
      <c r="X20" s="184"/>
      <c r="Y20" s="184">
        <f t="shared" si="12"/>
        <v>450000000</v>
      </c>
      <c r="Z20" s="175"/>
    </row>
    <row r="21" spans="1:26" x14ac:dyDescent="0.15">
      <c r="A21" s="99">
        <f t="shared" ref="A21:A59" si="15">A20+1</f>
        <v>2020</v>
      </c>
      <c r="B21" s="99">
        <v>3</v>
      </c>
      <c r="C21" s="99">
        <f t="shared" ref="C21:C59" si="16">C20+1</f>
        <v>2</v>
      </c>
      <c r="D21" s="183">
        <f t="shared" si="1"/>
        <v>1.0189999999999999</v>
      </c>
      <c r="E21" s="184">
        <f t="shared" si="2"/>
        <v>124337244.96011797</v>
      </c>
      <c r="F21" s="184"/>
      <c r="G21" s="185" cm="1">
        <f t="array" ref="G21">IF(A21&lt;startup_year,-equity_financing*depr_cap_infl*D21,0)</f>
        <v>0</v>
      </c>
      <c r="H21" s="184">
        <f t="shared" si="13"/>
        <v>-1494157.4363780329</v>
      </c>
      <c r="I21" s="185">
        <f>IF(C21=anal_period,-SUM($I$19:I20),IF(AND(C21&gt;=1,C21&lt;anal_period),working_cap_perct*(SUM(M21:N21)-SUM(M20:N20)),0))</f>
        <v>-3072804.0131310513</v>
      </c>
      <c r="J21" s="185">
        <f t="shared" si="3"/>
        <v>0</v>
      </c>
      <c r="K21" s="185">
        <f t="shared" si="4"/>
        <v>0</v>
      </c>
      <c r="L21" s="185" cm="1">
        <f t="array" ref="L21">IF(C21=plant_life,-decom_prct*depr_cap_infl*D21,0)</f>
        <v>0</v>
      </c>
      <c r="M21" s="184">
        <f>IF(OR(A21&lt;startup_year,C21&gt;anal_period),0,IF(A21=startup_year,-Main!$B$84*Main!$E$121*D21,-Main!$E$121*D21))</f>
        <v>-18923137.986361209</v>
      </c>
      <c r="N21" s="184">
        <f>IF(OR(A21&lt;startup_year,C21&gt;anal_period),0,IF(A21=startup_year,-Main!$B$86*Main!$E$134*D21,-Main!$E$134*D21))</f>
        <v>-58677538.330380857</v>
      </c>
      <c r="O21" s="184">
        <f t="shared" si="5"/>
        <v>-8593166.9029964898</v>
      </c>
      <c r="P21" s="184">
        <f>E21+SUM(K21:O21)</f>
        <v>38143401.740379408</v>
      </c>
      <c r="Q21" s="184">
        <f>IF(C21=anal_period,-SUM(X75:$X$134),IF(C21&gt;anal_period,0,-X75))</f>
        <v>-28105158.558847819</v>
      </c>
      <c r="R21" s="184">
        <f t="shared" si="7"/>
        <v>10038243.181531589</v>
      </c>
      <c r="S21" s="184">
        <f t="shared" si="8"/>
        <v>-2583843.7949262308</v>
      </c>
      <c r="T21" s="184">
        <f t="shared" si="9"/>
        <v>0</v>
      </c>
      <c r="U21" s="184">
        <f>SUM(G21,H21,I21,J21,P21,S21,T21)</f>
        <v>30992596.495944094</v>
      </c>
      <c r="V21" s="184">
        <f t="shared" si="14"/>
        <v>-139993188.5214738</v>
      </c>
      <c r="W21" s="184">
        <f t="shared" si="11"/>
        <v>33576440.290870324</v>
      </c>
      <c r="X21" s="184"/>
      <c r="Y21" s="184">
        <f t="shared" si="12"/>
        <v>900000000</v>
      </c>
      <c r="Z21" s="175"/>
    </row>
    <row r="22" spans="1:26" x14ac:dyDescent="0.15">
      <c r="A22" s="99">
        <f t="shared" si="15"/>
        <v>2021</v>
      </c>
      <c r="B22" s="99">
        <v>4</v>
      </c>
      <c r="C22" s="99">
        <f t="shared" si="16"/>
        <v>3</v>
      </c>
      <c r="D22" s="183">
        <f t="shared" si="1"/>
        <v>1.0383609999999999</v>
      </c>
      <c r="E22" s="184">
        <f t="shared" si="2"/>
        <v>126699652.6143602</v>
      </c>
      <c r="F22" s="184"/>
      <c r="G22" s="185" cm="1">
        <f t="array" ref="G22">IF(A22&lt;startup_year,-equity_financing*depr_cap_infl*D22,0)</f>
        <v>0</v>
      </c>
      <c r="H22" s="184">
        <f t="shared" si="13"/>
        <v>-1522546.4276692155</v>
      </c>
      <c r="I22" s="185">
        <f>IF(C22=anal_period,-SUM($I$19:I21),IF(AND(C22&gt;=1,C22&lt;anal_period),working_cap_perct*(SUM(M22:N22)-SUM(M21:N21)),0))</f>
        <v>-221161.92750271483</v>
      </c>
      <c r="J22" s="185">
        <f t="shared" si="3"/>
        <v>0</v>
      </c>
      <c r="K22" s="185">
        <f t="shared" si="4"/>
        <v>0</v>
      </c>
      <c r="L22" s="185" cm="1">
        <f t="array" ref="L22">IF(C22=plant_life,-decom_prct*depr_cap_infl*D22,0)</f>
        <v>0</v>
      </c>
      <c r="M22" s="184">
        <f>IF(OR(A22&lt;startup_year,C22&gt;anal_period),0,IF(A22=startup_year,-Main!$B$84*Main!$E$121*D22,-Main!$E$121*D22))</f>
        <v>-19282677.608102072</v>
      </c>
      <c r="N22" s="184">
        <f>IF(OR(A22&lt;startup_year,C22&gt;anal_period),0,IF(A22=startup_year,-Main!$B$86*Main!$E$134*D22,-Main!$E$134*D22))</f>
        <v>-59792411.558658086</v>
      </c>
      <c r="O22" s="184">
        <f t="shared" si="5"/>
        <v>-8593166.9029964898</v>
      </c>
      <c r="P22" s="184">
        <f t="shared" si="6"/>
        <v>39031396.544603541</v>
      </c>
      <c r="Q22" s="184">
        <f>IF(C22=anal_period,-SUM(X76:$X$134),IF(C22&gt;anal_period,0,-X76))</f>
        <v>-26108167.658373572</v>
      </c>
      <c r="R22" s="184">
        <f t="shared" si="7"/>
        <v>12923228.88622997</v>
      </c>
      <c r="S22" s="184">
        <f t="shared" si="8"/>
        <v>-3326439.1153155938</v>
      </c>
      <c r="T22" s="184">
        <f t="shared" si="9"/>
        <v>0</v>
      </c>
      <c r="U22" s="184">
        <f t="shared" si="10"/>
        <v>33961249.074116014</v>
      </c>
      <c r="V22" s="184">
        <f t="shared" si="14"/>
        <v>-106031939.44735777</v>
      </c>
      <c r="W22" s="184">
        <f t="shared" si="11"/>
        <v>37287688.189431608</v>
      </c>
      <c r="X22" s="184"/>
      <c r="Y22" s="184">
        <f t="shared" si="12"/>
        <v>900000000</v>
      </c>
      <c r="Z22" s="175"/>
    </row>
    <row r="23" spans="1:26" x14ac:dyDescent="0.15">
      <c r="A23" s="99">
        <f t="shared" si="15"/>
        <v>2022</v>
      </c>
      <c r="B23" s="99">
        <v>5</v>
      </c>
      <c r="C23" s="99">
        <f t="shared" si="16"/>
        <v>4</v>
      </c>
      <c r="D23" s="183">
        <f t="shared" si="1"/>
        <v>1.0580898589999999</v>
      </c>
      <c r="E23" s="184">
        <f t="shared" si="2"/>
        <v>129106946.01403303</v>
      </c>
      <c r="F23" s="184"/>
      <c r="G23" s="185" cm="1">
        <f t="array" ref="G23">IF(A23&lt;startup_year,-equity_financing*depr_cap_infl*D23,0)</f>
        <v>0</v>
      </c>
      <c r="H23" s="184">
        <f t="shared" si="13"/>
        <v>-1551474.8097949307</v>
      </c>
      <c r="I23" s="185">
        <f>IF(C23=anal_period,-SUM($I$19:I22),IF(AND(C23&gt;=1,C23&lt;anal_period),working_cap_perct*(SUM(M23:N23)-SUM(M22:N22)),0))</f>
        <v>-225364.00412526727</v>
      </c>
      <c r="J23" s="185">
        <f t="shared" si="3"/>
        <v>0</v>
      </c>
      <c r="K23" s="185">
        <f t="shared" si="4"/>
        <v>0</v>
      </c>
      <c r="L23" s="185" cm="1">
        <f t="array" ref="L23">IF(C23=plant_life,-decom_prct*depr_cap_infl*D23,0)</f>
        <v>0</v>
      </c>
      <c r="M23" s="184">
        <f>IF(OR(A23&lt;startup_year,C23&gt;anal_period),0,IF(A23=startup_year,-Main!$B$84*Main!$E$121*D23,-Main!$E$121*D23))</f>
        <v>-19649048.482656013</v>
      </c>
      <c r="N23" s="184">
        <f>IF(OR(A23&lt;startup_year,C23&gt;anal_period),0,IF(A23=startup_year,-Main!$B$86*Main!$E$134*D23,-Main!$E$134*D23))</f>
        <v>-60928467.378272593</v>
      </c>
      <c r="O23" s="184">
        <f t="shared" si="5"/>
        <v>-8593166.9029964898</v>
      </c>
      <c r="P23" s="184">
        <f t="shared" si="6"/>
        <v>39936263.250107929</v>
      </c>
      <c r="Q23" s="184">
        <f>IF(C23=anal_period,-SUM(X77:$X$134),IF(C23&gt;anal_period,0,-X77))</f>
        <v>-24268337.325993299</v>
      </c>
      <c r="R23" s="184">
        <f t="shared" si="7"/>
        <v>15667925.92411463</v>
      </c>
      <c r="S23" s="184">
        <f t="shared" si="8"/>
        <v>-4032924.1328671053</v>
      </c>
      <c r="T23" s="184">
        <f t="shared" si="9"/>
        <v>0</v>
      </c>
      <c r="U23" s="184">
        <f t="shared" si="10"/>
        <v>34126500.303320624</v>
      </c>
      <c r="V23" s="184">
        <f t="shared" si="14"/>
        <v>-71905439.144037157</v>
      </c>
      <c r="W23" s="184">
        <f t="shared" si="11"/>
        <v>38159424.436187729</v>
      </c>
      <c r="X23" s="184"/>
      <c r="Y23" s="184">
        <f t="shared" si="12"/>
        <v>900000000</v>
      </c>
      <c r="Z23" s="175"/>
    </row>
    <row r="24" spans="1:26" x14ac:dyDescent="0.15">
      <c r="A24" s="99">
        <f t="shared" si="15"/>
        <v>2023</v>
      </c>
      <c r="B24" s="99">
        <v>6</v>
      </c>
      <c r="C24" s="99">
        <f t="shared" si="16"/>
        <v>5</v>
      </c>
      <c r="D24" s="183">
        <f t="shared" si="1"/>
        <v>1.0781935663209998</v>
      </c>
      <c r="E24" s="184">
        <f t="shared" si="2"/>
        <v>131559977.98829967</v>
      </c>
      <c r="F24" s="184"/>
      <c r="G24" s="185" cm="1">
        <f t="array" ref="G24">IF(A24&lt;startup_year,-equity_financing*depr_cap_infl*D24,0)</f>
        <v>0</v>
      </c>
      <c r="H24" s="184">
        <f t="shared" si="13"/>
        <v>-1580952.8311810342</v>
      </c>
      <c r="I24" s="185">
        <f>IF(C24=anal_period,-SUM($I$19:I23),IF(AND(C24&gt;=1,C24&lt;anal_period),working_cap_perct*(SUM(M24:N24)-SUM(M23:N23)),0))</f>
        <v>-229645.92020364627</v>
      </c>
      <c r="J24" s="185">
        <f t="shared" si="3"/>
        <v>0</v>
      </c>
      <c r="K24" s="185">
        <f t="shared" si="4"/>
        <v>0</v>
      </c>
      <c r="L24" s="185" cm="1">
        <f t="array" ref="L24">IF(C24=plant_life,-decom_prct*depr_cap_infl*D24,0)</f>
        <v>0</v>
      </c>
      <c r="M24" s="184">
        <f>IF(OR(A24&lt;startup_year,C24&gt;anal_period),0,IF(A24=startup_year,-Main!$B$84*Main!$E$121*D24,-Main!$E$121*D24))</f>
        <v>-20022380.403826475</v>
      </c>
      <c r="N24" s="184">
        <f>IF(OR(A24&lt;startup_year,C24&gt;anal_period),0,IF(A24=startup_year,-Main!$B$86*Main!$E$134*D24,-Main!$E$134*D24))</f>
        <v>-62086108.258459769</v>
      </c>
      <c r="O24" s="184">
        <f t="shared" si="5"/>
        <v>-8593166.9029964898</v>
      </c>
      <c r="P24" s="184">
        <f t="shared" si="6"/>
        <v>40858322.423016921</v>
      </c>
      <c r="Q24" s="184">
        <f>IF(C24=anal_period,-SUM(X78:$X$134),IF(C24&gt;anal_period,0,-X78))</f>
        <v>-22562867.809157565</v>
      </c>
      <c r="R24" s="184">
        <f t="shared" si="7"/>
        <v>18295454.613859355</v>
      </c>
      <c r="S24" s="184">
        <f t="shared" si="8"/>
        <v>-4709250.0176073974</v>
      </c>
      <c r="T24" s="184">
        <f t="shared" si="9"/>
        <v>0</v>
      </c>
      <c r="U24" s="184">
        <f t="shared" si="10"/>
        <v>34338473.654024839</v>
      </c>
      <c r="V24" s="184">
        <f t="shared" si="14"/>
        <v>-37566965.490012318</v>
      </c>
      <c r="W24" s="184">
        <f t="shared" si="11"/>
        <v>39047723.671632238</v>
      </c>
      <c r="X24" s="184"/>
      <c r="Y24" s="184">
        <f t="shared" si="12"/>
        <v>900000000</v>
      </c>
      <c r="Z24" s="175"/>
    </row>
    <row r="25" spans="1:26" x14ac:dyDescent="0.15">
      <c r="A25" s="99">
        <f t="shared" si="15"/>
        <v>2024</v>
      </c>
      <c r="B25" s="99">
        <v>7</v>
      </c>
      <c r="C25" s="99">
        <f t="shared" si="16"/>
        <v>6</v>
      </c>
      <c r="D25" s="183">
        <f t="shared" si="1"/>
        <v>1.0986792440810986</v>
      </c>
      <c r="E25" s="184">
        <f t="shared" si="2"/>
        <v>134059617.57007733</v>
      </c>
      <c r="F25" s="184"/>
      <c r="G25" s="185" cm="1">
        <f t="array" ref="G25">IF(A25&lt;startup_year,-equity_financing*depr_cap_infl*D25,0)</f>
        <v>0</v>
      </c>
      <c r="H25" s="184">
        <f t="shared" si="13"/>
        <v>-78261604.918378294</v>
      </c>
      <c r="I25" s="185">
        <f>IF(C25=anal_period,-SUM($I$19:I24),IF(AND(C25&gt;=1,C25&lt;anal_period),working_cap_perct*(SUM(M25:N25)-SUM(M24:N24)),0))</f>
        <v>-234009.19268751293</v>
      </c>
      <c r="J25" s="185">
        <f t="shared" si="3"/>
        <v>0</v>
      </c>
      <c r="K25" s="185">
        <f t="shared" si="4"/>
        <v>0</v>
      </c>
      <c r="L25" s="185" cm="1">
        <f t="array" ref="L25">IF(C25=plant_life,-decom_prct*depr_cap_infl*D25,0)</f>
        <v>0</v>
      </c>
      <c r="M25" s="184">
        <f>IF(OR(A25&lt;startup_year,C25&gt;anal_period),0,IF(A25=startup_year,-Main!$B$84*Main!$E$121*D25,-Main!$E$121*D25))</f>
        <v>-20402805.631499175</v>
      </c>
      <c r="N25" s="184">
        <f>IF(OR(A25&lt;startup_year,C25&gt;anal_period),0,IF(A25=startup_year,-Main!$B$86*Main!$E$134*D25,-Main!$E$134*D25))</f>
        <v>-63265744.315370493</v>
      </c>
      <c r="O25" s="184">
        <f t="shared" si="5"/>
        <v>-8593166.9029964898</v>
      </c>
      <c r="P25" s="184">
        <f t="shared" si="6"/>
        <v>41797900.720211163</v>
      </c>
      <c r="Q25" s="184">
        <f>IF(C25=anal_period,-SUM(X79:$X$134),IF(C25&gt;anal_period,0,-X79))</f>
        <v>-23866590.230542563</v>
      </c>
      <c r="R25" s="184">
        <f t="shared" si="7"/>
        <v>17931310.4896686</v>
      </c>
      <c r="S25" s="184">
        <f t="shared" si="8"/>
        <v>-4615519.3200406972</v>
      </c>
      <c r="T25" s="184">
        <f t="shared" si="9"/>
        <v>0</v>
      </c>
      <c r="U25" s="184">
        <f t="shared" si="10"/>
        <v>-41313232.710895337</v>
      </c>
      <c r="V25" s="184">
        <f t="shared" si="14"/>
        <v>-78880198.200907648</v>
      </c>
      <c r="W25" s="184">
        <f t="shared" si="11"/>
        <v>-36697713.390854642</v>
      </c>
      <c r="X25" s="184"/>
      <c r="Y25" s="387">
        <f t="shared" si="12"/>
        <v>900000000</v>
      </c>
      <c r="Z25" s="175"/>
    </row>
    <row r="26" spans="1:26" x14ac:dyDescent="0.15">
      <c r="A26" s="99">
        <f t="shared" si="15"/>
        <v>2025</v>
      </c>
      <c r="B26" s="99">
        <v>8</v>
      </c>
      <c r="C26" s="99">
        <f t="shared" si="16"/>
        <v>7</v>
      </c>
      <c r="D26" s="183">
        <f t="shared" si="1"/>
        <v>1.1195541497186396</v>
      </c>
      <c r="E26" s="184">
        <f t="shared" si="2"/>
        <v>136606750.30390882</v>
      </c>
      <c r="F26" s="184"/>
      <c r="G26" s="185" cm="1">
        <f t="array" ref="G26">IF(A26&lt;startup_year,-equity_financing*depr_cap_infl*D26,0)</f>
        <v>0</v>
      </c>
      <c r="H26" s="184">
        <f t="shared" si="13"/>
        <v>-1641599.7627379699</v>
      </c>
      <c r="I26" s="185">
        <f>IF(C26=anal_period,-SUM($I$19:I25),IF(AND(C26&gt;=1,C26&lt;anal_period),working_cap_perct*(SUM(M26:N26)-SUM(M25:N25)),0))</f>
        <v>-238455.36734857855</v>
      </c>
      <c r="J26" s="185">
        <f t="shared" si="3"/>
        <v>0</v>
      </c>
      <c r="K26" s="185">
        <f t="shared" si="4"/>
        <v>0</v>
      </c>
      <c r="L26" s="185" cm="1">
        <f t="array" ref="L26">IF(C26=plant_life,-decom_prct*depr_cap_infl*D26,0)</f>
        <v>0</v>
      </c>
      <c r="M26" s="184">
        <f>IF(OR(A26&lt;startup_year,C26&gt;anal_period),0,IF(A26=startup_year,-Main!$B$84*Main!$E$121*D26,-Main!$E$121*D26))</f>
        <v>-20790458.938497663</v>
      </c>
      <c r="N26" s="184">
        <f>IF(OR(A26&lt;startup_year,C26&gt;anal_period),0,IF(A26=startup_year,-Main!$B$86*Main!$E$134*D26,-Main!$E$134*D26))</f>
        <v>-64467793.45736254</v>
      </c>
      <c r="O26" s="184">
        <f t="shared" si="5"/>
        <v>-8593166.9029964898</v>
      </c>
      <c r="P26" s="184">
        <f t="shared" si="6"/>
        <v>42755331.005052134</v>
      </c>
      <c r="Q26" s="184">
        <f>IF(C26=anal_period,-SUM(X80:$X$134),IF(C26&gt;anal_period,0,-X80))</f>
        <v>-25070732.373243228</v>
      </c>
      <c r="R26" s="184">
        <f t="shared" si="7"/>
        <v>17684598.631808907</v>
      </c>
      <c r="S26" s="184">
        <f t="shared" si="8"/>
        <v>-4552015.6878276123</v>
      </c>
      <c r="T26" s="184">
        <f t="shared" si="9"/>
        <v>0</v>
      </c>
      <c r="U26" s="184">
        <f t="shared" si="10"/>
        <v>36323260.187137976</v>
      </c>
      <c r="V26" s="184">
        <f t="shared" si="14"/>
        <v>-42556938.013769671</v>
      </c>
      <c r="W26" s="184">
        <f t="shared" si="11"/>
        <v>40875275.874965586</v>
      </c>
      <c r="X26" s="184"/>
      <c r="Y26" s="387">
        <f>IF(OR(C25&lt;0,C25&gt;anal_period),0,IF(C25=1,startup_perct_revs*avg_prod*365,avg_prod*365))</f>
        <v>900000000</v>
      </c>
      <c r="Z26" s="175"/>
    </row>
    <row r="27" spans="1:26" x14ac:dyDescent="0.15">
      <c r="A27" s="99">
        <f t="shared" si="15"/>
        <v>2026</v>
      </c>
      <c r="B27" s="99">
        <v>9</v>
      </c>
      <c r="C27" s="99">
        <f t="shared" si="16"/>
        <v>8</v>
      </c>
      <c r="D27" s="183">
        <f t="shared" si="1"/>
        <v>1.1408256785632938</v>
      </c>
      <c r="E27" s="184">
        <f t="shared" si="2"/>
        <v>139202278.55968308</v>
      </c>
      <c r="F27" s="184"/>
      <c r="G27" s="185" cm="1">
        <f t="array" ref="G27">IF(A27&lt;startup_year,-equity_financing*depr_cap_infl*D27,0)</f>
        <v>0</v>
      </c>
      <c r="H27" s="184">
        <f t="shared" si="13"/>
        <v>-1672790.1582299911</v>
      </c>
      <c r="I27" s="185">
        <f>IF(C27=anal_period,-SUM($I$19:I26),IF(AND(C27&gt;=1,C27&lt;anal_period),working_cap_perct*(SUM(M27:N27)-SUM(M26:N26)),0))</f>
        <v>-242986.0193282023</v>
      </c>
      <c r="J27" s="185">
        <f t="shared" si="3"/>
        <v>0</v>
      </c>
      <c r="K27" s="185">
        <f t="shared" si="4"/>
        <v>0</v>
      </c>
      <c r="L27" s="185" cm="1">
        <f t="array" ref="L27">IF(C27=plant_life,-decom_prct*depr_cap_infl*D27,0)</f>
        <v>0</v>
      </c>
      <c r="M27" s="184">
        <f>IF(OR(A27&lt;startup_year,C27&gt;anal_period),0,IF(A27=startup_year,-Main!$B$84*Main!$E$121*D27,-Main!$E$121*D27))</f>
        <v>-21185477.658329118</v>
      </c>
      <c r="N27" s="184">
        <f>IF(OR(A27&lt;startup_year,C27&gt;anal_period),0,IF(A27=startup_year,-Main!$B$86*Main!$E$134*D27,-Main!$E$134*D27))</f>
        <v>-65692681.53305243</v>
      </c>
      <c r="O27" s="184">
        <f t="shared" si="5"/>
        <v>-8593166.9029964898</v>
      </c>
      <c r="P27" s="184">
        <f t="shared" si="6"/>
        <v>43730952.465305045</v>
      </c>
      <c r="Q27" s="184">
        <f>IF(C27=anal_period,-SUM(X81:$X$134),IF(C27&gt;anal_period,0,-X81))</f>
        <v>-23316601.340189055</v>
      </c>
      <c r="R27" s="184">
        <f t="shared" si="7"/>
        <v>20414351.125115991</v>
      </c>
      <c r="S27" s="184">
        <f t="shared" si="8"/>
        <v>-5254653.9796048552</v>
      </c>
      <c r="T27" s="184">
        <f t="shared" si="9"/>
        <v>0</v>
      </c>
      <c r="U27" s="184">
        <f t="shared" si="10"/>
        <v>36560522.308141999</v>
      </c>
      <c r="V27" s="184">
        <f t="shared" si="14"/>
        <v>-5996415.7056276724</v>
      </c>
      <c r="W27" s="184">
        <f t="shared" si="11"/>
        <v>41815176.287746854</v>
      </c>
      <c r="X27" s="184"/>
      <c r="Y27" s="387">
        <f>IF(OR(C26&lt;0,C26&gt;anal_period),0,IF(C26=1,startup_perct_revs*avg_prod*365,avg_prod*365))</f>
        <v>900000000</v>
      </c>
      <c r="Z27" s="175"/>
    </row>
    <row r="28" spans="1:26" x14ac:dyDescent="0.15">
      <c r="A28" s="99">
        <f t="shared" si="15"/>
        <v>2027</v>
      </c>
      <c r="B28" s="99">
        <v>10</v>
      </c>
      <c r="C28" s="99">
        <f t="shared" si="16"/>
        <v>9</v>
      </c>
      <c r="D28" s="183">
        <f t="shared" si="1"/>
        <v>1.1625013664559962</v>
      </c>
      <c r="E28" s="184">
        <f t="shared" si="2"/>
        <v>141847121.85231704</v>
      </c>
      <c r="F28" s="184"/>
      <c r="G28" s="185" cm="1">
        <f t="array" ref="G28">IF(A28&lt;startup_year,-equity_financing*depr_cap_infl*D28,0)</f>
        <v>0</v>
      </c>
      <c r="H28" s="184">
        <f t="shared" si="13"/>
        <v>-1704573.1712363609</v>
      </c>
      <c r="I28" s="185">
        <f>IF(C28=anal_period,-SUM($I$19:I27),IF(AND(C28&gt;=1,C28&lt;anal_period),working_cap_perct*(SUM(M28:N28)-SUM(M27:N27)),0))</f>
        <v>-247602.75369543582</v>
      </c>
      <c r="J28" s="185">
        <f t="shared" si="3"/>
        <v>0</v>
      </c>
      <c r="K28" s="185">
        <f t="shared" si="4"/>
        <v>0</v>
      </c>
      <c r="L28" s="185" cm="1">
        <f t="array" ref="L28">IF(C28=plant_life,-decom_prct*depr_cap_infl*D28,0)</f>
        <v>0</v>
      </c>
      <c r="M28" s="184">
        <f>IF(OR(A28&lt;startup_year,C28&gt;anal_period),0,IF(A28=startup_year,-Main!$B$84*Main!$E$121*D28,-Main!$E$121*D28))</f>
        <v>-21588001.73383737</v>
      </c>
      <c r="N28" s="184">
        <f>IF(OR(A28&lt;startup_year,C28&gt;anal_period),0,IF(A28=startup_year,-Main!$B$86*Main!$E$134*D28,-Main!$E$134*D28))</f>
        <v>-66940842.482180417</v>
      </c>
      <c r="O28" s="184">
        <f t="shared" si="5"/>
        <v>-8593166.9029964898</v>
      </c>
      <c r="P28" s="184">
        <f t="shared" si="6"/>
        <v>44725110.733302757</v>
      </c>
      <c r="Q28" s="184">
        <f>IF(C28=anal_period,-SUM(X82:$X$134),IF(C28&gt;anal_period,0,-X82))</f>
        <v>-22779729.837733693</v>
      </c>
      <c r="R28" s="184">
        <f t="shared" si="7"/>
        <v>21945380.895569064</v>
      </c>
      <c r="S28" s="184">
        <f t="shared" si="8"/>
        <v>-5648741.0425194763</v>
      </c>
      <c r="T28" s="184">
        <f t="shared" si="9"/>
        <v>0</v>
      </c>
      <c r="U28" s="184">
        <f t="shared" si="10"/>
        <v>37124193.765851483</v>
      </c>
      <c r="V28" s="184">
        <f t="shared" si="14"/>
        <v>31127778.06022381</v>
      </c>
      <c r="W28" s="184">
        <f t="shared" si="11"/>
        <v>42772934.808370963</v>
      </c>
      <c r="X28" s="184"/>
      <c r="Y28" s="184">
        <f>IF(OR(C27&lt;0,C27&gt;anal_period),0,IF(C27=1,startup_perct_revs*avg_prod*365,avg_prod*365))</f>
        <v>900000000</v>
      </c>
      <c r="Z28" s="175"/>
    </row>
    <row r="29" spans="1:26" x14ac:dyDescent="0.15">
      <c r="A29" s="99">
        <f t="shared" si="15"/>
        <v>2028</v>
      </c>
      <c r="B29" s="99">
        <v>11</v>
      </c>
      <c r="C29" s="99">
        <f t="shared" si="16"/>
        <v>10</v>
      </c>
      <c r="D29" s="183">
        <f t="shared" si="1"/>
        <v>1.1845888924186601</v>
      </c>
      <c r="E29" s="184">
        <f t="shared" si="2"/>
        <v>144542217.16751105</v>
      </c>
      <c r="F29" s="184"/>
      <c r="G29" s="185" cm="1">
        <f t="array" ref="G29">IF(A29&lt;startup_year,-equity_financing*depr_cap_infl*D29,0)</f>
        <v>0</v>
      </c>
      <c r="H29" s="184">
        <f t="shared" si="13"/>
        <v>-1736960.0614898517</v>
      </c>
      <c r="I29" s="185">
        <f>IF(C29=anal_period,-SUM($I$19:I28),IF(AND(C29&gt;=1,C29&lt;anal_period),working_cap_perct*(SUM(M29:N29)-SUM(M28:N28)),0))</f>
        <v>-252307.20601564943</v>
      </c>
      <c r="J29" s="185">
        <f t="shared" si="3"/>
        <v>0</v>
      </c>
      <c r="K29" s="185">
        <f t="shared" si="4"/>
        <v>0</v>
      </c>
      <c r="L29" s="185" cm="1">
        <f t="array" ref="L29">IF(C29=plant_life,-decom_prct*depr_cap_infl*D29,0)</f>
        <v>0</v>
      </c>
      <c r="M29" s="184">
        <f>IF(OR(A29&lt;startup_year,C29&gt;anal_period),0,IF(A29=startup_year,-Main!$B$84*Main!$E$121*D29,-Main!$E$121*D29))</f>
        <v>-21998173.766780276</v>
      </c>
      <c r="N29" s="184">
        <f>IF(OR(A29&lt;startup_year,C29&gt;anal_period),0,IF(A29=startup_year,-Main!$B$86*Main!$E$134*D29,-Main!$E$134*D29))</f>
        <v>-68212718.48934184</v>
      </c>
      <c r="O29" s="184">
        <f t="shared" si="5"/>
        <v>-8593166.9029964898</v>
      </c>
      <c r="P29" s="184">
        <f t="shared" si="6"/>
        <v>45738158.008392438</v>
      </c>
      <c r="Q29" s="184">
        <f>IF(C29=anal_period,-SUM(X83:$X$134),IF(C29&gt;anal_period,0,-X83))</f>
        <v>-22500308.808677707</v>
      </c>
      <c r="R29" s="184">
        <f t="shared" si="7"/>
        <v>23237849.199714731</v>
      </c>
      <c r="S29" s="184">
        <f t="shared" si="8"/>
        <v>-5981422.384006571</v>
      </c>
      <c r="T29" s="184">
        <f t="shared" si="9"/>
        <v>0</v>
      </c>
      <c r="U29" s="184">
        <f t="shared" si="10"/>
        <v>37767468.356880367</v>
      </c>
      <c r="V29" s="184">
        <f t="shared" si="14"/>
        <v>68895246.417104185</v>
      </c>
      <c r="W29" s="184">
        <f t="shared" si="11"/>
        <v>43748890.740886934</v>
      </c>
      <c r="X29" s="184"/>
      <c r="Y29" s="184">
        <f t="shared" ref="Y29:Y59" si="17">IF(OR(C29&lt;0,C29&gt;anal_period),0,IF(C29=1,startup_perct_revs*avg_prod*365,avg_prod*365))</f>
        <v>900000000</v>
      </c>
      <c r="Z29" s="175"/>
    </row>
    <row r="30" spans="1:26" x14ac:dyDescent="0.15">
      <c r="A30" s="99">
        <f t="shared" si="15"/>
        <v>2029</v>
      </c>
      <c r="B30" s="99">
        <v>12</v>
      </c>
      <c r="C30" s="99">
        <f t="shared" si="16"/>
        <v>11</v>
      </c>
      <c r="D30" s="183">
        <f t="shared" si="1"/>
        <v>1.2070960813746145</v>
      </c>
      <c r="E30" s="184">
        <f t="shared" si="2"/>
        <v>147288519.29369375</v>
      </c>
      <c r="F30" s="184"/>
      <c r="G30" s="185" cm="1">
        <f t="array" ref="G30">IF(A30&lt;startup_year,-equity_financing*depr_cap_infl*D30,0)</f>
        <v>0</v>
      </c>
      <c r="H30" s="184">
        <f t="shared" si="13"/>
        <v>-242003311.04323351</v>
      </c>
      <c r="I30" s="185">
        <f>IF(C30=anal_period,-SUM($I$19:I29),IF(AND(C30&gt;=1,C30&lt;anal_period),working_cap_perct*(SUM(M30:N30)-SUM(M29:N29)),0))</f>
        <v>-257101.04292994738</v>
      </c>
      <c r="J30" s="185">
        <f t="shared" si="3"/>
        <v>0</v>
      </c>
      <c r="K30" s="185">
        <f t="shared" si="4"/>
        <v>0</v>
      </c>
      <c r="L30" s="185" cm="1">
        <f t="array" ref="L30">IF(C30=plant_life,-decom_prct*depr_cap_infl*D30,0)</f>
        <v>0</v>
      </c>
      <c r="M30" s="184">
        <f>IF(OR(A30&lt;startup_year,C30&gt;anal_period),0,IF(A30=startup_year,-Main!$B$84*Main!$E$121*D30,-Main!$E$121*D30))</f>
        <v>-22416139.068349101</v>
      </c>
      <c r="N30" s="184">
        <f>IF(OR(A30&lt;startup_year,C30&gt;anal_period),0,IF(A30=startup_year,-Main!$B$86*Main!$E$134*D30,-Main!$E$134*D30))</f>
        <v>-69508760.140639335</v>
      </c>
      <c r="O30" s="184">
        <f t="shared" si="5"/>
        <v>-8593166.9029964898</v>
      </c>
      <c r="P30" s="184">
        <f t="shared" si="6"/>
        <v>46770453.181708828</v>
      </c>
      <c r="Q30" s="184">
        <f>IF(C30=anal_period,-SUM(X84:$X$134),IF(C30&gt;anal_period,0,-X84))</f>
        <v>-31266510.896908469</v>
      </c>
      <c r="R30" s="184">
        <f t="shared" si="7"/>
        <v>15503942.284800358</v>
      </c>
      <c r="S30" s="184">
        <f t="shared" si="8"/>
        <v>-3990714.7441076115</v>
      </c>
      <c r="T30" s="184">
        <f t="shared" si="9"/>
        <v>0</v>
      </c>
      <c r="U30" s="184">
        <f t="shared" si="10"/>
        <v>-199480673.64856225</v>
      </c>
      <c r="V30" s="184">
        <f t="shared" si="14"/>
        <v>-130585427.23145807</v>
      </c>
      <c r="W30" s="184">
        <f t="shared" si="11"/>
        <v>-195489958.90445465</v>
      </c>
      <c r="X30" s="184"/>
      <c r="Y30" s="184">
        <f t="shared" si="17"/>
        <v>900000000</v>
      </c>
      <c r="Z30" s="175"/>
    </row>
    <row r="31" spans="1:26" x14ac:dyDescent="0.15">
      <c r="A31" s="99">
        <f t="shared" si="15"/>
        <v>2030</v>
      </c>
      <c r="B31" s="99">
        <v>13</v>
      </c>
      <c r="C31" s="99">
        <f t="shared" si="16"/>
        <v>12</v>
      </c>
      <c r="D31" s="183">
        <f t="shared" si="1"/>
        <v>1.2300309069207322</v>
      </c>
      <c r="E31" s="184">
        <f t="shared" si="2"/>
        <v>150087001.16027394</v>
      </c>
      <c r="F31" s="184"/>
      <c r="G31" s="185" cm="1">
        <f t="array" ref="G31">IF(A31&lt;startup_year,-equity_financing*depr_cap_infl*D31,0)</f>
        <v>0</v>
      </c>
      <c r="H31" s="184">
        <f t="shared" si="13"/>
        <v>-1803591.5864086638</v>
      </c>
      <c r="I31" s="185">
        <f>IF(C31=anal_period,-SUM($I$19:I30),IF(AND(C31&gt;=1,C31&lt;anal_period),working_cap_perct*(SUM(M31:N31)-SUM(M30:N30)),0))</f>
        <v>-261985.96274561808</v>
      </c>
      <c r="J31" s="185">
        <f t="shared" si="3"/>
        <v>0</v>
      </c>
      <c r="K31" s="185">
        <f t="shared" si="4"/>
        <v>0</v>
      </c>
      <c r="L31" s="185" cm="1">
        <f t="array" ref="L31">IF(C31=plant_life,-decom_prct*depr_cap_infl*D31,0)</f>
        <v>0</v>
      </c>
      <c r="M31" s="184">
        <f>IF(OR(A31&lt;startup_year,C31&gt;anal_period),0,IF(A31=startup_year,-Main!$B$84*Main!$E$121*D31,-Main!$E$121*D31))</f>
        <v>-22842045.710647736</v>
      </c>
      <c r="N31" s="184">
        <f>IF(OR(A31&lt;startup_year,C31&gt;anal_period),0,IF(A31=startup_year,-Main!$B$86*Main!$E$134*D31,-Main!$E$134*D31))</f>
        <v>-70829426.583311483</v>
      </c>
      <c r="O31" s="184">
        <f t="shared" si="5"/>
        <v>-8593166.9029964898</v>
      </c>
      <c r="P31" s="184">
        <f t="shared" si="6"/>
        <v>47822361.963318229</v>
      </c>
      <c r="Q31" s="184">
        <f>IF(C31=anal_period,-SUM(X85:$X$134),IF(C31&gt;anal_period,0,-X85))</f>
        <v>-39375213.972236492</v>
      </c>
      <c r="R31" s="184">
        <f t="shared" si="7"/>
        <v>8447147.991081737</v>
      </c>
      <c r="S31" s="184">
        <f t="shared" si="8"/>
        <v>-2174295.892904439</v>
      </c>
      <c r="T31" s="184">
        <f t="shared" si="9"/>
        <v>0</v>
      </c>
      <c r="U31" s="184">
        <f t="shared" si="10"/>
        <v>43582488.521259509</v>
      </c>
      <c r="V31" s="184">
        <f t="shared" si="14"/>
        <v>-87002938.710198551</v>
      </c>
      <c r="W31" s="184">
        <f t="shared" si="11"/>
        <v>45756784.414163947</v>
      </c>
      <c r="X31" s="184"/>
      <c r="Y31" s="184">
        <f t="shared" si="17"/>
        <v>900000000</v>
      </c>
      <c r="Z31" s="175"/>
    </row>
    <row r="32" spans="1:26" x14ac:dyDescent="0.15">
      <c r="A32" s="99">
        <f t="shared" si="15"/>
        <v>2031</v>
      </c>
      <c r="B32" s="99">
        <v>14</v>
      </c>
      <c r="C32" s="99">
        <f t="shared" si="16"/>
        <v>13</v>
      </c>
      <c r="D32" s="183">
        <f t="shared" si="1"/>
        <v>1.253401494152226</v>
      </c>
      <c r="E32" s="184">
        <f t="shared" si="2"/>
        <v>152938654.18231913</v>
      </c>
      <c r="F32" s="184"/>
      <c r="G32" s="185" cm="1">
        <f t="array" ref="G32">IF(A32&lt;startup_year,-equity_financing*depr_cap_infl*D32,0)</f>
        <v>0</v>
      </c>
      <c r="H32" s="184">
        <f t="shared" si="13"/>
        <v>-1837859.8265504281</v>
      </c>
      <c r="I32" s="185">
        <f>IF(C32=anal_period,-SUM($I$19:I31),IF(AND(C32&gt;=1,C32&lt;anal_period),working_cap_perct*(SUM(M32:N32)-SUM(M31:N31)),0))</f>
        <v>-266963.69603778049</v>
      </c>
      <c r="J32" s="185">
        <f t="shared" si="3"/>
        <v>0</v>
      </c>
      <c r="K32" s="185">
        <f t="shared" si="4"/>
        <v>0</v>
      </c>
      <c r="L32" s="185" cm="1">
        <f t="array" ref="L32">IF(C32=plant_life,-decom_prct*depr_cap_infl*D32,0)</f>
        <v>0</v>
      </c>
      <c r="M32" s="184">
        <f>IF(OR(A32&lt;startup_year,C32&gt;anal_period),0,IF(A32=startup_year,-Main!$B$84*Main!$E$121*D32,-Main!$E$121*D32))</f>
        <v>-23276044.57915004</v>
      </c>
      <c r="N32" s="184">
        <f>IF(OR(A32&lt;startup_year,C32&gt;anal_period),0,IF(A32=startup_year,-Main!$B$86*Main!$E$134*D32,-Main!$E$134*D32))</f>
        <v>-72175185.688394383</v>
      </c>
      <c r="O32" s="184">
        <f t="shared" si="5"/>
        <v>-8593166.9029964898</v>
      </c>
      <c r="P32" s="184">
        <f t="shared" si="6"/>
        <v>48894257.011778221</v>
      </c>
      <c r="Q32" s="184">
        <f>IF(C32=anal_period,-SUM(X86:$X$134),IF(C32&gt;anal_period,0,-X86))</f>
        <v>-37881255.831574924</v>
      </c>
      <c r="R32" s="184">
        <f t="shared" si="7"/>
        <v>11013001.180203296</v>
      </c>
      <c r="S32" s="184">
        <f t="shared" si="8"/>
        <v>-2834746.5037843282</v>
      </c>
      <c r="T32" s="184">
        <f t="shared" si="9"/>
        <v>0</v>
      </c>
      <c r="U32" s="184">
        <f t="shared" si="10"/>
        <v>43954686.985405684</v>
      </c>
      <c r="V32" s="184">
        <f t="shared" si="14"/>
        <v>-43048251.724792868</v>
      </c>
      <c r="W32" s="184">
        <f t="shared" si="11"/>
        <v>46789433.489190012</v>
      </c>
      <c r="X32" s="184"/>
      <c r="Y32" s="184">
        <f t="shared" si="17"/>
        <v>900000000</v>
      </c>
      <c r="Z32" s="175"/>
    </row>
    <row r="33" spans="1:26" x14ac:dyDescent="0.15">
      <c r="A33" s="99">
        <f t="shared" si="15"/>
        <v>2032</v>
      </c>
      <c r="B33" s="99">
        <v>15</v>
      </c>
      <c r="C33" s="99">
        <f t="shared" si="16"/>
        <v>14</v>
      </c>
      <c r="D33" s="183">
        <f t="shared" si="1"/>
        <v>1.277216122541118</v>
      </c>
      <c r="E33" s="184">
        <f t="shared" si="2"/>
        <v>155844488.61178315</v>
      </c>
      <c r="F33" s="184"/>
      <c r="G33" s="185" cm="1">
        <f t="array" ref="G33">IF(A33&lt;startup_year,-equity_financing*depr_cap_infl*D33,0)</f>
        <v>0</v>
      </c>
      <c r="H33" s="184">
        <f t="shared" si="13"/>
        <v>-1872779.1632548859</v>
      </c>
      <c r="I33" s="185">
        <f>IF(C33=anal_period,-SUM($I$19:I32),IF(AND(C33&gt;=1,C33&lt;anal_period),working_cap_perct*(SUM(M33:N33)-SUM(M32:N32)),0))</f>
        <v>-272036.00626249908</v>
      </c>
      <c r="J33" s="185">
        <f t="shared" si="3"/>
        <v>0</v>
      </c>
      <c r="K33" s="185">
        <f t="shared" si="4"/>
        <v>0</v>
      </c>
      <c r="L33" s="185" cm="1">
        <f t="array" ref="L33">IF(C33=plant_life,-decom_prct*depr_cap_infl*D33,0)</f>
        <v>0</v>
      </c>
      <c r="M33" s="184">
        <f>IF(OR(A33&lt;startup_year,C33&gt;anal_period),0,IF(A33=startup_year,-Main!$B$84*Main!$E$121*D33,-Main!$E$121*D33))</f>
        <v>-23718289.426153883</v>
      </c>
      <c r="N33" s="184">
        <f>IF(OR(A33&lt;startup_year,C33&gt;anal_period),0,IF(A33=startup_year,-Main!$B$86*Main!$E$134*D33,-Main!$E$134*D33))</f>
        <v>-73546514.216473863</v>
      </c>
      <c r="O33" s="184">
        <f t="shared" si="5"/>
        <v>-8593166.9029964898</v>
      </c>
      <c r="P33" s="184">
        <f t="shared" si="6"/>
        <v>49986518.066158906</v>
      </c>
      <c r="Q33" s="184">
        <f>IF(C33=anal_period,-SUM(X87:$X$134),IF(C33&gt;anal_period,0,-X87))</f>
        <v>-36716601.085546322</v>
      </c>
      <c r="R33" s="184">
        <f t="shared" si="7"/>
        <v>13269916.980612583</v>
      </c>
      <c r="S33" s="184">
        <f t="shared" si="8"/>
        <v>-3415676.6308096787</v>
      </c>
      <c r="T33" s="184">
        <f t="shared" si="9"/>
        <v>0</v>
      </c>
      <c r="U33" s="184">
        <f t="shared" si="10"/>
        <v>44426026.265831843</v>
      </c>
      <c r="V33" s="184">
        <f t="shared" si="14"/>
        <v>1377774.5410389751</v>
      </c>
      <c r="W33" s="184">
        <f t="shared" si="11"/>
        <v>47841702.896641523</v>
      </c>
      <c r="X33" s="184"/>
      <c r="Y33" s="184">
        <f t="shared" si="17"/>
        <v>900000000</v>
      </c>
      <c r="Z33" s="175"/>
    </row>
    <row r="34" spans="1:26" x14ac:dyDescent="0.15">
      <c r="A34" s="99">
        <f t="shared" si="15"/>
        <v>2033</v>
      </c>
      <c r="B34" s="99">
        <v>16</v>
      </c>
      <c r="C34" s="99">
        <f t="shared" si="16"/>
        <v>15</v>
      </c>
      <c r="D34" s="183">
        <f t="shared" si="1"/>
        <v>1.3014832288693996</v>
      </c>
      <c r="E34" s="184">
        <f t="shared" si="2"/>
        <v>158805533.89540708</v>
      </c>
      <c r="F34" s="184"/>
      <c r="G34" s="185" cm="1">
        <f t="array" ref="G34">IF(A34&lt;startup_year,-equity_financing*depr_cap_infl*D34,0)</f>
        <v>0</v>
      </c>
      <c r="H34" s="184">
        <f t="shared" si="13"/>
        <v>-1908361.9673567291</v>
      </c>
      <c r="I34" s="185">
        <f>IF(C34=anal_period,-SUM($I$19:I33),IF(AND(C34&gt;=1,C34&lt;anal_period),working_cap_perct*(SUM(M34:N34)-SUM(M33:N33)),0))</f>
        <v>-277204.69038149266</v>
      </c>
      <c r="J34" s="185">
        <f t="shared" si="3"/>
        <v>0</v>
      </c>
      <c r="K34" s="185">
        <f t="shared" si="4"/>
        <v>0</v>
      </c>
      <c r="L34" s="185" cm="1">
        <f t="array" ref="L34">IF(C34=plant_life,-decom_prct*depr_cap_infl*D34,0)</f>
        <v>0</v>
      </c>
      <c r="M34" s="184">
        <f>IF(OR(A34&lt;startup_year,C34&gt;anal_period),0,IF(A34=startup_year,-Main!$B$84*Main!$E$121*D34,-Main!$E$121*D34))</f>
        <v>-24168936.925250813</v>
      </c>
      <c r="N34" s="184">
        <f>IF(OR(A34&lt;startup_year,C34&gt;anal_period),0,IF(A34=startup_year,-Main!$B$86*Main!$E$134*D34,-Main!$E$134*D34))</f>
        <v>-74943897.986586884</v>
      </c>
      <c r="O34" s="184">
        <f t="shared" si="5"/>
        <v>-8593166.9029964898</v>
      </c>
      <c r="P34" s="184">
        <f t="shared" si="6"/>
        <v>51099532.080572888</v>
      </c>
      <c r="Q34" s="184">
        <f>IF(C34=anal_period,-SUM(X88:$X$134),IF(C34&gt;anal_period,0,-X88))</f>
        <v>-35693051.552174196</v>
      </c>
      <c r="R34" s="184">
        <f t="shared" si="7"/>
        <v>15406480.528398693</v>
      </c>
      <c r="S34" s="184">
        <f t="shared" si="8"/>
        <v>-3965628.0880098231</v>
      </c>
      <c r="T34" s="184">
        <f t="shared" si="9"/>
        <v>0</v>
      </c>
      <c r="U34" s="184">
        <f t="shared" si="10"/>
        <v>44948337.334824845</v>
      </c>
      <c r="V34" s="184">
        <f t="shared" si="14"/>
        <v>46326111.87586382</v>
      </c>
      <c r="W34" s="184">
        <f t="shared" si="11"/>
        <v>48913965.422834665</v>
      </c>
      <c r="X34" s="184"/>
      <c r="Y34" s="184">
        <f t="shared" si="17"/>
        <v>900000000</v>
      </c>
      <c r="Z34" s="175"/>
    </row>
    <row r="35" spans="1:26" x14ac:dyDescent="0.15">
      <c r="A35" s="99">
        <f t="shared" si="15"/>
        <v>2034</v>
      </c>
      <c r="B35" s="99">
        <v>17</v>
      </c>
      <c r="C35" s="99">
        <f t="shared" si="16"/>
        <v>16</v>
      </c>
      <c r="D35" s="183">
        <f t="shared" si="1"/>
        <v>1.3262114102179181</v>
      </c>
      <c r="E35" s="184">
        <f t="shared" si="2"/>
        <v>161822839.03941983</v>
      </c>
      <c r="F35" s="184"/>
      <c r="G35" s="185" cm="1">
        <f t="array" ref="G35">IF(A35&lt;startup_year,-equity_financing*depr_cap_infl*D35,0)</f>
        <v>0</v>
      </c>
      <c r="H35" s="184">
        <f t="shared" si="13"/>
        <v>-94469276.619062722</v>
      </c>
      <c r="I35" s="185">
        <f>IF(C35=anal_period,-SUM($I$19:I34),IF(AND(C35&gt;=1,C35&lt;anal_period),working_cap_perct*(SUM(M35:N35)-SUM(M34:N34)),0))</f>
        <v>-282471.57949873654</v>
      </c>
      <c r="J35" s="185">
        <f t="shared" si="3"/>
        <v>0</v>
      </c>
      <c r="K35" s="185">
        <f t="shared" si="4"/>
        <v>0</v>
      </c>
      <c r="L35" s="185" cm="1">
        <f t="array" ref="L35">IF(C35=plant_life,-decom_prct*depr_cap_infl*D35,0)</f>
        <v>0</v>
      </c>
      <c r="M35" s="184">
        <f>IF(OR(A35&lt;startup_year,C35&gt;anal_period),0,IF(A35=startup_year,-Main!$B$84*Main!$E$121*D35,-Main!$E$121*D35))</f>
        <v>-24628146.726830579</v>
      </c>
      <c r="N35" s="184">
        <f>IF(OR(A35&lt;startup_year,C35&gt;anal_period),0,IF(A35=startup_year,-Main!$B$86*Main!$E$134*D35,-Main!$E$134*D35))</f>
        <v>-76367832.048332036</v>
      </c>
      <c r="O35" s="184">
        <f t="shared" si="5"/>
        <v>-8593166.9029964898</v>
      </c>
      <c r="P35" s="184">
        <f t="shared" si="6"/>
        <v>52233693.361260727</v>
      </c>
      <c r="Q35" s="184">
        <f>IF(C35=anal_period,-SUM(X89:$X$134),IF(C35&gt;anal_period,0,-X89))</f>
        <v>-38221109.922768697</v>
      </c>
      <c r="R35" s="184">
        <f t="shared" si="7"/>
        <v>14012583.43849203</v>
      </c>
      <c r="S35" s="184">
        <f t="shared" si="8"/>
        <v>-3606838.9770678477</v>
      </c>
      <c r="T35" s="184">
        <f t="shared" si="9"/>
        <v>0</v>
      </c>
      <c r="U35" s="184">
        <f t="shared" si="10"/>
        <v>-46124893.814368583</v>
      </c>
      <c r="V35" s="184">
        <f t="shared" si="14"/>
        <v>201218.06149523705</v>
      </c>
      <c r="W35" s="184">
        <f t="shared" si="11"/>
        <v>-42518054.837300733</v>
      </c>
      <c r="X35" s="184"/>
      <c r="Y35" s="184">
        <f t="shared" si="17"/>
        <v>900000000</v>
      </c>
      <c r="Z35" s="175"/>
    </row>
    <row r="36" spans="1:26" x14ac:dyDescent="0.15">
      <c r="A36" s="99">
        <f t="shared" si="15"/>
        <v>2035</v>
      </c>
      <c r="B36" s="99">
        <v>18</v>
      </c>
      <c r="C36" s="99">
        <f t="shared" si="16"/>
        <v>17</v>
      </c>
      <c r="D36" s="183">
        <f t="shared" si="1"/>
        <v>1.3514094270120585</v>
      </c>
      <c r="E36" s="184">
        <f t="shared" si="2"/>
        <v>164897472.98116878</v>
      </c>
      <c r="F36" s="184"/>
      <c r="G36" s="185" cm="1">
        <f t="array" ref="G36">IF(A36&lt;startup_year,-equity_financing*depr_cap_infl*D36,0)</f>
        <v>0</v>
      </c>
      <c r="H36" s="184">
        <f t="shared" si="13"/>
        <v>-1981568.6407865004</v>
      </c>
      <c r="I36" s="185">
        <f>IF(C36=anal_period,-SUM($I$19:I35),IF(AND(C36&gt;=1,C36&lt;anal_period),working_cap_perct*(SUM(M36:N36)-SUM(M35:N35)),0))</f>
        <v>-287838.53950921295</v>
      </c>
      <c r="J36" s="185">
        <f t="shared" si="3"/>
        <v>0</v>
      </c>
      <c r="K36" s="185">
        <f t="shared" si="4"/>
        <v>0</v>
      </c>
      <c r="L36" s="185" cm="1">
        <f t="array" ref="L36">IF(C36=plant_life,-decom_prct*depr_cap_infl*D36,0)</f>
        <v>0</v>
      </c>
      <c r="M36" s="184">
        <f>IF(OR(A36&lt;startup_year,C36&gt;anal_period),0,IF(A36=startup_year,-Main!$B$84*Main!$E$121*D36,-Main!$E$121*D36))</f>
        <v>-25096081.514640357</v>
      </c>
      <c r="N36" s="184">
        <f>IF(OR(A36&lt;startup_year,C36&gt;anal_period),0,IF(A36=startup_year,-Main!$B$86*Main!$E$134*D36,-Main!$E$134*D36))</f>
        <v>-77818820.857250333</v>
      </c>
      <c r="O36" s="184">
        <f t="shared" si="5"/>
        <v>-8593166.9029964898</v>
      </c>
      <c r="P36" s="184">
        <f t="shared" si="6"/>
        <v>53389403.706281587</v>
      </c>
      <c r="Q36" s="184">
        <f>IF(C36=anal_period,-SUM(X90:$X$134),IF(C36&gt;anal_period,0,-X90))</f>
        <v>-40571573.640476696</v>
      </c>
      <c r="R36" s="184">
        <f t="shared" si="7"/>
        <v>12817830.065804891</v>
      </c>
      <c r="S36" s="184">
        <f t="shared" si="8"/>
        <v>-3299309.4589381786</v>
      </c>
      <c r="T36" s="184">
        <f t="shared" si="9"/>
        <v>0</v>
      </c>
      <c r="U36" s="184">
        <f t="shared" si="10"/>
        <v>47820687.067047693</v>
      </c>
      <c r="V36" s="184">
        <f t="shared" si="14"/>
        <v>48021905.12854293</v>
      </c>
      <c r="W36" s="184">
        <f t="shared" si="11"/>
        <v>51119996.525985874</v>
      </c>
      <c r="X36" s="184"/>
      <c r="Y36" s="184">
        <f t="shared" si="17"/>
        <v>900000000</v>
      </c>
      <c r="Z36" s="175"/>
    </row>
    <row r="37" spans="1:26" x14ac:dyDescent="0.15">
      <c r="A37" s="99">
        <f t="shared" si="15"/>
        <v>2036</v>
      </c>
      <c r="B37" s="99">
        <v>19</v>
      </c>
      <c r="C37" s="99">
        <f t="shared" si="16"/>
        <v>18</v>
      </c>
      <c r="D37" s="183">
        <f t="shared" si="1"/>
        <v>1.3770862061252875</v>
      </c>
      <c r="E37" s="184">
        <f t="shared" si="2"/>
        <v>168030524.96781099</v>
      </c>
      <c r="F37" s="184"/>
      <c r="G37" s="185" cm="1">
        <f t="array" ref="G37">IF(A37&lt;startup_year,-equity_financing*depr_cap_infl*D37,0)</f>
        <v>0</v>
      </c>
      <c r="H37" s="184">
        <f t="shared" si="13"/>
        <v>-2019218.4449614438</v>
      </c>
      <c r="I37" s="185">
        <f>IF(C37=anal_period,-SUM($I$19:I36),IF(AND(C37&gt;=1,C37&lt;anal_period),working_cap_perct*(SUM(M37:N37)-SUM(M36:N36)),0))</f>
        <v>-293307.47175988776</v>
      </c>
      <c r="J37" s="185">
        <f t="shared" si="3"/>
        <v>0</v>
      </c>
      <c r="K37" s="185">
        <f t="shared" si="4"/>
        <v>0</v>
      </c>
      <c r="L37" s="185" cm="1">
        <f t="array" ref="L37">IF(C37=plant_life,-decom_prct*depr_cap_infl*D37,0)</f>
        <v>0</v>
      </c>
      <c r="M37" s="184">
        <f>IF(OR(A37&lt;startup_year,C37&gt;anal_period),0,IF(A37=startup_year,-Main!$B$84*Main!$E$121*D37,-Main!$E$121*D37))</f>
        <v>-25572907.063418522</v>
      </c>
      <c r="N37" s="184">
        <f>IF(OR(A37&lt;startup_year,C37&gt;anal_period),0,IF(A37=startup_year,-Main!$B$86*Main!$E$134*D37,-Main!$E$134*D37))</f>
        <v>-79297378.45353809</v>
      </c>
      <c r="O37" s="184">
        <f t="shared" si="5"/>
        <v>-8593166.9029964898</v>
      </c>
      <c r="P37" s="184">
        <f t="shared" si="6"/>
        <v>54567072.547857881</v>
      </c>
      <c r="Q37" s="184">
        <f>IF(C37=anal_period,-SUM(X91:$X$134),IF(C37&gt;anal_period,0,-X91))</f>
        <v>-39280859.215442494</v>
      </c>
      <c r="R37" s="184">
        <f t="shared" si="7"/>
        <v>15286213.332415387</v>
      </c>
      <c r="S37" s="184">
        <f t="shared" si="8"/>
        <v>-3934671.3117637201</v>
      </c>
      <c r="T37" s="184">
        <f t="shared" si="9"/>
        <v>0</v>
      </c>
      <c r="U37" s="184">
        <f t="shared" si="10"/>
        <v>48319875.319372833</v>
      </c>
      <c r="V37" s="184">
        <f t="shared" si="14"/>
        <v>96341780.447915763</v>
      </c>
      <c r="W37" s="184">
        <f t="shared" si="11"/>
        <v>52254546.631136551</v>
      </c>
      <c r="X37" s="184"/>
      <c r="Y37" s="184">
        <f t="shared" si="17"/>
        <v>900000000</v>
      </c>
      <c r="Z37" s="175"/>
    </row>
    <row r="38" spans="1:26" x14ac:dyDescent="0.15">
      <c r="A38" s="99">
        <f t="shared" si="15"/>
        <v>2037</v>
      </c>
      <c r="B38" s="99">
        <v>20</v>
      </c>
      <c r="C38" s="99">
        <f t="shared" si="16"/>
        <v>19</v>
      </c>
      <c r="D38" s="183">
        <f t="shared" si="1"/>
        <v>1.4032508440416678</v>
      </c>
      <c r="E38" s="184">
        <f t="shared" si="2"/>
        <v>171223104.94219935</v>
      </c>
      <c r="F38" s="184"/>
      <c r="G38" s="185" cm="1">
        <f t="array" ref="G38">IF(A38&lt;startup_year,-equity_financing*depr_cap_infl*D38,0)</f>
        <v>0</v>
      </c>
      <c r="H38" s="184">
        <f t="shared" si="13"/>
        <v>-2057583.5954157109</v>
      </c>
      <c r="I38" s="185">
        <f>IF(C38=anal_period,-SUM($I$19:I37),IF(AND(C38&gt;=1,C38&lt;anal_period),working_cap_perct*(SUM(M38:N38)-SUM(M37:N37)),0))</f>
        <v>-298880.31372332497</v>
      </c>
      <c r="J38" s="185">
        <f t="shared" si="3"/>
        <v>0</v>
      </c>
      <c r="K38" s="185">
        <f t="shared" si="4"/>
        <v>0</v>
      </c>
      <c r="L38" s="185" cm="1">
        <f t="array" ref="L38">IF(C38=plant_life,-decom_prct*depr_cap_infl*D38,0)</f>
        <v>0</v>
      </c>
      <c r="M38" s="184">
        <f>IF(OR(A38&lt;startup_year,C38&gt;anal_period),0,IF(A38=startup_year,-Main!$B$84*Main!$E$121*D38,-Main!$E$121*D38))</f>
        <v>-26058792.29762347</v>
      </c>
      <c r="N38" s="184">
        <f>IF(OR(A38&lt;startup_year,C38&gt;anal_period),0,IF(A38=startup_year,-Main!$B$86*Main!$E$134*D38,-Main!$E$134*D38))</f>
        <v>-80804028.644155309</v>
      </c>
      <c r="O38" s="184">
        <f t="shared" si="5"/>
        <v>-8593166.9029964898</v>
      </c>
      <c r="P38" s="184">
        <f t="shared" si="6"/>
        <v>55767117.097424075</v>
      </c>
      <c r="Q38" s="184">
        <f>IF(C38=anal_period,-SUM(X92:$X$134),IF(C38&gt;anal_period,0,-X92))</f>
        <v>-38772111.859035179</v>
      </c>
      <c r="R38" s="184">
        <f t="shared" si="7"/>
        <v>16995005.238388896</v>
      </c>
      <c r="S38" s="184">
        <f t="shared" si="8"/>
        <v>-4374514.3483613012</v>
      </c>
      <c r="T38" s="184">
        <f t="shared" si="9"/>
        <v>0</v>
      </c>
      <c r="U38" s="184">
        <f t="shared" si="10"/>
        <v>49036138.839923739</v>
      </c>
      <c r="V38" s="184">
        <f t="shared" si="14"/>
        <v>145377919.2878395</v>
      </c>
      <c r="W38" s="184">
        <f t="shared" si="11"/>
        <v>53410653.188285038</v>
      </c>
      <c r="X38" s="184"/>
      <c r="Y38" s="184">
        <f t="shared" si="17"/>
        <v>900000000</v>
      </c>
      <c r="Z38" s="175"/>
    </row>
    <row r="39" spans="1:26" x14ac:dyDescent="0.15">
      <c r="A39" s="99">
        <f t="shared" si="15"/>
        <v>2038</v>
      </c>
      <c r="B39" s="99">
        <v>21</v>
      </c>
      <c r="C39" s="99">
        <f t="shared" si="16"/>
        <v>20</v>
      </c>
      <c r="D39" s="183">
        <f t="shared" si="1"/>
        <v>1.4299126100784596</v>
      </c>
      <c r="E39" s="184">
        <f t="shared" si="2"/>
        <v>174476343.93610117</v>
      </c>
      <c r="F39" s="184"/>
      <c r="G39" s="185" cm="1">
        <f t="array" ref="G39">IF(A39&lt;startup_year,-equity_financing*depr_cap_infl*D39,0)</f>
        <v>0</v>
      </c>
      <c r="H39" s="184">
        <f t="shared" si="13"/>
        <v>-2096677.6837286097</v>
      </c>
      <c r="I39" s="185">
        <f>IF(C39=anal_period,-SUM($I$19:I38),IF(AND(C39&gt;=1,C39&lt;anal_period),working_cap_perct*(SUM(M39:N39)-SUM(M38:N38)),0))</f>
        <v>-304559.03968407062</v>
      </c>
      <c r="J39" s="185">
        <f t="shared" si="3"/>
        <v>0</v>
      </c>
      <c r="K39" s="185">
        <f t="shared" si="4"/>
        <v>0</v>
      </c>
      <c r="L39" s="185" cm="1">
        <f t="array" ref="L39">IF(C39=plant_life,-decom_prct*depr_cap_infl*D39,0)</f>
        <v>0</v>
      </c>
      <c r="M39" s="184">
        <f>IF(OR(A39&lt;startup_year,C39&gt;anal_period),0,IF(A39=startup_year,-Main!$B$84*Main!$E$121*D39,-Main!$E$121*D39))</f>
        <v>-26553909.35127832</v>
      </c>
      <c r="N39" s="184">
        <f>IF(OR(A39&lt;startup_year,C39&gt;anal_period),0,IF(A39=startup_year,-Main!$B$86*Main!$E$134*D39,-Main!$E$134*D39))</f>
        <v>-82339305.188394263</v>
      </c>
      <c r="O39" s="184">
        <f t="shared" si="5"/>
        <v>-8593166.9029964898</v>
      </c>
      <c r="P39" s="184">
        <f t="shared" si="6"/>
        <v>56989962.49343209</v>
      </c>
      <c r="Q39" s="184">
        <f>IF(C39=anal_period,-SUM(X93:$X$134),IF(C39&gt;anal_period,0,-X93))</f>
        <v>-38433991.133157901</v>
      </c>
      <c r="R39" s="184">
        <f t="shared" si="7"/>
        <v>18555971.360274188</v>
      </c>
      <c r="S39" s="184">
        <f t="shared" si="8"/>
        <v>-4776307.0281345751</v>
      </c>
      <c r="T39" s="184">
        <f t="shared" si="9"/>
        <v>0</v>
      </c>
      <c r="U39" s="184">
        <f t="shared" si="10"/>
        <v>49812418.741884835</v>
      </c>
      <c r="V39" s="184">
        <f t="shared" si="14"/>
        <v>195190338.02972433</v>
      </c>
      <c r="W39" s="184">
        <f t="shared" si="11"/>
        <v>54588725.770019412</v>
      </c>
      <c r="X39" s="184"/>
      <c r="Y39" s="184">
        <f t="shared" si="17"/>
        <v>900000000</v>
      </c>
      <c r="Z39" s="175"/>
    </row>
    <row r="40" spans="1:26" x14ac:dyDescent="0.15">
      <c r="A40" s="99">
        <f t="shared" si="15"/>
        <v>2039</v>
      </c>
      <c r="B40" s="99">
        <v>22</v>
      </c>
      <c r="C40" s="99">
        <f t="shared" si="16"/>
        <v>21</v>
      </c>
      <c r="D40" s="183">
        <f t="shared" si="1"/>
        <v>1.4570809496699502</v>
      </c>
      <c r="E40" s="184">
        <f t="shared" si="2"/>
        <v>177791394.47088706</v>
      </c>
      <c r="F40" s="184"/>
      <c r="G40" s="185" cm="1">
        <f t="array" ref="G40">IF(A40&lt;startup_year,-equity_financing*depr_cap_infl*D40,0)</f>
        <v>0</v>
      </c>
      <c r="H40" s="184">
        <f t="shared" si="13"/>
        <v>-292121248.43996918</v>
      </c>
      <c r="I40" s="185">
        <f>IF(C40=anal_period,-SUM($I$19:I39),IF(AND(C40&gt;=1,C40&lt;anal_period),working_cap_perct*(SUM(M40:N40)-SUM(M39:N39)),0))</f>
        <v>-310345.66143806576</v>
      </c>
      <c r="J40" s="185">
        <f t="shared" si="3"/>
        <v>0</v>
      </c>
      <c r="K40" s="185">
        <f t="shared" si="4"/>
        <v>0</v>
      </c>
      <c r="L40" s="185" cm="1">
        <f t="array" ref="L40">IF(C40=plant_life,-decom_prct*depr_cap_infl*D40,0)</f>
        <v>0</v>
      </c>
      <c r="M40" s="184">
        <f>IF(OR(A40&lt;startup_year,C40&gt;anal_period),0,IF(A40=startup_year,-Main!$B$84*Main!$E$121*D40,-Main!$E$121*D40))</f>
        <v>-27058433.628952604</v>
      </c>
      <c r="N40" s="184">
        <f>IF(OR(A40&lt;startup_year,C40&gt;anal_period),0,IF(A40=startup_year,-Main!$B$86*Main!$E$134*D40,-Main!$E$134*D40))</f>
        <v>-83903751.986973748</v>
      </c>
      <c r="O40" s="184">
        <f t="shared" si="5"/>
        <v>-8593166.9029964898</v>
      </c>
      <c r="P40" s="184">
        <f t="shared" si="6"/>
        <v>58236041.951964214</v>
      </c>
      <c r="Q40" s="184">
        <f>IF(C40=anal_period,-SUM(X94:$X$134),IF(C40&gt;anal_period,0,-X94))</f>
        <v>-40348013.257687859</v>
      </c>
      <c r="R40" s="184">
        <f t="shared" si="7"/>
        <v>17888028.694276355</v>
      </c>
      <c r="S40" s="184">
        <f t="shared" si="8"/>
        <v>-4604378.5859067328</v>
      </c>
      <c r="T40" s="184">
        <f t="shared" si="9"/>
        <v>0</v>
      </c>
      <c r="U40" s="184">
        <f t="shared" si="10"/>
        <v>-238799930.73534977</v>
      </c>
      <c r="V40" s="184">
        <f t="shared" si="14"/>
        <v>-43609592.705625445</v>
      </c>
      <c r="W40" s="184">
        <f t="shared" si="11"/>
        <v>-234195552.14944303</v>
      </c>
      <c r="X40" s="184"/>
      <c r="Y40" s="184">
        <f t="shared" si="17"/>
        <v>900000000</v>
      </c>
      <c r="Z40" s="175"/>
    </row>
    <row r="41" spans="1:26" x14ac:dyDescent="0.15">
      <c r="A41" s="99">
        <f t="shared" si="15"/>
        <v>2040</v>
      </c>
      <c r="B41" s="99">
        <v>23</v>
      </c>
      <c r="C41" s="99">
        <f t="shared" si="16"/>
        <v>22</v>
      </c>
      <c r="D41" s="183">
        <f t="shared" si="1"/>
        <v>1.4847654877136791</v>
      </c>
      <c r="E41" s="184">
        <f t="shared" si="2"/>
        <v>181169430.9658339</v>
      </c>
      <c r="F41" s="184"/>
      <c r="G41" s="185" cm="1">
        <f t="array" ref="G41">IF(A41&lt;startup_year,-equity_financing*depr_cap_infl*D41,0)</f>
        <v>0</v>
      </c>
      <c r="H41" s="184">
        <f t="shared" si="13"/>
        <v>-2177108.3363541225</v>
      </c>
      <c r="I41" s="185">
        <f>IF(C41=anal_period,-SUM($I$19:I40),IF(AND(C41&gt;=1,C41&lt;anal_period),working_cap_perct*(SUM(M41:N41)-SUM(M40:N40)),0))</f>
        <v>-316242.2290053874</v>
      </c>
      <c r="J41" s="185">
        <f t="shared" si="3"/>
        <v>0</v>
      </c>
      <c r="K41" s="185">
        <f t="shared" si="4"/>
        <v>0</v>
      </c>
      <c r="L41" s="185" cm="1">
        <f t="array" ref="L41">IF(C41=plant_life,-decom_prct*depr_cap_infl*D41,0)</f>
        <v>0</v>
      </c>
      <c r="M41" s="184">
        <f>IF(OR(A41&lt;startup_year,C41&gt;anal_period),0,IF(A41=startup_year,-Main!$B$84*Main!$E$121*D41,-Main!$E$121*D41))</f>
        <v>-27572543.867902704</v>
      </c>
      <c r="N41" s="184">
        <f>IF(OR(A41&lt;startup_year,C41&gt;anal_period),0,IF(A41=startup_year,-Main!$B$86*Main!$E$134*D41,-Main!$E$134*D41))</f>
        <v>-85497923.274726242</v>
      </c>
      <c r="O41" s="184">
        <f t="shared" si="5"/>
        <v>-8593166.9029964898</v>
      </c>
      <c r="P41" s="184">
        <f t="shared" si="6"/>
        <v>59505796.920208469</v>
      </c>
      <c r="Q41" s="184">
        <f>IF(C41=anal_period,-SUM(X95:$X$134),IF(C41&gt;anal_period,0,-X95))</f>
        <v>-41437256.313409448</v>
      </c>
      <c r="R41" s="184">
        <f t="shared" si="7"/>
        <v>18068540.606799021</v>
      </c>
      <c r="S41" s="184">
        <f t="shared" si="8"/>
        <v>-4650842.3521900671</v>
      </c>
      <c r="T41" s="184">
        <f t="shared" si="9"/>
        <v>0</v>
      </c>
      <c r="U41" s="184">
        <f t="shared" si="10"/>
        <v>52361604.002658889</v>
      </c>
      <c r="V41" s="184">
        <f t="shared" si="14"/>
        <v>8752011.297033444</v>
      </c>
      <c r="W41" s="184">
        <f t="shared" si="11"/>
        <v>57012446.354848959</v>
      </c>
      <c r="X41" s="184"/>
      <c r="Y41" s="184">
        <f t="shared" si="17"/>
        <v>900000000</v>
      </c>
      <c r="Z41" s="175"/>
    </row>
    <row r="42" spans="1:26" x14ac:dyDescent="0.15">
      <c r="A42" s="99">
        <f t="shared" si="15"/>
        <v>2041</v>
      </c>
      <c r="B42" s="99">
        <v>24</v>
      </c>
      <c r="C42" s="99">
        <f t="shared" si="16"/>
        <v>23</v>
      </c>
      <c r="D42" s="183">
        <f t="shared" si="1"/>
        <v>1.5129760319802392</v>
      </c>
      <c r="E42" s="184">
        <f t="shared" si="2"/>
        <v>184611650.15418476</v>
      </c>
      <c r="F42" s="184"/>
      <c r="G42" s="185" cm="1">
        <f t="array" ref="G42">IF(A42&lt;startup_year,-equity_financing*depr_cap_infl*D42,0)</f>
        <v>0</v>
      </c>
      <c r="H42" s="184">
        <f t="shared" si="13"/>
        <v>-2218473.3947448512</v>
      </c>
      <c r="I42" s="185">
        <f>IF(C42=anal_period,-SUM($I$19:I41),IF(AND(C42&gt;=1,C42&lt;anal_period),working_cap_perct*(SUM(M42:N42)-SUM(M41:N41)),0))</f>
        <v>-322250.83135649486</v>
      </c>
      <c r="J42" s="185">
        <f t="shared" si="3"/>
        <v>0</v>
      </c>
      <c r="K42" s="185">
        <f t="shared" si="4"/>
        <v>0</v>
      </c>
      <c r="L42" s="185" cm="1">
        <f t="array" ref="L42">IF(C42=plant_life,-decom_prct*depr_cap_infl*D42,0)</f>
        <v>0</v>
      </c>
      <c r="M42" s="184">
        <f>IF(OR(A42&lt;startup_year,C42&gt;anal_period),0,IF(A42=startup_year,-Main!$B$84*Main!$E$121*D42,-Main!$E$121*D42))</f>
        <v>-28096422.201392859</v>
      </c>
      <c r="N42" s="184">
        <f>IF(OR(A42&lt;startup_year,C42&gt;anal_period),0,IF(A42=startup_year,-Main!$B$86*Main!$E$134*D42,-Main!$E$134*D42))</f>
        <v>-87122383.816946045</v>
      </c>
      <c r="O42" s="184">
        <f t="shared" si="5"/>
        <v>-8593166.9029964898</v>
      </c>
      <c r="P42" s="184">
        <f t="shared" si="6"/>
        <v>60799677.23284936</v>
      </c>
      <c r="Q42" s="184">
        <f>IF(C42=anal_period,-SUM(X96:$X$134),IF(C42&gt;anal_period,0,-X96))</f>
        <v>-39563564.812216714</v>
      </c>
      <c r="R42" s="184">
        <f t="shared" si="7"/>
        <v>21236112.420632645</v>
      </c>
      <c r="S42" s="184">
        <f t="shared" si="8"/>
        <v>-5466175.3370708423</v>
      </c>
      <c r="T42" s="184">
        <f t="shared" si="9"/>
        <v>0</v>
      </c>
      <c r="U42" s="184">
        <f t="shared" si="10"/>
        <v>52792777.669677168</v>
      </c>
      <c r="V42" s="184">
        <f t="shared" si="14"/>
        <v>61544788.966710612</v>
      </c>
      <c r="W42" s="184">
        <f t="shared" si="11"/>
        <v>58258953.006748013</v>
      </c>
      <c r="X42" s="184"/>
      <c r="Y42" s="184">
        <f t="shared" si="17"/>
        <v>900000000</v>
      </c>
      <c r="Z42" s="175"/>
    </row>
    <row r="43" spans="1:26" x14ac:dyDescent="0.15">
      <c r="A43" s="99">
        <f t="shared" si="15"/>
        <v>2042</v>
      </c>
      <c r="B43" s="99">
        <v>25</v>
      </c>
      <c r="C43" s="99">
        <f t="shared" si="16"/>
        <v>24</v>
      </c>
      <c r="D43" s="183">
        <f t="shared" si="1"/>
        <v>1.5417225765878635</v>
      </c>
      <c r="E43" s="184">
        <f t="shared" si="2"/>
        <v>188119271.50711426</v>
      </c>
      <c r="F43" s="184"/>
      <c r="G43" s="185" cm="1">
        <f t="array" ref="G43">IF(A43&lt;startup_year,-equity_financing*depr_cap_infl*D43,0)</f>
        <v>0</v>
      </c>
      <c r="H43" s="184">
        <f t="shared" si="13"/>
        <v>-2260624.389245003</v>
      </c>
      <c r="I43" s="185">
        <f>IF(C43=anal_period,-SUM($I$19:I42),IF(AND(C43&gt;=1,C43&lt;anal_period),working_cap_perct*(SUM(M43:N43)-SUM(M42:N42)),0))</f>
        <v>-328373.59715226438</v>
      </c>
      <c r="J43" s="185">
        <f t="shared" si="3"/>
        <v>0</v>
      </c>
      <c r="K43" s="185">
        <f t="shared" si="4"/>
        <v>0</v>
      </c>
      <c r="L43" s="185" cm="1">
        <f t="array" ref="L43">IF(C43=plant_life,-decom_prct*depr_cap_infl*D43,0)</f>
        <v>0</v>
      </c>
      <c r="M43" s="184">
        <f>IF(OR(A43&lt;startup_year,C43&gt;anal_period),0,IF(A43=startup_year,-Main!$B$84*Main!$E$121*D43,-Main!$E$121*D43))</f>
        <v>-28630254.223219316</v>
      </c>
      <c r="N43" s="184">
        <f>IF(OR(A43&lt;startup_year,C43&gt;anal_period),0,IF(A43=startup_year,-Main!$B$86*Main!$E$134*D43,-Main!$E$134*D43))</f>
        <v>-88777709.109468013</v>
      </c>
      <c r="O43" s="184">
        <f t="shared" si="5"/>
        <v>-8593166.9029964898</v>
      </c>
      <c r="P43" s="184">
        <f t="shared" si="6"/>
        <v>62118141.271430433</v>
      </c>
      <c r="Q43" s="184">
        <f>IF(C43=anal_period,-SUM(X97:$X$134),IF(C43&gt;anal_period,0,-X97))</f>
        <v>-38092186.264443256</v>
      </c>
      <c r="R43" s="184">
        <f t="shared" si="7"/>
        <v>24025955.006987177</v>
      </c>
      <c r="S43" s="184">
        <f t="shared" si="8"/>
        <v>-6184280.8187984983</v>
      </c>
      <c r="T43" s="184">
        <f t="shared" si="9"/>
        <v>0</v>
      </c>
      <c r="U43" s="184">
        <f t="shared" si="10"/>
        <v>53344862.466234669</v>
      </c>
      <c r="V43" s="184">
        <f t="shared" si="14"/>
        <v>114889651.43294528</v>
      </c>
      <c r="W43" s="184">
        <f t="shared" si="11"/>
        <v>59529143.285033166</v>
      </c>
      <c r="X43" s="184"/>
      <c r="Y43" s="184">
        <f t="shared" si="17"/>
        <v>900000000</v>
      </c>
      <c r="Z43" s="175"/>
    </row>
    <row r="44" spans="1:26" x14ac:dyDescent="0.15">
      <c r="A44" s="99">
        <f t="shared" si="15"/>
        <v>2043</v>
      </c>
      <c r="B44" s="99">
        <v>26</v>
      </c>
      <c r="C44" s="99">
        <f t="shared" si="16"/>
        <v>25</v>
      </c>
      <c r="D44" s="183">
        <f t="shared" si="1"/>
        <v>1.5710153055430329</v>
      </c>
      <c r="E44" s="184">
        <f t="shared" si="2"/>
        <v>191693537.66574943</v>
      </c>
      <c r="F44" s="184"/>
      <c r="G44" s="185" cm="1">
        <f t="array" ref="G44">IF(A44&lt;startup_year,-equity_financing*depr_cap_infl*D44,0)</f>
        <v>0</v>
      </c>
      <c r="H44" s="184">
        <f t="shared" si="13"/>
        <v>-2303576.2526406581</v>
      </c>
      <c r="I44" s="185">
        <f>IF(C44=anal_period,-SUM($I$19:I43),IF(AND(C44&gt;=1,C44&lt;anal_period),working_cap_perct*(SUM(M44:N44)-SUM(M43:N43)),0))</f>
        <v>-334612.69549815729</v>
      </c>
      <c r="J44" s="185">
        <f t="shared" si="3"/>
        <v>0</v>
      </c>
      <c r="K44" s="185">
        <f t="shared" si="4"/>
        <v>0</v>
      </c>
      <c r="L44" s="185" cm="1">
        <f t="array" ref="L44">IF(C44=plant_life,-decom_prct*depr_cap_infl*D44,0)</f>
        <v>0</v>
      </c>
      <c r="M44" s="184">
        <f>IF(OR(A44&lt;startup_year,C44&gt;anal_period),0,IF(A44=startup_year,-Main!$B$84*Main!$E$121*D44,-Main!$E$121*D44))</f>
        <v>-29174229.053460483</v>
      </c>
      <c r="N44" s="184">
        <f>IF(OR(A44&lt;startup_year,C44&gt;anal_period),0,IF(A44=startup_year,-Main!$B$86*Main!$E$134*D44,-Main!$E$134*D44))</f>
        <v>-90464485.582547903</v>
      </c>
      <c r="O44" s="184">
        <f t="shared" si="5"/>
        <v>-8593166.9029964898</v>
      </c>
      <c r="P44" s="184">
        <f t="shared" si="6"/>
        <v>63461656.126744553</v>
      </c>
      <c r="Q44" s="184">
        <f>IF(C44=anal_period,-SUM(X98:$X$134),IF(C44&gt;anal_period,0,-X98))</f>
        <v>-36783741.641575038</v>
      </c>
      <c r="R44" s="184">
        <f t="shared" si="7"/>
        <v>26677914.485169515</v>
      </c>
      <c r="S44" s="184">
        <f t="shared" si="8"/>
        <v>-6866895.1884826319</v>
      </c>
      <c r="T44" s="184">
        <f t="shared" si="9"/>
        <v>0</v>
      </c>
      <c r="U44" s="184">
        <f t="shared" si="10"/>
        <v>53956571.990123101</v>
      </c>
      <c r="V44" s="184">
        <f t="shared" si="14"/>
        <v>168846223.42306837</v>
      </c>
      <c r="W44" s="184">
        <f t="shared" si="11"/>
        <v>60823467.178605735</v>
      </c>
      <c r="X44" s="184"/>
      <c r="Y44" s="184">
        <f t="shared" si="17"/>
        <v>900000000</v>
      </c>
      <c r="Z44" s="175"/>
    </row>
    <row r="45" spans="1:26" x14ac:dyDescent="0.15">
      <c r="A45" s="99">
        <f t="shared" si="15"/>
        <v>2044</v>
      </c>
      <c r="B45" s="99">
        <v>27</v>
      </c>
      <c r="C45" s="99">
        <f t="shared" si="16"/>
        <v>26</v>
      </c>
      <c r="D45" s="183">
        <f t="shared" si="1"/>
        <v>1.6008645963483503</v>
      </c>
      <c r="E45" s="184">
        <f t="shared" si="2"/>
        <v>195335714.88139862</v>
      </c>
      <c r="F45" s="184"/>
      <c r="G45" s="185" cm="1">
        <f t="array" ref="G45">IF(A45&lt;startup_year,-equity_financing*depr_cap_infl*D45,0)</f>
        <v>0</v>
      </c>
      <c r="H45" s="184">
        <f t="shared" si="13"/>
        <v>-114033493.61716512</v>
      </c>
      <c r="I45" s="185">
        <f>IF(C45=anal_period,-SUM($I$19:I44),IF(AND(C45&gt;=1,C45&lt;anal_period),working_cap_perct*(SUM(M45:N45)-SUM(M44:N44)),0))</f>
        <v>-340970.33671262115</v>
      </c>
      <c r="J45" s="185">
        <f t="shared" si="3"/>
        <v>0</v>
      </c>
      <c r="K45" s="185">
        <f t="shared" si="4"/>
        <v>0</v>
      </c>
      <c r="L45" s="185" cm="1">
        <f t="array" ref="L45">IF(C45=plant_life,-decom_prct*depr_cap_infl*D45,0)</f>
        <v>0</v>
      </c>
      <c r="M45" s="184">
        <f>IF(OR(A45&lt;startup_year,C45&gt;anal_period),0,IF(A45=startup_year,-Main!$B$84*Main!$E$121*D45,-Main!$E$121*D45))</f>
        <v>-29728539.405476231</v>
      </c>
      <c r="N45" s="184">
        <f>IF(OR(A45&lt;startup_year,C45&gt;anal_period),0,IF(A45=startup_year,-Main!$B$86*Main!$E$134*D45,-Main!$E$134*D45))</f>
        <v>-92183310.808616295</v>
      </c>
      <c r="O45" s="184">
        <f t="shared" si="5"/>
        <v>-8593166.9029964898</v>
      </c>
      <c r="P45" s="184">
        <f t="shared" si="6"/>
        <v>64830697.7643096</v>
      </c>
      <c r="Q45" s="184">
        <f>IF(C45=anal_period,-SUM(X99:$X$134),IF(C45&gt;anal_period,0,-X99))</f>
        <v>-38057116.871713333</v>
      </c>
      <c r="R45" s="184">
        <f t="shared" si="7"/>
        <v>26773580.892596267</v>
      </c>
      <c r="S45" s="184">
        <f t="shared" si="8"/>
        <v>-6891519.7217542781</v>
      </c>
      <c r="T45" s="184">
        <f t="shared" si="9"/>
        <v>0</v>
      </c>
      <c r="U45" s="184">
        <f t="shared" si="10"/>
        <v>-56435285.911322422</v>
      </c>
      <c r="V45" s="184">
        <f t="shared" si="14"/>
        <v>112410937.51174596</v>
      </c>
      <c r="W45" s="184">
        <f t="shared" si="11"/>
        <v>-49543766.189568147</v>
      </c>
      <c r="X45" s="184"/>
      <c r="Y45" s="184">
        <f t="shared" si="17"/>
        <v>900000000</v>
      </c>
      <c r="Z45" s="175"/>
    </row>
    <row r="46" spans="1:26" x14ac:dyDescent="0.15">
      <c r="A46" s="99">
        <f t="shared" si="15"/>
        <v>2045</v>
      </c>
      <c r="B46" s="99">
        <v>28</v>
      </c>
      <c r="C46" s="99">
        <f t="shared" si="16"/>
        <v>27</v>
      </c>
      <c r="D46" s="183">
        <f t="shared" si="1"/>
        <v>1.631281023678969</v>
      </c>
      <c r="E46" s="184">
        <f t="shared" si="2"/>
        <v>199047093.46414518</v>
      </c>
      <c r="F46" s="184"/>
      <c r="G46" s="185" cm="1">
        <f t="array" ref="G46">IF(A46&lt;startup_year,-equity_financing*depr_cap_infl*D46,0)</f>
        <v>0</v>
      </c>
      <c r="H46" s="184">
        <f t="shared" si="13"/>
        <v>-2391943.7412682059</v>
      </c>
      <c r="I46" s="185">
        <f>IF(C46=anal_period,-SUM($I$19:I45),IF(AND(C46&gt;=1,C46&lt;anal_period),working_cap_perct*(SUM(M46:N46)-SUM(M45:N45)),0))</f>
        <v>-347448.77311016322</v>
      </c>
      <c r="J46" s="185">
        <f t="shared" si="3"/>
        <v>0</v>
      </c>
      <c r="K46" s="185">
        <f t="shared" si="4"/>
        <v>0</v>
      </c>
      <c r="L46" s="185" cm="1">
        <f t="array" ref="L46">IF(C46=plant_life,-decom_prct*depr_cap_infl*D46,0)</f>
        <v>0</v>
      </c>
      <c r="M46" s="184">
        <f>IF(OR(A46&lt;startup_year,C46&gt;anal_period),0,IF(A46=startup_year,-Main!$B$84*Main!$E$121*D46,-Main!$E$121*D46))</f>
        <v>-30293381.654180277</v>
      </c>
      <c r="N46" s="184">
        <f>IF(OR(A46&lt;startup_year,C46&gt;anal_period),0,IF(A46=startup_year,-Main!$B$86*Main!$E$134*D46,-Main!$E$134*D46))</f>
        <v>-93934793.713980004</v>
      </c>
      <c r="O46" s="184">
        <f t="shared" si="5"/>
        <v>-8593166.9029964898</v>
      </c>
      <c r="P46" s="184">
        <f t="shared" si="6"/>
        <v>66225751.192988411</v>
      </c>
      <c r="Q46" s="184">
        <f>IF(C46=anal_period,-SUM(X100:$X$134),IF(C46&gt;anal_period,0,-X100))</f>
        <v>-39109441.193485297</v>
      </c>
      <c r="R46" s="184">
        <f t="shared" si="7"/>
        <v>27116309.999503113</v>
      </c>
      <c r="S46" s="184">
        <f t="shared" si="8"/>
        <v>-6979738.1938721007</v>
      </c>
      <c r="T46" s="184">
        <f t="shared" si="9"/>
        <v>0</v>
      </c>
      <c r="U46" s="184">
        <f t="shared" si="10"/>
        <v>56506620.48473794</v>
      </c>
      <c r="V46" s="184">
        <f t="shared" si="14"/>
        <v>168917557.99648389</v>
      </c>
      <c r="W46" s="184">
        <f t="shared" si="11"/>
        <v>63486358.678610042</v>
      </c>
      <c r="X46" s="184"/>
      <c r="Y46" s="184">
        <f t="shared" si="17"/>
        <v>900000000</v>
      </c>
      <c r="Z46" s="175"/>
    </row>
    <row r="47" spans="1:26" x14ac:dyDescent="0.15">
      <c r="A47" s="99">
        <f t="shared" si="15"/>
        <v>2046</v>
      </c>
      <c r="B47" s="99">
        <v>29</v>
      </c>
      <c r="C47" s="99">
        <f t="shared" si="16"/>
        <v>28</v>
      </c>
      <c r="D47" s="183">
        <f t="shared" si="1"/>
        <v>1.6622753631288694</v>
      </c>
      <c r="E47" s="184">
        <f t="shared" si="2"/>
        <v>202828988.23996398</v>
      </c>
      <c r="F47" s="184"/>
      <c r="G47" s="185" cm="1">
        <f t="array" ref="G47">IF(A47&lt;startup_year,-equity_financing*depr_cap_infl*D47,0)</f>
        <v>0</v>
      </c>
      <c r="H47" s="184">
        <f t="shared" si="13"/>
        <v>-2437390.6723523019</v>
      </c>
      <c r="I47" s="185">
        <f>IF(C47=anal_period,-SUM($I$19:I46),IF(AND(C47&gt;=1,C47&lt;anal_period),working_cap_perct*(SUM(M47:N47)-SUM(M46:N46)),0))</f>
        <v>-354050.29979925603</v>
      </c>
      <c r="J47" s="185">
        <f t="shared" si="3"/>
        <v>0</v>
      </c>
      <c r="K47" s="185">
        <f t="shared" si="4"/>
        <v>0</v>
      </c>
      <c r="L47" s="185" cm="1">
        <f t="array" ref="L47">IF(C47=plant_life,-decom_prct*depr_cap_infl*D47,0)</f>
        <v>0</v>
      </c>
      <c r="M47" s="184">
        <f>IF(OR(A47&lt;startup_year,C47&gt;anal_period),0,IF(A47=startup_year,-Main!$B$84*Main!$E$121*D47,-Main!$E$121*D47))</f>
        <v>-30868955.905609701</v>
      </c>
      <c r="N47" s="184">
        <f>IF(OR(A47&lt;startup_year,C47&gt;anal_period),0,IF(A47=startup_year,-Main!$B$86*Main!$E$134*D47,-Main!$E$134*D47))</f>
        <v>-95719554.794545621</v>
      </c>
      <c r="O47" s="184">
        <f t="shared" si="5"/>
        <v>-8593166.9029964898</v>
      </c>
      <c r="P47" s="184">
        <f t="shared" si="6"/>
        <v>67647310.63681218</v>
      </c>
      <c r="Q47" s="184">
        <f>IF(C47=anal_period,-SUM(X101:$X$134),IF(C47&gt;anal_period,0,-X101))</f>
        <v>-37479767.970564499</v>
      </c>
      <c r="R47" s="184">
        <f t="shared" si="7"/>
        <v>30167542.666247681</v>
      </c>
      <c r="S47" s="184">
        <f t="shared" si="8"/>
        <v>-7765125.482292152</v>
      </c>
      <c r="T47" s="184">
        <f t="shared" si="9"/>
        <v>0</v>
      </c>
      <c r="U47" s="184">
        <f t="shared" si="10"/>
        <v>57090744.182368472</v>
      </c>
      <c r="V47" s="184">
        <f t="shared" si="14"/>
        <v>226008302.17885238</v>
      </c>
      <c r="W47" s="184">
        <f t="shared" si="11"/>
        <v>64855869.664660625</v>
      </c>
      <c r="X47" s="184"/>
      <c r="Y47" s="184">
        <f t="shared" si="17"/>
        <v>900000000</v>
      </c>
      <c r="Z47" s="175"/>
    </row>
    <row r="48" spans="1:26" x14ac:dyDescent="0.15">
      <c r="A48" s="99">
        <f t="shared" si="15"/>
        <v>2047</v>
      </c>
      <c r="B48" s="99">
        <v>30</v>
      </c>
      <c r="C48" s="99">
        <f t="shared" si="16"/>
        <v>29</v>
      </c>
      <c r="D48" s="183">
        <f t="shared" si="1"/>
        <v>1.6938585950283176</v>
      </c>
      <c r="E48" s="184">
        <f t="shared" si="2"/>
        <v>206682739.01652324</v>
      </c>
      <c r="F48" s="184"/>
      <c r="G48" s="185" cm="1">
        <f t="array" ref="G48">IF(A48&lt;startup_year,-equity_financing*depr_cap_infl*D48,0)</f>
        <v>0</v>
      </c>
      <c r="H48" s="184">
        <f t="shared" si="13"/>
        <v>-2483701.0951269949</v>
      </c>
      <c r="I48" s="185">
        <f>IF(C48=anal_period,-SUM($I$19:I47),IF(AND(C48&gt;=1,C48&lt;anal_period),working_cap_perct*(SUM(M48:N48)-SUM(M47:N47)),0))</f>
        <v>-360777.25549544243</v>
      </c>
      <c r="J48" s="185">
        <f t="shared" si="3"/>
        <v>0</v>
      </c>
      <c r="K48" s="185">
        <f t="shared" si="4"/>
        <v>0</v>
      </c>
      <c r="L48" s="185" cm="1">
        <f t="array" ref="L48">IF(C48=plant_life,-decom_prct*depr_cap_infl*D48,0)</f>
        <v>0</v>
      </c>
      <c r="M48" s="184">
        <f>IF(OR(A48&lt;startup_year,C48&gt;anal_period),0,IF(A48=startup_year,-Main!$B$84*Main!$E$121*D48,-Main!$E$121*D48))</f>
        <v>-31455466.06781628</v>
      </c>
      <c r="N48" s="184">
        <f>IF(OR(A48&lt;startup_year,C48&gt;anal_period),0,IF(A48=startup_year,-Main!$B$86*Main!$E$134*D48,-Main!$E$134*D48))</f>
        <v>-97538226.33564198</v>
      </c>
      <c r="O48" s="184">
        <f t="shared" si="5"/>
        <v>-8593166.9029964898</v>
      </c>
      <c r="P48" s="184">
        <f t="shared" si="6"/>
        <v>69095879.710068494</v>
      </c>
      <c r="Q48" s="184">
        <f>IF(C48=anal_period,-SUM(X102:$X$134),IF(C48&gt;anal_period,0,-X102))</f>
        <v>-36788041.641408242</v>
      </c>
      <c r="R48" s="184">
        <f t="shared" si="7"/>
        <v>32307838.068660252</v>
      </c>
      <c r="S48" s="184">
        <f t="shared" si="8"/>
        <v>-8316037.5188731477</v>
      </c>
      <c r="T48" s="184">
        <f t="shared" si="9"/>
        <v>0</v>
      </c>
      <c r="U48" s="184">
        <f t="shared" si="10"/>
        <v>57935363.840572909</v>
      </c>
      <c r="V48" s="184">
        <f t="shared" si="14"/>
        <v>283943666.01942527</v>
      </c>
      <c r="W48" s="184">
        <f t="shared" si="11"/>
        <v>66251401.359446056</v>
      </c>
      <c r="X48" s="184"/>
      <c r="Y48" s="184">
        <f t="shared" si="17"/>
        <v>900000000</v>
      </c>
      <c r="Z48" s="175"/>
    </row>
    <row r="49" spans="1:26" x14ac:dyDescent="0.15">
      <c r="A49" s="99">
        <f t="shared" si="15"/>
        <v>2048</v>
      </c>
      <c r="B49" s="99">
        <v>31</v>
      </c>
      <c r="C49" s="99">
        <f t="shared" si="16"/>
        <v>30</v>
      </c>
      <c r="D49" s="183">
        <f t="shared" si="1"/>
        <v>1.7260419083338554</v>
      </c>
      <c r="E49" s="184">
        <f t="shared" si="2"/>
        <v>210609711.05783716</v>
      </c>
      <c r="F49" s="184"/>
      <c r="G49" s="185" cm="1">
        <f t="array" ref="G49">IF(A49&lt;startup_year,-equity_financing*depr_cap_infl*D49,0)</f>
        <v>0</v>
      </c>
      <c r="H49" s="184">
        <f t="shared" si="13"/>
        <v>-2530891.4159344076</v>
      </c>
      <c r="I49" s="185">
        <f>IF(C49=anal_period,-SUM($I$19:I48),IF(AND(C49&gt;=1,C49&lt;anal_period),working_cap_perct*(SUM(M49:N49)-SUM(M48:N48)),0))</f>
        <v>-367632.02334984986</v>
      </c>
      <c r="J49" s="185">
        <f t="shared" si="3"/>
        <v>0</v>
      </c>
      <c r="K49" s="185">
        <f t="shared" si="4"/>
        <v>0</v>
      </c>
      <c r="L49" s="185" cm="1">
        <f t="array" ref="L49">IF(C49=plant_life,-decom_prct*depr_cap_infl*D49,0)</f>
        <v>0</v>
      </c>
      <c r="M49" s="184">
        <f>IF(OR(A49&lt;startup_year,C49&gt;anal_period),0,IF(A49=startup_year,-Main!$B$84*Main!$E$121*D49,-Main!$E$121*D49))</f>
        <v>-32053119.923104785</v>
      </c>
      <c r="N49" s="184">
        <f>IF(OR(A49&lt;startup_year,C49&gt;anal_period),0,IF(A49=startup_year,-Main!$B$86*Main!$E$134*D49,-Main!$E$134*D49))</f>
        <v>-99391452.636019155</v>
      </c>
      <c r="O49" s="184">
        <f t="shared" si="5"/>
        <v>-8593166.9029964898</v>
      </c>
      <c r="P49" s="184">
        <f t="shared" si="6"/>
        <v>70571971.595716745</v>
      </c>
      <c r="Q49" s="184">
        <f>IF(C49=anal_period,-SUM(X103:$X$134),IF(C49&gt;anal_period,0,-X103))</f>
        <v>-41437256.313409448</v>
      </c>
      <c r="R49" s="184">
        <f t="shared" si="7"/>
        <v>29134715.282307297</v>
      </c>
      <c r="S49" s="184">
        <f t="shared" si="8"/>
        <v>-7499275.713665897</v>
      </c>
      <c r="T49" s="184">
        <f t="shared" si="9"/>
        <v>0</v>
      </c>
      <c r="U49" s="184">
        <f t="shared" si="10"/>
        <v>60174172.442766584</v>
      </c>
      <c r="V49" s="184">
        <f t="shared" si="14"/>
        <v>344117838.46219188</v>
      </c>
      <c r="W49" s="184">
        <f t="shared" si="11"/>
        <v>67673448.15643248</v>
      </c>
      <c r="X49" s="184"/>
      <c r="Y49" s="184">
        <f t="shared" si="17"/>
        <v>900000000</v>
      </c>
      <c r="Z49" s="175"/>
    </row>
    <row r="50" spans="1:26" x14ac:dyDescent="0.15">
      <c r="A50" s="99">
        <f t="shared" si="15"/>
        <v>2049</v>
      </c>
      <c r="B50" s="99">
        <v>32</v>
      </c>
      <c r="C50" s="99">
        <f t="shared" si="16"/>
        <v>31</v>
      </c>
      <c r="D50" s="183">
        <f t="shared" si="1"/>
        <v>1.7588367045921991</v>
      </c>
      <c r="E50" s="184">
        <f t="shared" si="2"/>
        <v>214611295.56793609</v>
      </c>
      <c r="F50" s="184"/>
      <c r="G50" s="185" cm="1">
        <f t="array" ref="G50">IF(A50&lt;startup_year,-equity_financing*depr_cap_infl*D50,0)</f>
        <v>0</v>
      </c>
      <c r="H50" s="184">
        <f t="shared" si="13"/>
        <v>-352618414.2781471</v>
      </c>
      <c r="I50" s="185">
        <f>IF(C50=anal_period,-SUM($I$19:I49),IF(AND(C50&gt;=1,C50&lt;anal_period),working_cap_perct*(SUM(M50:N50)-SUM(M49:N49)),0))</f>
        <v>-374617.03179350944</v>
      </c>
      <c r="J50" s="185">
        <f t="shared" si="3"/>
        <v>0</v>
      </c>
      <c r="K50" s="185">
        <f t="shared" si="4"/>
        <v>0</v>
      </c>
      <c r="L50" s="185" cm="1">
        <f t="array" ref="L50">IF(C50=plant_life,-decom_prct*depr_cap_infl*D50,0)</f>
        <v>0</v>
      </c>
      <c r="M50" s="184">
        <f>IF(OR(A50&lt;startup_year,C50&gt;anal_period),0,IF(A50=startup_year,-Main!$B$84*Main!$E$121*D50,-Main!$E$121*D50))</f>
        <v>-32662129.201643787</v>
      </c>
      <c r="N50" s="184">
        <f>IF(OR(A50&lt;startup_year,C50&gt;anal_period),0,IF(A50=startup_year,-Main!$B$86*Main!$E$134*D50,-Main!$E$134*D50))</f>
        <v>-101279890.23610355</v>
      </c>
      <c r="O50" s="184">
        <f t="shared" si="5"/>
        <v>-8593166.9029964898</v>
      </c>
      <c r="P50" s="184">
        <f t="shared" si="6"/>
        <v>72076109.227192283</v>
      </c>
      <c r="Q50" s="184">
        <f>IF(C50=anal_period,-SUM(X104:$X$134),IF(C50&gt;anal_period,0,-X104))</f>
        <v>-39563564.812216714</v>
      </c>
      <c r="R50" s="184">
        <f t="shared" si="7"/>
        <v>32512544.414975569</v>
      </c>
      <c r="S50" s="184">
        <f t="shared" si="8"/>
        <v>-8368728.9324147105</v>
      </c>
      <c r="T50" s="184">
        <f t="shared" si="9"/>
        <v>0</v>
      </c>
      <c r="U50" s="184">
        <f t="shared" si="10"/>
        <v>-289285651.01516306</v>
      </c>
      <c r="V50" s="184">
        <f t="shared" si="14"/>
        <v>54832187.447028816</v>
      </c>
      <c r="W50" s="184">
        <f t="shared" si="11"/>
        <v>-280916922.08274835</v>
      </c>
      <c r="X50" s="184"/>
      <c r="Y50" s="184">
        <f t="shared" si="17"/>
        <v>900000000</v>
      </c>
      <c r="Z50" s="157"/>
    </row>
    <row r="51" spans="1:26" x14ac:dyDescent="0.15">
      <c r="A51" s="99">
        <f t="shared" si="15"/>
        <v>2050</v>
      </c>
      <c r="B51" s="99">
        <v>33</v>
      </c>
      <c r="C51" s="99">
        <f t="shared" si="16"/>
        <v>32</v>
      </c>
      <c r="D51" s="183">
        <f t="shared" si="1"/>
        <v>1.7922546019794507</v>
      </c>
      <c r="E51" s="184">
        <f t="shared" si="2"/>
        <v>218688910.18372691</v>
      </c>
      <c r="F51" s="184"/>
      <c r="G51" s="185" cm="1">
        <f t="array" ref="G51">IF(A51&lt;startup_year,-equity_financing*depr_cap_infl*D51,0)</f>
        <v>0</v>
      </c>
      <c r="H51" s="184">
        <f t="shared" si="13"/>
        <v>-2627978.9415410678</v>
      </c>
      <c r="I51" s="185">
        <f>IF(C51=anal_period,-SUM($I$19:I50),IF(AND(C51&gt;=1,C51&lt;anal_period),working_cap_perct*(SUM(M51:N51)-SUM(M50:N50)),0))</f>
        <v>-381734.75539758056</v>
      </c>
      <c r="J51" s="185">
        <f t="shared" si="3"/>
        <v>0</v>
      </c>
      <c r="K51" s="185">
        <f t="shared" si="4"/>
        <v>0</v>
      </c>
      <c r="L51" s="185" cm="1">
        <f t="array" ref="L51">IF(C51=plant_life,-decom_prct*depr_cap_infl*D51,0)</f>
        <v>0</v>
      </c>
      <c r="M51" s="184">
        <f>IF(OR(A51&lt;startup_year,C51&gt;anal_period),0,IF(A51=startup_year,-Main!$B$84*Main!$E$121*D51,-Main!$E$121*D51))</f>
        <v>-33282709.656475015</v>
      </c>
      <c r="N51" s="184">
        <f>IF(OR(A51&lt;startup_year,C51&gt;anal_period),0,IF(A51=startup_year,-Main!$B$86*Main!$E$134*D51,-Main!$E$134*D51))</f>
        <v>-103204208.15058951</v>
      </c>
      <c r="O51" s="184">
        <f t="shared" si="5"/>
        <v>-8593166.9029964898</v>
      </c>
      <c r="P51" s="184">
        <f t="shared" si="6"/>
        <v>73608825.473665893</v>
      </c>
      <c r="Q51" s="184">
        <f>IF(C51=anal_period,-SUM(X105:$X$134),IF(C51&gt;anal_period,0,-X105))</f>
        <v>-38092186.264443256</v>
      </c>
      <c r="R51" s="184">
        <f t="shared" si="7"/>
        <v>35516639.209222637</v>
      </c>
      <c r="S51" s="184">
        <f t="shared" si="8"/>
        <v>-9141982.9324539062</v>
      </c>
      <c r="T51" s="184">
        <f t="shared" si="9"/>
        <v>0</v>
      </c>
      <c r="U51" s="184">
        <f t="shared" si="10"/>
        <v>61457128.844273336</v>
      </c>
      <c r="V51" s="184">
        <f t="shared" si="14"/>
        <v>116289316.29130214</v>
      </c>
      <c r="W51" s="184">
        <f t="shared" si="11"/>
        <v>70599111.776727244</v>
      </c>
      <c r="X51" s="184"/>
      <c r="Y51" s="184">
        <f t="shared" si="17"/>
        <v>900000000</v>
      </c>
      <c r="Z51" s="157"/>
    </row>
    <row r="52" spans="1:26" x14ac:dyDescent="0.15">
      <c r="A52" s="99">
        <f t="shared" si="15"/>
        <v>2051</v>
      </c>
      <c r="B52" s="99">
        <v>34</v>
      </c>
      <c r="C52" s="99">
        <f t="shared" si="16"/>
        <v>33</v>
      </c>
      <c r="D52" s="183">
        <f t="shared" si="1"/>
        <v>1.8263074394170602</v>
      </c>
      <c r="E52" s="184">
        <f t="shared" si="2"/>
        <v>222843999.47721767</v>
      </c>
      <c r="F52" s="184"/>
      <c r="G52" s="185" cm="1">
        <f t="array" ref="G52">IF(A52&lt;startup_year,-equity_financing*depr_cap_infl*D52,0)</f>
        <v>0</v>
      </c>
      <c r="H52" s="184">
        <f t="shared" si="13"/>
        <v>-2677910.5414303481</v>
      </c>
      <c r="I52" s="185">
        <f>IF(C52=anal_period,-SUM($I$19:I51),IF(AND(C52&gt;=1,C52&lt;anal_period),working_cap_perct*(SUM(M52:N52)-SUM(M51:N51)),0))</f>
        <v>-388987.71575013397</v>
      </c>
      <c r="J52" s="185">
        <f t="shared" si="3"/>
        <v>0</v>
      </c>
      <c r="K52" s="185">
        <f t="shared" si="4"/>
        <v>0</v>
      </c>
      <c r="L52" s="185" cm="1">
        <f t="array" ref="L52">IF(C52=plant_life,-decom_prct*depr_cap_infl*D52,0)</f>
        <v>0</v>
      </c>
      <c r="M52" s="184">
        <f>IF(OR(A52&lt;startup_year,C52&gt;anal_period),0,IF(A52=startup_year,-Main!$B$84*Main!$E$121*D52,-Main!$E$121*D52))</f>
        <v>-33915081.13994804</v>
      </c>
      <c r="N52" s="184">
        <f>IF(OR(A52&lt;startup_year,C52&gt;anal_period),0,IF(A52=startup_year,-Main!$B$86*Main!$E$134*D52,-Main!$E$134*D52))</f>
        <v>-105165088.1054507</v>
      </c>
      <c r="O52" s="184">
        <f t="shared" si="5"/>
        <v>-8593166.9029964898</v>
      </c>
      <c r="P52" s="184">
        <f t="shared" si="6"/>
        <v>75170663.328822434</v>
      </c>
      <c r="Q52" s="184">
        <f>IF(C52=anal_period,-SUM(X106:$X$134),IF(C52&gt;anal_period,0,-X106))</f>
        <v>-36783741.641575038</v>
      </c>
      <c r="R52" s="184">
        <f t="shared" si="7"/>
        <v>38386921.687247396</v>
      </c>
      <c r="S52" s="184">
        <f t="shared" si="8"/>
        <v>-9880793.6422974784</v>
      </c>
      <c r="T52" s="184">
        <f t="shared" si="9"/>
        <v>0</v>
      </c>
      <c r="U52" s="184">
        <f t="shared" si="10"/>
        <v>62222971.429344475</v>
      </c>
      <c r="V52" s="184">
        <f t="shared" si="14"/>
        <v>178512287.72064662</v>
      </c>
      <c r="W52" s="184">
        <f t="shared" si="11"/>
        <v>72103765.071641952</v>
      </c>
      <c r="X52" s="184"/>
      <c r="Y52" s="184">
        <f t="shared" si="17"/>
        <v>900000000</v>
      </c>
      <c r="Z52" s="157"/>
    </row>
    <row r="53" spans="1:26" x14ac:dyDescent="0.15">
      <c r="A53" s="99">
        <f t="shared" si="15"/>
        <v>2052</v>
      </c>
      <c r="B53" s="99">
        <v>35</v>
      </c>
      <c r="C53" s="99">
        <f t="shared" si="16"/>
        <v>34</v>
      </c>
      <c r="D53" s="183">
        <f t="shared" si="1"/>
        <v>1.8610072807659841</v>
      </c>
      <c r="E53" s="184">
        <f t="shared" si="2"/>
        <v>227078035.46728477</v>
      </c>
      <c r="F53" s="184"/>
      <c r="G53" s="185" cm="1">
        <f t="array" ref="G53">IF(A53&lt;startup_year,-equity_financing*depr_cap_infl*D53,0)</f>
        <v>0</v>
      </c>
      <c r="H53" s="184">
        <f t="shared" si="13"/>
        <v>-2728790.8417175245</v>
      </c>
      <c r="I53" s="185">
        <f>IF(C53=anal_period,-SUM($I$19:I52),IF(AND(C53&gt;=1,C53&lt;anal_period),working_cap_perct*(SUM(M53:N53)-SUM(M52:N52)),0))</f>
        <v>-396378.48234938085</v>
      </c>
      <c r="J53" s="185">
        <f t="shared" si="3"/>
        <v>0</v>
      </c>
      <c r="K53" s="185">
        <f t="shared" si="4"/>
        <v>0</v>
      </c>
      <c r="L53" s="185" cm="1">
        <f t="array" ref="L53">IF(C53=plant_life,-decom_prct*depr_cap_infl*D53,0)</f>
        <v>0</v>
      </c>
      <c r="M53" s="184">
        <f>IF(OR(A53&lt;startup_year,C53&gt;anal_period),0,IF(A53=startup_year,-Main!$B$84*Main!$E$121*D53,-Main!$E$121*D53))</f>
        <v>-34559467.681607045</v>
      </c>
      <c r="N53" s="184">
        <f>IF(OR(A53&lt;startup_year,C53&gt;anal_period),0,IF(A53=startup_year,-Main!$B$86*Main!$E$134*D53,-Main!$E$134*D53))</f>
        <v>-107163224.77945426</v>
      </c>
      <c r="O53" s="184">
        <f t="shared" si="5"/>
        <v>-8593166.9029964898</v>
      </c>
      <c r="P53" s="184">
        <f t="shared" si="6"/>
        <v>76762176.10322699</v>
      </c>
      <c r="Q53" s="184">
        <f>IF(C53=anal_period,-SUM(X107:$X$134),IF(C53&gt;anal_period,0,-X107))</f>
        <v>-38057116.871713333</v>
      </c>
      <c r="R53" s="184">
        <f t="shared" si="7"/>
        <v>38705059.231513657</v>
      </c>
      <c r="S53" s="184">
        <f t="shared" si="8"/>
        <v>-9962682.2461916134</v>
      </c>
      <c r="T53" s="184">
        <f t="shared" si="9"/>
        <v>0</v>
      </c>
      <c r="U53" s="184">
        <f t="shared" si="10"/>
        <v>63674324.532968469</v>
      </c>
      <c r="V53" s="184">
        <f t="shared" si="14"/>
        <v>242186612.25361508</v>
      </c>
      <c r="W53" s="184">
        <f t="shared" si="11"/>
        <v>73637006.779160082</v>
      </c>
      <c r="X53" s="184"/>
      <c r="Y53" s="184">
        <f t="shared" si="17"/>
        <v>900000000</v>
      </c>
      <c r="Z53" s="158"/>
    </row>
    <row r="54" spans="1:26" x14ac:dyDescent="0.15">
      <c r="A54" s="99">
        <f t="shared" si="15"/>
        <v>2053</v>
      </c>
      <c r="B54" s="99">
        <v>36</v>
      </c>
      <c r="C54" s="99">
        <f t="shared" si="16"/>
        <v>35</v>
      </c>
      <c r="D54" s="183">
        <f t="shared" si="1"/>
        <v>1.8963664191005378</v>
      </c>
      <c r="E54" s="184">
        <f t="shared" si="2"/>
        <v>231392518.14116323</v>
      </c>
      <c r="F54" s="184"/>
      <c r="G54" s="185" cm="1">
        <f t="array" ref="G54">IF(A54&lt;startup_year,-equity_financing*depr_cap_infl*D54,0)</f>
        <v>0</v>
      </c>
      <c r="H54" s="184">
        <f t="shared" si="13"/>
        <v>-2780637.8677101573</v>
      </c>
      <c r="I54" s="185">
        <f>IF(C54=anal_period,-SUM($I$19:I53),IF(AND(C54&gt;=1,C54&lt;anal_period),working_cap_perct*(SUM(M54:N54)-SUM(M53:N53)),0))</f>
        <v>-403909.67351402342</v>
      </c>
      <c r="J54" s="185">
        <f t="shared" si="3"/>
        <v>0</v>
      </c>
      <c r="K54" s="185">
        <f t="shared" si="4"/>
        <v>0</v>
      </c>
      <c r="L54" s="185" cm="1">
        <f t="array" ref="L54">IF(C54=plant_life,-decom_prct*depr_cap_infl*D54,0)</f>
        <v>0</v>
      </c>
      <c r="M54" s="184">
        <f>IF(OR(A54&lt;startup_year,C54&gt;anal_period),0,IF(A54=startup_year,-Main!$B$84*Main!$E$121*D54,-Main!$E$121*D54))</f>
        <v>-35216097.567557581</v>
      </c>
      <c r="N54" s="184">
        <f>IF(OR(A54&lt;startup_year,C54&gt;anal_period),0,IF(A54=startup_year,-Main!$B$86*Main!$E$134*D54,-Main!$E$134*D54))</f>
        <v>-109199326.05026388</v>
      </c>
      <c r="O54" s="184">
        <f t="shared" si="5"/>
        <v>-8593166.9029964898</v>
      </c>
      <c r="P54" s="184">
        <f t="shared" si="6"/>
        <v>78383927.620345294</v>
      </c>
      <c r="Q54" s="184">
        <f>IF(C54=anal_period,-SUM(X108:$X$134),IF(C54&gt;anal_period,0,-X108))</f>
        <v>-39109441.193485297</v>
      </c>
      <c r="R54" s="184">
        <f t="shared" si="7"/>
        <v>39274486.426859997</v>
      </c>
      <c r="S54" s="184">
        <f t="shared" si="8"/>
        <v>-10109252.806273762</v>
      </c>
      <c r="T54" s="184">
        <f t="shared" si="9"/>
        <v>0</v>
      </c>
      <c r="U54" s="184">
        <f t="shared" si="10"/>
        <v>65090127.272847354</v>
      </c>
      <c r="V54" s="184">
        <f t="shared" si="14"/>
        <v>307276739.52646244</v>
      </c>
      <c r="W54" s="184">
        <f t="shared" si="11"/>
        <v>75199380.079121113</v>
      </c>
      <c r="X54" s="184"/>
      <c r="Y54" s="184">
        <f t="shared" si="17"/>
        <v>900000000</v>
      </c>
      <c r="Z54" s="158"/>
    </row>
    <row r="55" spans="1:26" x14ac:dyDescent="0.15">
      <c r="A55" s="99">
        <f t="shared" si="15"/>
        <v>2054</v>
      </c>
      <c r="B55" s="99">
        <v>37</v>
      </c>
      <c r="C55" s="99">
        <f t="shared" si="16"/>
        <v>36</v>
      </c>
      <c r="D55" s="183">
        <f t="shared" si="1"/>
        <v>1.932397381063448</v>
      </c>
      <c r="E55" s="184">
        <f t="shared" si="2"/>
        <v>235788975.9858453</v>
      </c>
      <c r="F55" s="184"/>
      <c r="G55" s="185" cm="1">
        <f t="array" ref="G55">IF(A55&lt;startup_year,-equity_financing*depr_cap_infl*D55,0)</f>
        <v>0</v>
      </c>
      <c r="H55" s="184">
        <f t="shared" si="13"/>
        <v>-137649383.29073715</v>
      </c>
      <c r="I55" s="185">
        <f>IF(C55=anal_period,-SUM($I$19:I54),IF(AND(C55&gt;=1,C55&lt;anal_period),working_cap_perct*(SUM(M55:N55)-SUM(M54:N54)),0))</f>
        <v>-411583.95731079427</v>
      </c>
      <c r="J55" s="185">
        <f t="shared" si="3"/>
        <v>0</v>
      </c>
      <c r="K55" s="185">
        <f t="shared" si="4"/>
        <v>0</v>
      </c>
      <c r="L55" s="185" cm="1">
        <f t="array" ref="L55">IF(C55=plant_life,-decom_prct*depr_cap_infl*D55,0)</f>
        <v>0</v>
      </c>
      <c r="M55" s="184">
        <f>IF(OR(A55&lt;startup_year,C55&gt;anal_period),0,IF(A55=startup_year,-Main!$B$84*Main!$E$121*D55,-Main!$E$121*D55))</f>
        <v>-35885203.421341173</v>
      </c>
      <c r="N55" s="184">
        <f>IF(OR(A55&lt;startup_year,C55&gt;anal_period),0,IF(A55=startup_year,-Main!$B$86*Main!$E$134*D55,-Main!$E$134*D55))</f>
        <v>-111274113.2452189</v>
      </c>
      <c r="O55" s="184">
        <f t="shared" si="5"/>
        <v>-8593166.9029964898</v>
      </c>
      <c r="P55" s="184">
        <f t="shared" si="6"/>
        <v>80036492.416288733</v>
      </c>
      <c r="Q55" s="184">
        <f>IF(C55=anal_period,-SUM(X109:$X$134),IF(C55&gt;anal_period,0,-X109))</f>
        <v>-37479767.970564499</v>
      </c>
      <c r="R55" s="184">
        <f t="shared" si="7"/>
        <v>42556724.445724234</v>
      </c>
      <c r="S55" s="184">
        <f t="shared" si="8"/>
        <v>-10954100.872329416</v>
      </c>
      <c r="T55" s="184">
        <f t="shared" si="9"/>
        <v>0</v>
      </c>
      <c r="U55" s="184">
        <f t="shared" si="10"/>
        <v>-68978575.704088628</v>
      </c>
      <c r="V55" s="184">
        <f t="shared" si="14"/>
        <v>238298163.82237381</v>
      </c>
      <c r="W55" s="184">
        <f t="shared" si="11"/>
        <v>-58024474.831759214</v>
      </c>
      <c r="X55" s="184"/>
      <c r="Y55" s="184">
        <f t="shared" si="17"/>
        <v>900000000</v>
      </c>
      <c r="Z55" s="170"/>
    </row>
    <row r="56" spans="1:26" x14ac:dyDescent="0.15">
      <c r="A56" s="99">
        <f t="shared" si="15"/>
        <v>2055</v>
      </c>
      <c r="B56" s="99">
        <v>38</v>
      </c>
      <c r="C56" s="99">
        <f t="shared" si="16"/>
        <v>37</v>
      </c>
      <c r="D56" s="183">
        <f t="shared" si="1"/>
        <v>1.9691129313036535</v>
      </c>
      <c r="E56" s="184">
        <f t="shared" si="2"/>
        <v>240268966.52957636</v>
      </c>
      <c r="F56" s="184"/>
      <c r="G56" s="185" cm="1">
        <f t="array" ref="G56">IF(A56&lt;startup_year,-equity_financing*depr_cap_infl*D56,0)</f>
        <v>0</v>
      </c>
      <c r="H56" s="184">
        <f t="shared" si="13"/>
        <v>-2887305.9169533867</v>
      </c>
      <c r="I56" s="185">
        <f>IF(C56=anal_period,-SUM($I$19:I55),IF(AND(C56&gt;=1,C56&lt;anal_period),working_cap_perct*(SUM(M56:N56)-SUM(M55:N55)),0))</f>
        <v>-419404.05249969364</v>
      </c>
      <c r="J56" s="185">
        <f t="shared" si="3"/>
        <v>0</v>
      </c>
      <c r="K56" s="185">
        <f t="shared" si="4"/>
        <v>0</v>
      </c>
      <c r="L56" s="185" cm="1">
        <f t="array" ref="L56">IF(C56=plant_life,-decom_prct*depr_cap_infl*D56,0)</f>
        <v>0</v>
      </c>
      <c r="M56" s="184">
        <f>IF(OR(A56&lt;startup_year,C56&gt;anal_period),0,IF(A56=startup_year,-Main!$B$84*Main!$E$121*D56,-Main!$E$121*D56))</f>
        <v>-36567022.286346659</v>
      </c>
      <c r="N56" s="184">
        <f>IF(OR(A56&lt;startup_year,C56&gt;anal_period),0,IF(A56=startup_year,-Main!$B$86*Main!$E$134*D56,-Main!$E$134*D56))</f>
        <v>-113388321.39687805</v>
      </c>
      <c r="O56" s="184">
        <f t="shared" si="5"/>
        <v>-8593166.9029964898</v>
      </c>
      <c r="P56" s="184">
        <f t="shared" si="6"/>
        <v>81720455.943355173</v>
      </c>
      <c r="Q56" s="184">
        <f>IF(C56=anal_period,-SUM(X110:$X$134),IF(C56&gt;anal_period,0,-X110))</f>
        <v>-36788041.641408242</v>
      </c>
      <c r="R56" s="184">
        <f t="shared" si="7"/>
        <v>44932414.301946931</v>
      </c>
      <c r="S56" s="184">
        <f t="shared" si="8"/>
        <v>-11565603.441321138</v>
      </c>
      <c r="T56" s="184">
        <f t="shared" si="9"/>
        <v>0</v>
      </c>
      <c r="U56" s="184">
        <f t="shared" si="10"/>
        <v>66848142.532580957</v>
      </c>
      <c r="V56" s="184">
        <f t="shared" si="14"/>
        <v>305146306.35495478</v>
      </c>
      <c r="W56" s="184">
        <f t="shared" si="11"/>
        <v>78413745.973902091</v>
      </c>
      <c r="X56" s="184"/>
      <c r="Y56" s="184">
        <f t="shared" si="17"/>
        <v>900000000</v>
      </c>
      <c r="Z56" s="187"/>
    </row>
    <row r="57" spans="1:26" x14ac:dyDescent="0.15">
      <c r="A57" s="99">
        <f t="shared" si="15"/>
        <v>2056</v>
      </c>
      <c r="B57" s="99">
        <v>39</v>
      </c>
      <c r="C57" s="99">
        <f t="shared" si="16"/>
        <v>38</v>
      </c>
      <c r="D57" s="183">
        <f t="shared" si="1"/>
        <v>2.0065260769984223</v>
      </c>
      <c r="E57" s="184">
        <f t="shared" si="2"/>
        <v>244834076.89363822</v>
      </c>
      <c r="F57" s="184"/>
      <c r="G57" s="185" cm="1">
        <f t="array" ref="G57">IF(A57&lt;startup_year,-equity_financing*depr_cap_infl*D57,0)</f>
        <v>0</v>
      </c>
      <c r="H57" s="184">
        <f t="shared" si="13"/>
        <v>-2942164.7293755002</v>
      </c>
      <c r="I57" s="185">
        <f>IF(C57=anal_period,-SUM($I$19:I56),IF(AND(C57&gt;=1,C57&lt;anal_period),working_cap_perct*(SUM(M57:N57)-SUM(M56:N56)),0))</f>
        <v>-427372.72949718387</v>
      </c>
      <c r="J57" s="185">
        <f t="shared" si="3"/>
        <v>0</v>
      </c>
      <c r="K57" s="185">
        <f t="shared" si="4"/>
        <v>0</v>
      </c>
      <c r="L57" s="185" cm="1">
        <f t="array" ref="L57">IF(C57=plant_life,-decom_prct*depr_cap_infl*D57,0)</f>
        <v>0</v>
      </c>
      <c r="M57" s="184">
        <f>IF(OR(A57&lt;startup_year,C57&gt;anal_period),0,IF(A57=startup_year,-Main!$B$84*Main!$E$121*D57,-Main!$E$121*D57))</f>
        <v>-37261795.709787235</v>
      </c>
      <c r="N57" s="184">
        <f>IF(OR(A57&lt;startup_year,C57&gt;anal_period),0,IF(A57=startup_year,-Main!$B$86*Main!$E$134*D57,-Main!$E$134*D57))</f>
        <v>-115542699.5034187</v>
      </c>
      <c r="O57" s="184">
        <f t="shared" si="5"/>
        <v>-8593166.9029964898</v>
      </c>
      <c r="P57" s="184">
        <f t="shared" si="6"/>
        <v>83436414.777435809</v>
      </c>
      <c r="Q57" s="184">
        <f>IF(C57=anal_period,-SUM(X111:$X$134),IF(C57&gt;anal_period,0,-X111))</f>
        <v>-36305404.290426739</v>
      </c>
      <c r="R57" s="184">
        <f t="shared" si="7"/>
        <v>47131010.487009071</v>
      </c>
      <c r="S57" s="184">
        <f t="shared" si="8"/>
        <v>-12131522.099356133</v>
      </c>
      <c r="T57" s="184">
        <f t="shared" si="9"/>
        <v>0</v>
      </c>
      <c r="U57" s="184">
        <f t="shared" si="10"/>
        <v>67935355.219206989</v>
      </c>
      <c r="V57" s="184">
        <f t="shared" si="14"/>
        <v>373081661.57416177</v>
      </c>
      <c r="W57" s="184">
        <f t="shared" si="11"/>
        <v>80066877.318563119</v>
      </c>
      <c r="X57" s="184"/>
      <c r="Y57" s="184">
        <f t="shared" si="17"/>
        <v>900000000</v>
      </c>
      <c r="Z57" s="187"/>
    </row>
    <row r="58" spans="1:26" x14ac:dyDescent="0.15">
      <c r="A58" s="99">
        <f t="shared" si="15"/>
        <v>2057</v>
      </c>
      <c r="B58" s="99">
        <v>40</v>
      </c>
      <c r="C58" s="99">
        <f t="shared" si="16"/>
        <v>39</v>
      </c>
      <c r="D58" s="183">
        <f t="shared" si="1"/>
        <v>2.0446500724613927</v>
      </c>
      <c r="E58" s="184">
        <f t="shared" si="2"/>
        <v>249485924.35461742</v>
      </c>
      <c r="F58" s="184"/>
      <c r="G58" s="185" cm="1">
        <f t="array" ref="G58">IF(A58&lt;startup_year,-equity_financing*depr_cap_infl*D58,0)</f>
        <v>0</v>
      </c>
      <c r="H58" s="184">
        <f t="shared" si="13"/>
        <v>-2998065.859233635</v>
      </c>
      <c r="I58" s="185">
        <f>IF(C58=anal_period,-SUM($I$19:I57),IF(AND(C58&gt;=1,C58&lt;anal_period),working_cap_perct*(SUM(M58:N58)-SUM(M57:N57)),0))</f>
        <v>-435492.81135764119</v>
      </c>
      <c r="J58" s="185">
        <f t="shared" si="3"/>
        <v>0</v>
      </c>
      <c r="K58" s="185">
        <f t="shared" si="4"/>
        <v>0</v>
      </c>
      <c r="L58" s="185" cm="1">
        <f t="array" ref="L58">IF(C58=plant_life,-decom_prct*depr_cap_infl*D58,0)</f>
        <v>0</v>
      </c>
      <c r="M58" s="184">
        <f>IF(OR(A58&lt;startup_year,C58&gt;anal_period),0,IF(A58=startup_year,-Main!$B$84*Main!$E$121*D58,-Main!$E$121*D58))</f>
        <v>-37969769.828273199</v>
      </c>
      <c r="N58" s="184">
        <f>IF(OR(A58&lt;startup_year,C58&gt;anal_period),0,IF(A58=startup_year,-Main!$B$86*Main!$E$134*D58,-Main!$E$134*D58))</f>
        <v>-117738010.79398368</v>
      </c>
      <c r="O58" s="184">
        <f t="shared" si="5"/>
        <v>-8593166.9029964898</v>
      </c>
      <c r="P58" s="184">
        <f t="shared" si="6"/>
        <v>85184976.829364061</v>
      </c>
      <c r="Q58" s="184">
        <f>IF(C58=anal_period,-SUM(X112:$X$134),IF(C58&gt;anal_period,0,-X112))</f>
        <v>-43639359.961583667</v>
      </c>
      <c r="R58" s="184">
        <f t="shared" si="7"/>
        <v>41545616.867780395</v>
      </c>
      <c r="S58" s="184">
        <f t="shared" si="8"/>
        <v>-10693841.781766672</v>
      </c>
      <c r="T58" s="184">
        <f t="shared" si="9"/>
        <v>0</v>
      </c>
      <c r="U58" s="184">
        <f t="shared" si="10"/>
        <v>71057576.377006114</v>
      </c>
      <c r="V58" s="184">
        <f t="shared" si="14"/>
        <v>444139237.95116788</v>
      </c>
      <c r="W58" s="184">
        <f t="shared" si="11"/>
        <v>81751418.158772781</v>
      </c>
      <c r="X58" s="184"/>
      <c r="Y58" s="184">
        <f t="shared" si="17"/>
        <v>900000000</v>
      </c>
      <c r="Z58" s="187"/>
    </row>
    <row r="59" spans="1:26" x14ac:dyDescent="0.15">
      <c r="A59" s="99">
        <f t="shared" si="15"/>
        <v>2058</v>
      </c>
      <c r="B59" s="99">
        <v>41</v>
      </c>
      <c r="C59" s="99">
        <f t="shared" si="16"/>
        <v>40</v>
      </c>
      <c r="D59" s="183">
        <f t="shared" si="1"/>
        <v>2.0834984238381593</v>
      </c>
      <c r="E59" s="184">
        <f t="shared" si="2"/>
        <v>254226156.91735515</v>
      </c>
      <c r="F59" s="184"/>
      <c r="G59" s="185" cm="1">
        <f t="array" ref="G59">IF(A59&lt;startup_year,-equity_financing*depr_cap_infl*D59,0)</f>
        <v>0</v>
      </c>
      <c r="H59" s="184">
        <f t="shared" si="13"/>
        <v>-3055029.1105590742</v>
      </c>
      <c r="I59" s="185">
        <f>IF(C59=anal_period,-SUM($I$19:I58),IF(AND(C59&gt;=1,C59&lt;anal_period),working_cap_perct*(SUM(M59:N59)-SUM(M58:N58)),0))</f>
        <v>23356167.093338534</v>
      </c>
      <c r="J59" s="185">
        <f t="shared" si="3"/>
        <v>0</v>
      </c>
      <c r="K59" s="185">
        <f>IF(C59=anal_period,salvage*total_capital*D59,"")</f>
        <v>82180283.074039087</v>
      </c>
      <c r="L59" s="185" cm="1">
        <f t="array" ref="L59">IF(C59=plant_life,-decom_prct*depr_cap_infl*D59,0)</f>
        <v>-82180283.074039087</v>
      </c>
      <c r="M59" s="184">
        <f>IF(OR(A59&lt;startup_year,C59&gt;anal_period),0,IF(A59=startup_year,-Main!$B$84*Main!$E$121*D59,-Main!$E$121*D59))</f>
        <v>-38691195.455010392</v>
      </c>
      <c r="N59" s="184">
        <f>IF(OR(A59&lt;startup_year,C59&gt;anal_period),0,IF(A59=startup_year,-Main!$B$86*Main!$E$134*D59,-Main!$E$134*D59))</f>
        <v>-119975032.99906938</v>
      </c>
      <c r="O59" s="184">
        <f t="shared" si="5"/>
        <v>-8593166.9029964898</v>
      </c>
      <c r="P59" s="184">
        <f t="shared" si="6"/>
        <v>86966761.560278893</v>
      </c>
      <c r="Q59" s="184">
        <f>IF(C59=anal_period,-SUM(X113:$X$134),IF(C59&gt;anal_period,0,-X113))</f>
        <v>-714458223.91669703</v>
      </c>
      <c r="R59" s="184">
        <f t="shared" si="7"/>
        <v>-627491462.35641813</v>
      </c>
      <c r="S59" s="184">
        <f t="shared" si="8"/>
        <v>161516302.41054201</v>
      </c>
      <c r="T59" s="184">
        <f>IF(C59&lt;&gt;anal_period,0,$F$19)</f>
        <v>-232247754.13504025</v>
      </c>
      <c r="U59" s="184">
        <f t="shared" si="10"/>
        <v>36536447.818560094</v>
      </c>
      <c r="V59" s="184">
        <f t="shared" si="14"/>
        <v>480675685.76972795</v>
      </c>
      <c r="W59" s="184">
        <f t="shared" si="11"/>
        <v>-124979854.5919819</v>
      </c>
      <c r="X59" s="99"/>
      <c r="Y59" s="186">
        <f t="shared" si="17"/>
        <v>900000000</v>
      </c>
      <c r="Z59" s="187"/>
    </row>
    <row r="60" spans="1:26" x14ac:dyDescent="0.15">
      <c r="A60" s="99"/>
      <c r="B60" s="99"/>
      <c r="C60" s="99"/>
      <c r="D60" s="183"/>
      <c r="E60" s="184"/>
      <c r="F60" s="184"/>
      <c r="G60" s="185"/>
      <c r="H60" s="184"/>
      <c r="I60" s="185"/>
      <c r="J60" s="185"/>
      <c r="K60" s="185"/>
      <c r="L60" s="185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99"/>
      <c r="Y60" s="186"/>
      <c r="Z60" s="187"/>
    </row>
    <row r="61" spans="1:26" s="160" customFormat="1" x14ac:dyDescent="0.15">
      <c r="A61" s="181"/>
      <c r="B61" s="181"/>
      <c r="C61" s="181"/>
      <c r="D61" s="186" t="s">
        <v>88</v>
      </c>
      <c r="E61" s="387">
        <f t="shared" ref="E61:W61" si="18">NPV(nominal_irr,E19:E59)</f>
        <v>1615732386.3341694</v>
      </c>
      <c r="F61" s="186">
        <f t="shared" si="18"/>
        <v>-215016344.30262768</v>
      </c>
      <c r="G61" s="186">
        <f>NPV(nominal_irr,G19:G59)</f>
        <v>-143344229.53508514</v>
      </c>
      <c r="H61" s="186">
        <f t="shared" si="18"/>
        <v>-289532892.55114454</v>
      </c>
      <c r="I61" s="186">
        <f t="shared" si="18"/>
        <v>-11329364.036503328</v>
      </c>
      <c r="J61" s="186">
        <f t="shared" si="18"/>
        <v>0</v>
      </c>
      <c r="K61" s="186">
        <f t="shared" si="18"/>
        <v>3484059.8976978054</v>
      </c>
      <c r="L61" s="186">
        <f t="shared" si="18"/>
        <v>-3484059.8976978054</v>
      </c>
      <c r="M61" s="186">
        <f t="shared" si="18"/>
        <v>-249880823.87393895</v>
      </c>
      <c r="N61" s="186">
        <f t="shared" si="18"/>
        <v>-774839333.27855432</v>
      </c>
      <c r="O61" s="186">
        <f t="shared" si="18"/>
        <v>-102681018.09513344</v>
      </c>
      <c r="P61" s="186">
        <f t="shared" si="18"/>
        <v>488331211.08654267</v>
      </c>
      <c r="Q61" s="186">
        <f t="shared" si="18"/>
        <v>-355159083.27953482</v>
      </c>
      <c r="R61" s="186">
        <f t="shared" si="18"/>
        <v>133172127.80700789</v>
      </c>
      <c r="S61" s="186">
        <f t="shared" si="18"/>
        <v>-34278505.697523817</v>
      </c>
      <c r="T61" s="186">
        <f t="shared" si="18"/>
        <v>-9846219.266283961</v>
      </c>
      <c r="U61" s="186">
        <f t="shared" si="18"/>
        <v>1.8294236605351083E-6</v>
      </c>
      <c r="V61" s="186">
        <f t="shared" si="18"/>
        <v>-254285031.61446264</v>
      </c>
      <c r="W61" s="186">
        <f t="shared" si="18"/>
        <v>34278505.697525665</v>
      </c>
      <c r="X61" s="181"/>
      <c r="Y61" s="186"/>
    </row>
    <row r="62" spans="1:26" s="160" customFormat="1" x14ac:dyDescent="0.15">
      <c r="A62" s="181"/>
      <c r="B62" s="181"/>
      <c r="C62" s="181"/>
      <c r="D62" s="186" t="s">
        <v>79</v>
      </c>
      <c r="E62" s="387">
        <f>NPV(nominal_irr,E20:E60)</f>
        <v>1745217179.7749896</v>
      </c>
      <c r="F62" s="186">
        <f t="shared" ref="F62:W62" si="19">F19+NPV(nominal_irr,F20:F59)</f>
        <v>-232247754.13504025</v>
      </c>
      <c r="G62" s="186">
        <f>G19+NPV(nominal_irr,G20:G59)</f>
        <v>-154831836.09002686</v>
      </c>
      <c r="H62" s="186">
        <f t="shared" si="19"/>
        <v>-312736058.56019342</v>
      </c>
      <c r="I62" s="186">
        <f t="shared" si="19"/>
        <v>-12237299.270388704</v>
      </c>
      <c r="J62" s="186">
        <f t="shared" si="19"/>
        <v>0</v>
      </c>
      <c r="K62" s="186">
        <f t="shared" si="19"/>
        <v>3763272.4578993074</v>
      </c>
      <c r="L62" s="186">
        <f t="shared" si="19"/>
        <v>-3763272.4578993074</v>
      </c>
      <c r="M62" s="186">
        <f t="shared" si="19"/>
        <v>-269906273.09919643</v>
      </c>
      <c r="N62" s="186">
        <f t="shared" si="19"/>
        <v>-836934957.44749725</v>
      </c>
      <c r="O62" s="186">
        <f t="shared" si="19"/>
        <v>-110909874.88527744</v>
      </c>
      <c r="P62" s="186">
        <f t="shared" si="19"/>
        <v>527466074.34301823</v>
      </c>
      <c r="Q62" s="186">
        <f t="shared" si="19"/>
        <v>-383621532.21355689</v>
      </c>
      <c r="R62" s="186">
        <f t="shared" si="19"/>
        <v>143844542.1294615</v>
      </c>
      <c r="S62" s="186">
        <f t="shared" si="19"/>
        <v>-37025585.144123383</v>
      </c>
      <c r="T62" s="186">
        <f t="shared" si="19"/>
        <v>-10635295.278283959</v>
      </c>
      <c r="U62" s="186">
        <f>U19+NPV(nominal_irr,U20:U59)</f>
        <v>1.9669532775878906E-6</v>
      </c>
      <c r="V62" s="186">
        <f t="shared" si="19"/>
        <v>-274663434.04804575</v>
      </c>
      <c r="W62" s="186">
        <f t="shared" si="19"/>
        <v>37025585.144125342</v>
      </c>
      <c r="X62" s="181"/>
      <c r="Y62" s="186">
        <f>Y19+NPV(real_irr,Y20:Y59)</f>
        <v>13117138882.485611</v>
      </c>
    </row>
    <row r="63" spans="1:26" s="188" customFormat="1" x14ac:dyDescent="0.15">
      <c r="A63" s="93"/>
      <c r="B63" s="93"/>
      <c r="C63" s="93"/>
      <c r="D63" s="93"/>
      <c r="E63" s="430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</row>
    <row r="64" spans="1:26" x14ac:dyDescent="0.15">
      <c r="A64" s="157"/>
      <c r="B64" s="157"/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</row>
    <row r="65" spans="1:24" ht="16" x14ac:dyDescent="0.15">
      <c r="A65" s="189" t="s">
        <v>83</v>
      </c>
      <c r="B65" s="190"/>
      <c r="C65" s="157"/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</row>
    <row r="66" spans="1:24" x14ac:dyDescent="0.15">
      <c r="A66" s="103" t="s">
        <v>83</v>
      </c>
      <c r="B66" s="103" t="str">
        <f>Main!B79</f>
        <v>MACRS</v>
      </c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</row>
    <row r="67" spans="1:24" x14ac:dyDescent="0.15">
      <c r="A67" s="103" t="s">
        <v>84</v>
      </c>
      <c r="B67" s="103">
        <f>plant_life/2</f>
        <v>20</v>
      </c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</row>
    <row r="68" spans="1:24" x14ac:dyDescent="0.15">
      <c r="A68" s="103" t="s">
        <v>85</v>
      </c>
      <c r="B68" s="191">
        <f>-(F19+SUM(G19:G59))</f>
        <v>387079590.22506714</v>
      </c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</row>
    <row r="69" spans="1:24" x14ac:dyDescent="0.15">
      <c r="A69" s="157"/>
      <c r="B69" s="157"/>
      <c r="C69" s="157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</row>
    <row r="70" spans="1:24" x14ac:dyDescent="0.15">
      <c r="A70" s="158"/>
      <c r="B70" s="158"/>
    </row>
    <row r="71" spans="1:24" ht="16" x14ac:dyDescent="0.15">
      <c r="A71" s="38" t="s">
        <v>81</v>
      </c>
      <c r="B71" s="38"/>
      <c r="C71" s="38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92"/>
    </row>
    <row r="72" spans="1:24" s="160" customFormat="1" x14ac:dyDescent="0.15">
      <c r="A72" s="116" t="s">
        <v>5</v>
      </c>
      <c r="B72" s="116" t="s">
        <v>82</v>
      </c>
      <c r="C72" s="116">
        <v>1</v>
      </c>
      <c r="D72" s="116">
        <v>2</v>
      </c>
      <c r="E72" s="116">
        <v>3</v>
      </c>
      <c r="F72" s="116">
        <v>4</v>
      </c>
      <c r="G72" s="116">
        <v>5</v>
      </c>
      <c r="H72" s="116">
        <v>6</v>
      </c>
      <c r="I72" s="116">
        <v>7</v>
      </c>
      <c r="J72" s="116">
        <v>8</v>
      </c>
      <c r="K72" s="116">
        <v>9</v>
      </c>
      <c r="L72" s="116">
        <v>10</v>
      </c>
      <c r="M72" s="116">
        <v>11</v>
      </c>
      <c r="N72" s="116">
        <v>12</v>
      </c>
      <c r="O72" s="116">
        <v>13</v>
      </c>
      <c r="P72" s="116">
        <v>14</v>
      </c>
      <c r="Q72" s="116">
        <v>15</v>
      </c>
      <c r="R72" s="116">
        <v>16</v>
      </c>
      <c r="S72" s="116">
        <v>17</v>
      </c>
      <c r="T72" s="116">
        <v>18</v>
      </c>
      <c r="U72" s="116">
        <v>19</v>
      </c>
      <c r="V72" s="116">
        <v>20</v>
      </c>
      <c r="W72" s="116">
        <v>21</v>
      </c>
      <c r="X72" s="193" t="s">
        <v>86</v>
      </c>
    </row>
    <row r="73" spans="1:24" x14ac:dyDescent="0.15">
      <c r="A73" s="115">
        <v>-1</v>
      </c>
      <c r="B73" s="194">
        <f t="shared" ref="B73:B113" si="20">IF(A73&lt;1,0,IF(A73=1,$B$68-H19,-H19))</f>
        <v>0</v>
      </c>
      <c r="C73" s="195">
        <f>IF(AND(Main!$B$79="Straight Line",C$72&lt;=depr_length),$B73/depr_length,IF(AND(Main!$B$79="MACRS",C$72&lt;=depr_length+1),$B73*INDEX(MACRS_table,MATCH(C$72,recovery_year,0),MATCH(depr_length,recovery_period,0)),""))</f>
        <v>0</v>
      </c>
      <c r="D73" s="195">
        <f>IF(AND(Main!$B$79="Straight Line",D$72&lt;=depr_length),$B73/depr_length,IF(AND(Main!$B$79="MACRS",D$72&lt;=depr_length+1),$B73*INDEX(MACRS_table,MATCH(D$72,recovery_year,0),MATCH(depr_length,recovery_period,0)),""))</f>
        <v>0</v>
      </c>
      <c r="E73" s="195">
        <f>IF(AND(Main!$B$79="Straight Line",E$72&lt;=depr_length),$B73/depr_length,IF(AND(Main!$B$79="MACRS",E$72&lt;=depr_length+1),$B73*INDEX(MACRS_table,MATCH(E$72,recovery_year,0),MATCH(depr_length,recovery_period,0)),""))</f>
        <v>0</v>
      </c>
      <c r="F73" s="195">
        <f>IF(AND(Main!$B$79="Straight Line",F$72&lt;=depr_length),$B73/depr_length,IF(AND(Main!$B$79="MACRS",F$72&lt;=depr_length+1),$B73*INDEX(MACRS_table,MATCH(F$72,recovery_year,0),MATCH(depr_length,recovery_period,0)),""))</f>
        <v>0</v>
      </c>
      <c r="G73" s="195">
        <f>IF(AND(Main!$B$79="Straight Line",G$72&lt;=depr_length),$B73/depr_length,IF(AND(Main!$B$79="MACRS",G$72&lt;=depr_length+1),$B73*INDEX(MACRS_table,MATCH(G$72,recovery_year,0),MATCH(depr_length,recovery_period,0)),""))</f>
        <v>0</v>
      </c>
      <c r="H73" s="195">
        <f>IF(AND(Main!$B$79="Straight Line",H$72&lt;=depr_length),$B73/depr_length,IF(AND(Main!$B$79="MACRS",H$72&lt;=depr_length+1),$B73*INDEX(MACRS_table,MATCH(H$72,recovery_year,0),MATCH(depr_length,recovery_period,0)),""))</f>
        <v>0</v>
      </c>
      <c r="I73" s="195">
        <f>IF(AND(Main!$B$79="Straight Line",I$72&lt;=depr_length),$B73/depr_length,IF(AND(Main!$B$79="MACRS",I$72&lt;=depr_length+1),$B73*INDEX(MACRS_table,MATCH(I$72,recovery_year,0),MATCH(depr_length,recovery_period,0)),""))</f>
        <v>0</v>
      </c>
      <c r="J73" s="195">
        <f>IF(AND(Main!$B$79="Straight Line",J$72&lt;=depr_length),$B73/depr_length,IF(AND(Main!$B$79="MACRS",J$72&lt;=depr_length+1),$B73*INDEX(MACRS_table,MATCH(J$72,recovery_year,0),MATCH(depr_length,recovery_period,0)),""))</f>
        <v>0</v>
      </c>
      <c r="K73" s="195">
        <f>IF(AND(Main!$B$79="Straight Line",K$72&lt;=depr_length),$B73/depr_length,IF(AND(Main!$B$79="MACRS",K$72&lt;=depr_length+1),$B73*INDEX(MACRS_table,MATCH(K$72,recovery_year,0),MATCH(depr_length,recovery_period,0)),""))</f>
        <v>0</v>
      </c>
      <c r="L73" s="195">
        <f>IF(AND(Main!$B$79="Straight Line",L$72&lt;=depr_length),$B73/depr_length,IF(AND(Main!$B$79="MACRS",L$72&lt;=depr_length+1),$B73*INDEX(MACRS_table,MATCH(L$72,recovery_year,0),MATCH(depr_length,recovery_period,0)),""))</f>
        <v>0</v>
      </c>
      <c r="M73" s="195">
        <f>IF(AND(Main!$B$79="Straight Line",M$72&lt;=depr_length),$B73/depr_length,IF(AND(Main!$B$79="MACRS",M$72&lt;=depr_length+1),$B73*INDEX(MACRS_table,MATCH(M$72,recovery_year,0),MATCH(depr_length,recovery_period,0)),""))</f>
        <v>0</v>
      </c>
      <c r="N73" s="195">
        <f>IF(AND(Main!$B$79="Straight Line",N$72&lt;=depr_length),$B73/depr_length,IF(AND(Main!$B$79="MACRS",N$72&lt;=depr_length+1),$B73*INDEX(MACRS_table,MATCH(N$72,recovery_year,0),MATCH(depr_length,recovery_period,0)),""))</f>
        <v>0</v>
      </c>
      <c r="O73" s="195">
        <f>IF(AND(Main!$B$79="Straight Line",O$72&lt;=depr_length),$B73/depr_length,IF(AND(Main!$B$79="MACRS",O$72&lt;=depr_length+1),$B73*INDEX(MACRS_table,MATCH(O$72,recovery_year,0),MATCH(depr_length,recovery_period,0)),""))</f>
        <v>0</v>
      </c>
      <c r="P73" s="195">
        <f>IF(AND(Main!$B$79="Straight Line",P$72&lt;=depr_length),$B73/depr_length,IF(AND(Main!$B$79="MACRS",P$72&lt;=depr_length+1),$B73*INDEX(MACRS_table,MATCH(P$72,recovery_year,0),MATCH(depr_length,recovery_period,0)),""))</f>
        <v>0</v>
      </c>
      <c r="Q73" s="195">
        <f>IF(AND(Main!$B$79="Straight Line",Q$72&lt;=depr_length),$B73/depr_length,IF(AND(Main!$B$79="MACRS",Q$72&lt;=depr_length+1),$B73*INDEX(MACRS_table,MATCH(Q$72,recovery_year,0),MATCH(depr_length,recovery_period,0)),""))</f>
        <v>0</v>
      </c>
      <c r="R73" s="195">
        <f>IF(AND(Main!$B$79="Straight Line",R$72&lt;=depr_length),$B73/depr_length,IF(AND(Main!$B$79="MACRS",R$72&lt;=depr_length+1),$B73*INDEX(MACRS_table,MATCH(R$72,recovery_year,0),MATCH(depr_length,recovery_period,0)),""))</f>
        <v>0</v>
      </c>
      <c r="S73" s="195">
        <f>IF(AND(Main!$B$79="Straight Line",S$72&lt;=depr_length),$B73/depr_length,IF(AND(Main!$B$79="MACRS",S$72&lt;=depr_length+1),$B73*INDEX(MACRS_table,MATCH(S$72,recovery_year,0),MATCH(depr_length,recovery_period,0)),""))</f>
        <v>0</v>
      </c>
      <c r="T73" s="195">
        <f>IF(AND(Main!$B$79="Straight Line",T$72&lt;=depr_length),$B73/depr_length,IF(AND(Main!$B$79="MACRS",T$72&lt;=depr_length+1),$B73*INDEX(MACRS_table,MATCH(T$72,recovery_year,0),MATCH(depr_length,recovery_period,0)),""))</f>
        <v>0</v>
      </c>
      <c r="U73" s="195">
        <f>IF(AND(Main!$B$79="Straight Line",U$72&lt;=depr_length),$B73/depr_length,IF(AND(Main!$B$79="MACRS",U$72&lt;=depr_length+1),$B73*INDEX(MACRS_table,MATCH(U$72,recovery_year,0),MATCH(depr_length,recovery_period,0)),""))</f>
        <v>0</v>
      </c>
      <c r="V73" s="195">
        <f>IF(AND(Main!$B$79="Straight Line",V$72&lt;=depr_length),$B73/depr_length,IF(AND(Main!$B$79="MACRS",V$72&lt;=depr_length+1),$B73*INDEX(MACRS_table,MATCH(V$72,recovery_year,0),MATCH(depr_length,recovery_period,0)),""))</f>
        <v>0</v>
      </c>
      <c r="W73" s="195">
        <f>IF(AND(Main!$B$79="Straight Line",W$72&lt;=depr_length),$B73/depr_length,IF(AND(Main!$B$79="MACRS",W$72&lt;=depr_length+1),$B73*INDEX(MACRS_table,MATCH(W$72,recovery_year,0),MATCH(depr_length,recovery_period,0)),""))</f>
        <v>0</v>
      </c>
      <c r="X73" s="196" cm="1">
        <f t="array" ref="X73">SUMPRODUCT((ROW($C$73:$W$113)-MIN(ROW(C73:W113))=MIN(COLUMN(C73:W113))-COLUMN($C$73:$W$113))*($C$73:$W$113))</f>
        <v>0</v>
      </c>
    </row>
    <row r="74" spans="1:24" x14ac:dyDescent="0.15">
      <c r="A74" s="115">
        <v>1</v>
      </c>
      <c r="B74" s="194">
        <f t="shared" si="20"/>
        <v>388545888.00365204</v>
      </c>
      <c r="C74" s="195">
        <f>IF(AND(Main!$B$79="Straight Line",C$72&lt;=depr_length),$B74/depr_length,IF(AND(Main!$B$79="MACRS",C$72&lt;=depr_length+1),$B74*INDEX(MACRS_table,MATCH(C$72,recovery_year,0),MATCH(depr_length,recovery_period,0)),""))</f>
        <v>14570470.800136952</v>
      </c>
      <c r="D74" s="195">
        <f>IF(AND(Main!$B$79="Straight Line",D$72&lt;=depr_length),$B74/depr_length,IF(AND(Main!$B$79="MACRS",D$72&lt;=depr_length+1),$B74*INDEX(MACRS_table,MATCH(D$72,recovery_year,0),MATCH(depr_length,recovery_period,0)),""))</f>
        <v>28049127.654983643</v>
      </c>
      <c r="E74" s="195">
        <f>IF(AND(Main!$B$79="Straight Line",E$72&lt;=depr_length),$B74/depr_length,IF(AND(Main!$B$79="MACRS",E$72&lt;=depr_length+1),$B74*INDEX(MACRS_table,MATCH(E$72,recovery_year,0),MATCH(depr_length,recovery_period,0)),""))</f>
        <v>25943208.942003846</v>
      </c>
      <c r="F74" s="195">
        <f>IF(AND(Main!$B$79="Straight Line",F$72&lt;=depr_length),$B74/depr_length,IF(AND(Main!$B$79="MACRS",F$72&lt;=depr_length+1),$B74*INDEX(MACRS_table,MATCH(F$72,recovery_year,0),MATCH(depr_length,recovery_period,0)),""))</f>
        <v>24000479.501985587</v>
      </c>
      <c r="G74" s="195">
        <f>IF(AND(Main!$B$79="Straight Line",G$72&lt;=depr_length),$B74/depr_length,IF(AND(Main!$B$79="MACRS",G$72&lt;=depr_length+1),$B74*INDEX(MACRS_table,MATCH(G$72,recovery_year,0),MATCH(depr_length,recovery_period,0)),""))</f>
        <v>22197626.58164864</v>
      </c>
      <c r="H74" s="195">
        <f>IF(AND(Main!$B$79="Straight Line",H$72&lt;=depr_length),$B74/depr_length,IF(AND(Main!$B$79="MACRS",H$72&lt;=depr_length+1),$B74*INDEX(MACRS_table,MATCH(H$72,recovery_year,0),MATCH(depr_length,recovery_period,0)),""))</f>
        <v>20534650.180993009</v>
      </c>
      <c r="I74" s="195">
        <f>IF(AND(Main!$B$79="Straight Line",I$72&lt;=depr_length),$B74/depr_length,IF(AND(Main!$B$79="MACRS",I$72&lt;=depr_length+1),$B74*INDEX(MACRS_table,MATCH(I$72,recovery_year,0),MATCH(depr_length,recovery_period,0)),""))</f>
        <v>18992123.005618513</v>
      </c>
      <c r="J74" s="195">
        <f>IF(AND(Main!$B$79="Straight Line",J$72&lt;=depr_length),$B74/depr_length,IF(AND(Main!$B$79="MACRS",J$72&lt;=depr_length+1),$B74*INDEX(MACRS_table,MATCH(J$72,recovery_year,0),MATCH(depr_length,recovery_period,0)),""))</f>
        <v>17570045.055525146</v>
      </c>
      <c r="K74" s="195">
        <f>IF(AND(Main!$B$79="Straight Line",K$72&lt;=depr_length),$B74/depr_length,IF(AND(Main!$B$79="MACRS",K$72&lt;=depr_length+1),$B74*INDEX(MACRS_table,MATCH(K$72,recovery_year,0),MATCH(depr_length,recovery_period,0)),""))</f>
        <v>17336917.522722952</v>
      </c>
      <c r="L74" s="195">
        <f>IF(AND(Main!$B$79="Straight Line",L$72&lt;=depr_length),$B74/depr_length,IF(AND(Main!$B$79="MACRS",L$72&lt;=depr_length+1),$B74*INDEX(MACRS_table,MATCH(L$72,recovery_year,0),MATCH(depr_length,recovery_period,0)),""))</f>
        <v>17333032.063842915</v>
      </c>
      <c r="M74" s="195">
        <f>IF(AND(Main!$B$79="Straight Line",M$72&lt;=depr_length),$B74/depr_length,IF(AND(Main!$B$79="MACRS",M$72&lt;=depr_length+1),$B74*INDEX(MACRS_table,MATCH(M$72,recovery_year,0),MATCH(depr_length,recovery_period,0)),""))</f>
        <v>17336917.522722952</v>
      </c>
      <c r="N74" s="195">
        <f>IF(AND(Main!$B$79="Straight Line",N$72&lt;=depr_length),$B74/depr_length,IF(AND(Main!$B$79="MACRS",N$72&lt;=depr_length+1),$B74*INDEX(MACRS_table,MATCH(N$72,recovery_year,0),MATCH(depr_length,recovery_period,0)),""))</f>
        <v>17333032.063842915</v>
      </c>
      <c r="O74" s="195">
        <f>IF(AND(Main!$B$79="Straight Line",O$72&lt;=depr_length),$B74/depr_length,IF(AND(Main!$B$79="MACRS",O$72&lt;=depr_length+1),$B74*INDEX(MACRS_table,MATCH(O$72,recovery_year,0),MATCH(depr_length,recovery_period,0)),""))</f>
        <v>17336917.522722952</v>
      </c>
      <c r="P74" s="195">
        <f>IF(AND(Main!$B$79="Straight Line",P$72&lt;=depr_length),$B74/depr_length,IF(AND(Main!$B$79="MACRS",P$72&lt;=depr_length+1),$B74*INDEX(MACRS_table,MATCH(P$72,recovery_year,0),MATCH(depr_length,recovery_period,0)),""))</f>
        <v>17333032.063842915</v>
      </c>
      <c r="Q74" s="195">
        <f>IF(AND(Main!$B$79="Straight Line",Q$72&lt;=depr_length),$B74/depr_length,IF(AND(Main!$B$79="MACRS",Q$72&lt;=depr_length+1),$B74*INDEX(MACRS_table,MATCH(Q$72,recovery_year,0),MATCH(depr_length,recovery_period,0)),""))</f>
        <v>17336917.522722952</v>
      </c>
      <c r="R74" s="195">
        <f>IF(AND(Main!$B$79="Straight Line",R$72&lt;=depr_length),$B74/depr_length,IF(AND(Main!$B$79="MACRS",R$72&lt;=depr_length+1),$B74*INDEX(MACRS_table,MATCH(R$72,recovery_year,0),MATCH(depr_length,recovery_period,0)),""))</f>
        <v>17333032.063842915</v>
      </c>
      <c r="S74" s="195">
        <f>IF(AND(Main!$B$79="Straight Line",S$72&lt;=depr_length),$B74/depr_length,IF(AND(Main!$B$79="MACRS",S$72&lt;=depr_length+1),$B74*INDEX(MACRS_table,MATCH(S$72,recovery_year,0),MATCH(depr_length,recovery_period,0)),""))</f>
        <v>17336917.522722952</v>
      </c>
      <c r="T74" s="195">
        <f>IF(AND(Main!$B$79="Straight Line",T$72&lt;=depr_length),$B74/depr_length,IF(AND(Main!$B$79="MACRS",T$72&lt;=depr_length+1),$B74*INDEX(MACRS_table,MATCH(T$72,recovery_year,0),MATCH(depr_length,recovery_period,0)),""))</f>
        <v>17333032.063842915</v>
      </c>
      <c r="U74" s="195">
        <f>IF(AND(Main!$B$79="Straight Line",U$72&lt;=depr_length),$B74/depr_length,IF(AND(Main!$B$79="MACRS",U$72&lt;=depr_length+1),$B74*INDEX(MACRS_table,MATCH(U$72,recovery_year,0),MATCH(depr_length,recovery_period,0)),""))</f>
        <v>17336917.522722952</v>
      </c>
      <c r="V74" s="195">
        <f>IF(AND(Main!$B$79="Straight Line",V$72&lt;=depr_length),$B74/depr_length,IF(AND(Main!$B$79="MACRS",V$72&lt;=depr_length+1),$B74*INDEX(MACRS_table,MATCH(V$72,recovery_year,0),MATCH(depr_length,recovery_period,0)),""))</f>
        <v>17333032.063842915</v>
      </c>
      <c r="W74" s="195">
        <f>IF(AND(Main!$B$79="Straight Line",W$72&lt;=depr_length),$B74/depr_length,IF(AND(Main!$B$79="MACRS",W$72&lt;=depr_length+1),$B74*INDEX(MACRS_table,MATCH(W$72,recovery_year,0),MATCH(depr_length,recovery_period,0)),""))</f>
        <v>8668458.761361476</v>
      </c>
      <c r="X74" s="196" cm="1">
        <f t="array" ref="X74">SUMPRODUCT((ROW($C$73:$W$113)-MIN(ROW(C74:W114))=MIN(COLUMN(C74:W114))-COLUMN($C$73:$W$113))*($C$73:$W$113))</f>
        <v>14570470.800136952</v>
      </c>
    </row>
    <row r="75" spans="1:24" x14ac:dyDescent="0.15">
      <c r="A75" s="115">
        <v>2</v>
      </c>
      <c r="B75" s="194">
        <f t="shared" si="20"/>
        <v>1494157.4363780329</v>
      </c>
      <c r="C75" s="195">
        <f>IF(AND(Main!$B$79="Straight Line",C$72&lt;=depr_length),$B75/depr_length,IF(AND(Main!$B$79="MACRS",C$72&lt;=depr_length+1),$B75*INDEX(MACRS_table,MATCH(C$72,recovery_year,0),MATCH(depr_length,recovery_period,0)),""))</f>
        <v>56030.903864176231</v>
      </c>
      <c r="D75" s="195">
        <f>IF(AND(Main!$B$79="Straight Line",D$72&lt;=depr_length),$B75/depr_length,IF(AND(Main!$B$79="MACRS",D$72&lt;=depr_length+1),$B75*INDEX(MACRS_table,MATCH(D$72,recovery_year,0),MATCH(depr_length,recovery_period,0)),""))</f>
        <v>107863.2253321302</v>
      </c>
      <c r="E75" s="195">
        <f>IF(AND(Main!$B$79="Straight Line",E$72&lt;=depr_length),$B75/depr_length,IF(AND(Main!$B$79="MACRS",E$72&lt;=depr_length+1),$B75*INDEX(MACRS_table,MATCH(E$72,recovery_year,0),MATCH(depr_length,recovery_period,0)),""))</f>
        <v>99764.892026961257</v>
      </c>
      <c r="F75" s="195">
        <f>IF(AND(Main!$B$79="Straight Line",F$72&lt;=depr_length),$B75/depr_length,IF(AND(Main!$B$79="MACRS",F$72&lt;=depr_length+1),$B75*INDEX(MACRS_table,MATCH(F$72,recovery_year,0),MATCH(depr_length,recovery_period,0)),""))</f>
        <v>92294.104845071095</v>
      </c>
      <c r="G75" s="195">
        <f>IF(AND(Main!$B$79="Straight Line",G$72&lt;=depr_length),$B75/depr_length,IF(AND(Main!$B$79="MACRS",G$72&lt;=depr_length+1),$B75*INDEX(MACRS_table,MATCH(G$72,recovery_year,0),MATCH(depr_length,recovery_period,0)),""))</f>
        <v>85361.214340277016</v>
      </c>
      <c r="H75" s="195">
        <f>IF(AND(Main!$B$79="Straight Line",H$72&lt;=depr_length),$B75/depr_length,IF(AND(Main!$B$79="MACRS",H$72&lt;=depr_length+1),$B75*INDEX(MACRS_table,MATCH(H$72,recovery_year,0),MATCH(depr_length,recovery_period,0)),""))</f>
        <v>78966.220512579035</v>
      </c>
      <c r="I75" s="195">
        <f>IF(AND(Main!$B$79="Straight Line",I$72&lt;=depr_length),$B75/depr_length,IF(AND(Main!$B$79="MACRS",I$72&lt;=depr_length+1),$B75*INDEX(MACRS_table,MATCH(I$72,recovery_year,0),MATCH(depr_length,recovery_period,0)),""))</f>
        <v>73034.415490158251</v>
      </c>
      <c r="J75" s="195">
        <f>IF(AND(Main!$B$79="Straight Line",J$72&lt;=depr_length),$B75/depr_length,IF(AND(Main!$B$79="MACRS",J$72&lt;=depr_length+1),$B75*INDEX(MACRS_table,MATCH(J$72,recovery_year,0),MATCH(depr_length,recovery_period,0)),""))</f>
        <v>67565.799273014651</v>
      </c>
      <c r="K75" s="195">
        <f>IF(AND(Main!$B$79="Straight Line",K$72&lt;=depr_length),$B75/depr_length,IF(AND(Main!$B$79="MACRS",K$72&lt;=depr_length+1),$B75*INDEX(MACRS_table,MATCH(K$72,recovery_year,0),MATCH(depr_length,recovery_period,0)),""))</f>
        <v>66669.304811187831</v>
      </c>
      <c r="L75" s="195">
        <f>IF(AND(Main!$B$79="Straight Line",L$72&lt;=depr_length),$B75/depr_length,IF(AND(Main!$B$79="MACRS",L$72&lt;=depr_length+1),$B75*INDEX(MACRS_table,MATCH(L$72,recovery_year,0),MATCH(depr_length,recovery_period,0)),""))</f>
        <v>66654.363236824036</v>
      </c>
      <c r="M75" s="195">
        <f>IF(AND(Main!$B$79="Straight Line",M$72&lt;=depr_length),$B75/depr_length,IF(AND(Main!$B$79="MACRS",M$72&lt;=depr_length+1),$B75*INDEX(MACRS_table,MATCH(M$72,recovery_year,0),MATCH(depr_length,recovery_period,0)),""))</f>
        <v>66669.304811187831</v>
      </c>
      <c r="N75" s="195">
        <f>IF(AND(Main!$B$79="Straight Line",N$72&lt;=depr_length),$B75/depr_length,IF(AND(Main!$B$79="MACRS",N$72&lt;=depr_length+1),$B75*INDEX(MACRS_table,MATCH(N$72,recovery_year,0),MATCH(depr_length,recovery_period,0)),""))</f>
        <v>66654.363236824036</v>
      </c>
      <c r="O75" s="195">
        <f>IF(AND(Main!$B$79="Straight Line",O$72&lt;=depr_length),$B75/depr_length,IF(AND(Main!$B$79="MACRS",O$72&lt;=depr_length+1),$B75*INDEX(MACRS_table,MATCH(O$72,recovery_year,0),MATCH(depr_length,recovery_period,0)),""))</f>
        <v>66669.304811187831</v>
      </c>
      <c r="P75" s="195">
        <f>IF(AND(Main!$B$79="Straight Line",P$72&lt;=depr_length),$B75/depr_length,IF(AND(Main!$B$79="MACRS",P$72&lt;=depr_length+1),$B75*INDEX(MACRS_table,MATCH(P$72,recovery_year,0),MATCH(depr_length,recovery_period,0)),""))</f>
        <v>66654.363236824036</v>
      </c>
      <c r="Q75" s="195">
        <f>IF(AND(Main!$B$79="Straight Line",Q$72&lt;=depr_length),$B75/depr_length,IF(AND(Main!$B$79="MACRS",Q$72&lt;=depr_length+1),$B75*INDEX(MACRS_table,MATCH(Q$72,recovery_year,0),MATCH(depr_length,recovery_period,0)),""))</f>
        <v>66669.304811187831</v>
      </c>
      <c r="R75" s="195">
        <f>IF(AND(Main!$B$79="Straight Line",R$72&lt;=depr_length),$B75/depr_length,IF(AND(Main!$B$79="MACRS",R$72&lt;=depr_length+1),$B75*INDEX(MACRS_table,MATCH(R$72,recovery_year,0),MATCH(depr_length,recovery_period,0)),""))</f>
        <v>66654.363236824036</v>
      </c>
      <c r="S75" s="195">
        <f>IF(AND(Main!$B$79="Straight Line",S$72&lt;=depr_length),$B75/depr_length,IF(AND(Main!$B$79="MACRS",S$72&lt;=depr_length+1),$B75*INDEX(MACRS_table,MATCH(S$72,recovery_year,0),MATCH(depr_length,recovery_period,0)),""))</f>
        <v>66669.304811187831</v>
      </c>
      <c r="T75" s="195">
        <f>IF(AND(Main!$B$79="Straight Line",T$72&lt;=depr_length),$B75/depr_length,IF(AND(Main!$B$79="MACRS",T$72&lt;=depr_length+1),$B75*INDEX(MACRS_table,MATCH(T$72,recovery_year,0),MATCH(depr_length,recovery_period,0)),""))</f>
        <v>66654.363236824036</v>
      </c>
      <c r="U75" s="195">
        <f>IF(AND(Main!$B$79="Straight Line",U$72&lt;=depr_length),$B75/depr_length,IF(AND(Main!$B$79="MACRS",U$72&lt;=depr_length+1),$B75*INDEX(MACRS_table,MATCH(U$72,recovery_year,0),MATCH(depr_length,recovery_period,0)),""))</f>
        <v>66669.304811187831</v>
      </c>
      <c r="V75" s="195">
        <f>IF(AND(Main!$B$79="Straight Line",V$72&lt;=depr_length),$B75/depr_length,IF(AND(Main!$B$79="MACRS",V$72&lt;=depr_length+1),$B75*INDEX(MACRS_table,MATCH(V$72,recovery_year,0),MATCH(depr_length,recovery_period,0)),""))</f>
        <v>66654.363236824036</v>
      </c>
      <c r="W75" s="195">
        <f>IF(AND(Main!$B$79="Straight Line",W$72&lt;=depr_length),$B75/depr_length,IF(AND(Main!$B$79="MACRS",W$72&lt;=depr_length+1),$B75*INDEX(MACRS_table,MATCH(W$72,recovery_year,0),MATCH(depr_length,recovery_period,0)),""))</f>
        <v>33334.652405593915</v>
      </c>
      <c r="X75" s="196" cm="1">
        <f t="array" ref="X75">SUMPRODUCT((ROW($C$73:$W$113)-MIN(ROW(C75:W115))=MIN(COLUMN(C75:W115))-COLUMN($C$73:$W$113))*($C$73:$W$113))</f>
        <v>28105158.558847819</v>
      </c>
    </row>
    <row r="76" spans="1:24" x14ac:dyDescent="0.15">
      <c r="A76" s="115">
        <v>3</v>
      </c>
      <c r="B76" s="194">
        <f t="shared" si="20"/>
        <v>1522546.4276692155</v>
      </c>
      <c r="C76" s="195">
        <f>IF(AND(Main!$B$79="Straight Line",C$72&lt;=depr_length),$B76/depr_length,IF(AND(Main!$B$79="MACRS",C$72&lt;=depr_length+1),$B76*INDEX(MACRS_table,MATCH(C$72,recovery_year,0),MATCH(depr_length,recovery_period,0)),""))</f>
        <v>57095.491037595581</v>
      </c>
      <c r="D76" s="195">
        <f>IF(AND(Main!$B$79="Straight Line",D$72&lt;=depr_length),$B76/depr_length,IF(AND(Main!$B$79="MACRS",D$72&lt;=depr_length+1),$B76*INDEX(MACRS_table,MATCH(D$72,recovery_year,0),MATCH(depr_length,recovery_period,0)),""))</f>
        <v>109912.62661344068</v>
      </c>
      <c r="E76" s="195">
        <f>IF(AND(Main!$B$79="Straight Line",E$72&lt;=depr_length),$B76/depr_length,IF(AND(Main!$B$79="MACRS",E$72&lt;=depr_length+1),$B76*INDEX(MACRS_table,MATCH(E$72,recovery_year,0),MATCH(depr_length,recovery_period,0)),""))</f>
        <v>101660.42497547351</v>
      </c>
      <c r="F76" s="195">
        <f>IF(AND(Main!$B$79="Straight Line",F$72&lt;=depr_length),$B76/depr_length,IF(AND(Main!$B$79="MACRS",F$72&lt;=depr_length+1),$B76*INDEX(MACRS_table,MATCH(F$72,recovery_year,0),MATCH(depr_length,recovery_period,0)),""))</f>
        <v>94047.692837127441</v>
      </c>
      <c r="G76" s="195">
        <f>IF(AND(Main!$B$79="Straight Line",G$72&lt;=depr_length),$B76/depr_length,IF(AND(Main!$B$79="MACRS",G$72&lt;=depr_length+1),$B76*INDEX(MACRS_table,MATCH(G$72,recovery_year,0),MATCH(depr_length,recovery_period,0)),""))</f>
        <v>86983.077412742277</v>
      </c>
      <c r="H76" s="195">
        <f>IF(AND(Main!$B$79="Straight Line",H$72&lt;=depr_length),$B76/depr_length,IF(AND(Main!$B$79="MACRS",H$72&lt;=depr_length+1),$B76*INDEX(MACRS_table,MATCH(H$72,recovery_year,0),MATCH(depr_length,recovery_period,0)),""))</f>
        <v>80466.578702318046</v>
      </c>
      <c r="I76" s="195">
        <f>IF(AND(Main!$B$79="Straight Line",I$72&lt;=depr_length),$B76/depr_length,IF(AND(Main!$B$79="MACRS",I$72&lt;=depr_length+1),$B76*INDEX(MACRS_table,MATCH(I$72,recovery_year,0),MATCH(depr_length,recovery_period,0)),""))</f>
        <v>74422.069384471251</v>
      </c>
      <c r="J76" s="195">
        <f>IF(AND(Main!$B$79="Straight Line",J$72&lt;=depr_length),$B76/depr_length,IF(AND(Main!$B$79="MACRS",J$72&lt;=depr_length+1),$B76*INDEX(MACRS_table,MATCH(J$72,recovery_year,0),MATCH(depr_length,recovery_period,0)),""))</f>
        <v>68849.549459201924</v>
      </c>
      <c r="K76" s="195">
        <f>IF(AND(Main!$B$79="Straight Line",K$72&lt;=depr_length),$B76/depr_length,IF(AND(Main!$B$79="MACRS",K$72&lt;=depr_length+1),$B76*INDEX(MACRS_table,MATCH(K$72,recovery_year,0),MATCH(depr_length,recovery_period,0)),""))</f>
        <v>67936.021602600391</v>
      </c>
      <c r="L76" s="195">
        <f>IF(AND(Main!$B$79="Straight Line",L$72&lt;=depr_length),$B76/depr_length,IF(AND(Main!$B$79="MACRS",L$72&lt;=depr_length+1),$B76*INDEX(MACRS_table,MATCH(L$72,recovery_year,0),MATCH(depr_length,recovery_period,0)),""))</f>
        <v>67920.796138323698</v>
      </c>
      <c r="M76" s="195">
        <f>IF(AND(Main!$B$79="Straight Line",M$72&lt;=depr_length),$B76/depr_length,IF(AND(Main!$B$79="MACRS",M$72&lt;=depr_length+1),$B76*INDEX(MACRS_table,MATCH(M$72,recovery_year,0),MATCH(depr_length,recovery_period,0)),""))</f>
        <v>67936.021602600391</v>
      </c>
      <c r="N76" s="195">
        <f>IF(AND(Main!$B$79="Straight Line",N$72&lt;=depr_length),$B76/depr_length,IF(AND(Main!$B$79="MACRS",N$72&lt;=depr_length+1),$B76*INDEX(MACRS_table,MATCH(N$72,recovery_year,0),MATCH(depr_length,recovery_period,0)),""))</f>
        <v>67920.796138323698</v>
      </c>
      <c r="O76" s="195">
        <f>IF(AND(Main!$B$79="Straight Line",O$72&lt;=depr_length),$B76/depr_length,IF(AND(Main!$B$79="MACRS",O$72&lt;=depr_length+1),$B76*INDEX(MACRS_table,MATCH(O$72,recovery_year,0),MATCH(depr_length,recovery_period,0)),""))</f>
        <v>67936.021602600391</v>
      </c>
      <c r="P76" s="195">
        <f>IF(AND(Main!$B$79="Straight Line",P$72&lt;=depr_length),$B76/depr_length,IF(AND(Main!$B$79="MACRS",P$72&lt;=depr_length+1),$B76*INDEX(MACRS_table,MATCH(P$72,recovery_year,0),MATCH(depr_length,recovery_period,0)),""))</f>
        <v>67920.796138323698</v>
      </c>
      <c r="Q76" s="195">
        <f>IF(AND(Main!$B$79="Straight Line",Q$72&lt;=depr_length),$B76/depr_length,IF(AND(Main!$B$79="MACRS",Q$72&lt;=depr_length+1),$B76*INDEX(MACRS_table,MATCH(Q$72,recovery_year,0),MATCH(depr_length,recovery_period,0)),""))</f>
        <v>67936.021602600391</v>
      </c>
      <c r="R76" s="195">
        <f>IF(AND(Main!$B$79="Straight Line",R$72&lt;=depr_length),$B76/depr_length,IF(AND(Main!$B$79="MACRS",R$72&lt;=depr_length+1),$B76*INDEX(MACRS_table,MATCH(R$72,recovery_year,0),MATCH(depr_length,recovery_period,0)),""))</f>
        <v>67920.796138323698</v>
      </c>
      <c r="S76" s="195">
        <f>IF(AND(Main!$B$79="Straight Line",S$72&lt;=depr_length),$B76/depr_length,IF(AND(Main!$B$79="MACRS",S$72&lt;=depr_length+1),$B76*INDEX(MACRS_table,MATCH(S$72,recovery_year,0),MATCH(depr_length,recovery_period,0)),""))</f>
        <v>67936.021602600391</v>
      </c>
      <c r="T76" s="195">
        <f>IF(AND(Main!$B$79="Straight Line",T$72&lt;=depr_length),$B76/depr_length,IF(AND(Main!$B$79="MACRS",T$72&lt;=depr_length+1),$B76*INDEX(MACRS_table,MATCH(T$72,recovery_year,0),MATCH(depr_length,recovery_period,0)),""))</f>
        <v>67920.796138323698</v>
      </c>
      <c r="U76" s="195">
        <f>IF(AND(Main!$B$79="Straight Line",U$72&lt;=depr_length),$B76/depr_length,IF(AND(Main!$B$79="MACRS",U$72&lt;=depr_length+1),$B76*INDEX(MACRS_table,MATCH(U$72,recovery_year,0),MATCH(depr_length,recovery_period,0)),""))</f>
        <v>67936.021602600391</v>
      </c>
      <c r="V76" s="195">
        <f>IF(AND(Main!$B$79="Straight Line",V$72&lt;=depr_length),$B76/depr_length,IF(AND(Main!$B$79="MACRS",V$72&lt;=depr_length+1),$B76*INDEX(MACRS_table,MATCH(V$72,recovery_year,0),MATCH(depr_length,recovery_period,0)),""))</f>
        <v>67920.796138323698</v>
      </c>
      <c r="W76" s="195">
        <f>IF(AND(Main!$B$79="Straight Line",W$72&lt;=depr_length),$B76/depr_length,IF(AND(Main!$B$79="MACRS",W$72&lt;=depr_length+1),$B76*INDEX(MACRS_table,MATCH(W$72,recovery_year,0),MATCH(depr_length,recovery_period,0)),""))</f>
        <v>33968.010801300195</v>
      </c>
      <c r="X76" s="196" cm="1">
        <f t="array" ref="X76">SUMPRODUCT((ROW($C$73:$W$113)-MIN(ROW(C76:W116))=MIN(COLUMN(C76:W116))-COLUMN($C$73:$W$113))*($C$73:$W$113))</f>
        <v>26108167.658373572</v>
      </c>
    </row>
    <row r="77" spans="1:24" x14ac:dyDescent="0.15">
      <c r="A77" s="115">
        <v>4</v>
      </c>
      <c r="B77" s="194">
        <f t="shared" si="20"/>
        <v>1551474.8097949307</v>
      </c>
      <c r="C77" s="195">
        <f>IF(AND(Main!$B$79="Straight Line",C$72&lt;=depr_length),$B77/depr_length,IF(AND(Main!$B$79="MACRS",C$72&lt;=depr_length+1),$B77*INDEX(MACRS_table,MATCH(C$72,recovery_year,0),MATCH(depr_length,recovery_period,0)),""))</f>
        <v>58180.305367309898</v>
      </c>
      <c r="D77" s="195">
        <f>IF(AND(Main!$B$79="Straight Line",D$72&lt;=depr_length),$B77/depr_length,IF(AND(Main!$B$79="MACRS",D$72&lt;=depr_length+1),$B77*INDEX(MACRS_table,MATCH(D$72,recovery_year,0),MATCH(depr_length,recovery_period,0)),""))</f>
        <v>112000.96651909605</v>
      </c>
      <c r="E77" s="195">
        <f>IF(AND(Main!$B$79="Straight Line",E$72&lt;=depr_length),$B77/depr_length,IF(AND(Main!$B$79="MACRS",E$72&lt;=depr_length+1),$B77*INDEX(MACRS_table,MATCH(E$72,recovery_year,0),MATCH(depr_length,recovery_period,0)),""))</f>
        <v>103591.97305000752</v>
      </c>
      <c r="F77" s="195">
        <f>IF(AND(Main!$B$79="Straight Line",F$72&lt;=depr_length),$B77/depr_length,IF(AND(Main!$B$79="MACRS",F$72&lt;=depr_length+1),$B77*INDEX(MACRS_table,MATCH(F$72,recovery_year,0),MATCH(depr_length,recovery_period,0)),""))</f>
        <v>95834.599001032868</v>
      </c>
      <c r="G77" s="195">
        <f>IF(AND(Main!$B$79="Straight Line",G$72&lt;=depr_length),$B77/depr_length,IF(AND(Main!$B$79="MACRS",G$72&lt;=depr_length+1),$B77*INDEX(MACRS_table,MATCH(G$72,recovery_year,0),MATCH(depr_length,recovery_period,0)),""))</f>
        <v>88635.755883584396</v>
      </c>
      <c r="H77" s="195">
        <f>IF(AND(Main!$B$79="Straight Line",H$72&lt;=depr_length),$B77/depr_length,IF(AND(Main!$B$79="MACRS",H$72&lt;=depr_length+1),$B77*INDEX(MACRS_table,MATCH(H$72,recovery_year,0),MATCH(depr_length,recovery_period,0)),""))</f>
        <v>81995.443697662093</v>
      </c>
      <c r="I77" s="195">
        <f>IF(AND(Main!$B$79="Straight Line",I$72&lt;=depr_length),$B77/depr_length,IF(AND(Main!$B$79="MACRS",I$72&lt;=depr_length+1),$B77*INDEX(MACRS_table,MATCH(I$72,recovery_year,0),MATCH(depr_length,recovery_period,0)),""))</f>
        <v>75836.088702776207</v>
      </c>
      <c r="J77" s="195">
        <f>IF(AND(Main!$B$79="Straight Line",J$72&lt;=depr_length),$B77/depr_length,IF(AND(Main!$B$79="MACRS",J$72&lt;=depr_length+1),$B77*INDEX(MACRS_table,MATCH(J$72,recovery_year,0),MATCH(depr_length,recovery_period,0)),""))</f>
        <v>70157.690898926769</v>
      </c>
      <c r="K77" s="195">
        <f>IF(AND(Main!$B$79="Straight Line",K$72&lt;=depr_length),$B77/depr_length,IF(AND(Main!$B$79="MACRS",K$72&lt;=depr_length+1),$B77*INDEX(MACRS_table,MATCH(K$72,recovery_year,0),MATCH(depr_length,recovery_period,0)),""))</f>
        <v>69226.806013049805</v>
      </c>
      <c r="L77" s="195">
        <f>IF(AND(Main!$B$79="Straight Line",L$72&lt;=depr_length),$B77/depr_length,IF(AND(Main!$B$79="MACRS",L$72&lt;=depr_length+1),$B77*INDEX(MACRS_table,MATCH(L$72,recovery_year,0),MATCH(depr_length,recovery_period,0)),""))</f>
        <v>69211.291264951855</v>
      </c>
      <c r="M77" s="195">
        <f>IF(AND(Main!$B$79="Straight Line",M$72&lt;=depr_length),$B77/depr_length,IF(AND(Main!$B$79="MACRS",M$72&lt;=depr_length+1),$B77*INDEX(MACRS_table,MATCH(M$72,recovery_year,0),MATCH(depr_length,recovery_period,0)),""))</f>
        <v>69226.806013049805</v>
      </c>
      <c r="N77" s="195">
        <f>IF(AND(Main!$B$79="Straight Line",N$72&lt;=depr_length),$B77/depr_length,IF(AND(Main!$B$79="MACRS",N$72&lt;=depr_length+1),$B77*INDEX(MACRS_table,MATCH(N$72,recovery_year,0),MATCH(depr_length,recovery_period,0)),""))</f>
        <v>69211.291264951855</v>
      </c>
      <c r="O77" s="195">
        <f>IF(AND(Main!$B$79="Straight Line",O$72&lt;=depr_length),$B77/depr_length,IF(AND(Main!$B$79="MACRS",O$72&lt;=depr_length+1),$B77*INDEX(MACRS_table,MATCH(O$72,recovery_year,0),MATCH(depr_length,recovery_period,0)),""))</f>
        <v>69226.806013049805</v>
      </c>
      <c r="P77" s="195">
        <f>IF(AND(Main!$B$79="Straight Line",P$72&lt;=depr_length),$B77/depr_length,IF(AND(Main!$B$79="MACRS",P$72&lt;=depr_length+1),$B77*INDEX(MACRS_table,MATCH(P$72,recovery_year,0),MATCH(depr_length,recovery_period,0)),""))</f>
        <v>69211.291264951855</v>
      </c>
      <c r="Q77" s="195">
        <f>IF(AND(Main!$B$79="Straight Line",Q$72&lt;=depr_length),$B77/depr_length,IF(AND(Main!$B$79="MACRS",Q$72&lt;=depr_length+1),$B77*INDEX(MACRS_table,MATCH(Q$72,recovery_year,0),MATCH(depr_length,recovery_period,0)),""))</f>
        <v>69226.806013049805</v>
      </c>
      <c r="R77" s="195">
        <f>IF(AND(Main!$B$79="Straight Line",R$72&lt;=depr_length),$B77/depr_length,IF(AND(Main!$B$79="MACRS",R$72&lt;=depr_length+1),$B77*INDEX(MACRS_table,MATCH(R$72,recovery_year,0),MATCH(depr_length,recovery_period,0)),""))</f>
        <v>69211.291264951855</v>
      </c>
      <c r="S77" s="195">
        <f>IF(AND(Main!$B$79="Straight Line",S$72&lt;=depr_length),$B77/depr_length,IF(AND(Main!$B$79="MACRS",S$72&lt;=depr_length+1),$B77*INDEX(MACRS_table,MATCH(S$72,recovery_year,0),MATCH(depr_length,recovery_period,0)),""))</f>
        <v>69226.806013049805</v>
      </c>
      <c r="T77" s="195">
        <f>IF(AND(Main!$B$79="Straight Line",T$72&lt;=depr_length),$B77/depr_length,IF(AND(Main!$B$79="MACRS",T$72&lt;=depr_length+1),$B77*INDEX(MACRS_table,MATCH(T$72,recovery_year,0),MATCH(depr_length,recovery_period,0)),""))</f>
        <v>69211.291264951855</v>
      </c>
      <c r="U77" s="195">
        <f>IF(AND(Main!$B$79="Straight Line",U$72&lt;=depr_length),$B77/depr_length,IF(AND(Main!$B$79="MACRS",U$72&lt;=depr_length+1),$B77*INDEX(MACRS_table,MATCH(U$72,recovery_year,0),MATCH(depr_length,recovery_period,0)),""))</f>
        <v>69226.806013049805</v>
      </c>
      <c r="V77" s="195">
        <f>IF(AND(Main!$B$79="Straight Line",V$72&lt;=depr_length),$B77/depr_length,IF(AND(Main!$B$79="MACRS",V$72&lt;=depr_length+1),$B77*INDEX(MACRS_table,MATCH(V$72,recovery_year,0),MATCH(depr_length,recovery_period,0)),""))</f>
        <v>69211.291264951855</v>
      </c>
      <c r="W77" s="195">
        <f>IF(AND(Main!$B$79="Straight Line",W$72&lt;=depr_length),$B77/depr_length,IF(AND(Main!$B$79="MACRS",W$72&lt;=depr_length+1),$B77*INDEX(MACRS_table,MATCH(W$72,recovery_year,0),MATCH(depr_length,recovery_period,0)),""))</f>
        <v>34613.403006524903</v>
      </c>
      <c r="X77" s="196" cm="1">
        <f t="array" ref="X77">SUMPRODUCT((ROW($C$73:$W$113)-MIN(ROW(C77:W117))=MIN(COLUMN(C77:W117))-COLUMN($C$73:$W$113))*($C$73:$W$113))</f>
        <v>24268337.325993299</v>
      </c>
    </row>
    <row r="78" spans="1:24" x14ac:dyDescent="0.15">
      <c r="A78" s="115">
        <v>5</v>
      </c>
      <c r="B78" s="194">
        <f t="shared" si="20"/>
        <v>1580952.8311810342</v>
      </c>
      <c r="C78" s="195">
        <f>IF(AND(Main!$B$79="Straight Line",C$72&lt;=depr_length),$B78/depr_length,IF(AND(Main!$B$79="MACRS",C$72&lt;=depr_length+1),$B78*INDEX(MACRS_table,MATCH(C$72,recovery_year,0),MATCH(depr_length,recovery_period,0)),""))</f>
        <v>59285.731169288782</v>
      </c>
      <c r="D78" s="195">
        <f>IF(AND(Main!$B$79="Straight Line",D$72&lt;=depr_length),$B78/depr_length,IF(AND(Main!$B$79="MACRS",D$72&lt;=depr_length+1),$B78*INDEX(MACRS_table,MATCH(D$72,recovery_year,0),MATCH(depr_length,recovery_period,0)),""))</f>
        <v>114128.98488295887</v>
      </c>
      <c r="E78" s="195">
        <f>IF(AND(Main!$B$79="Straight Line",E$72&lt;=depr_length),$B78/depr_length,IF(AND(Main!$B$79="MACRS",E$72&lt;=depr_length+1),$B78*INDEX(MACRS_table,MATCH(E$72,recovery_year,0),MATCH(depr_length,recovery_period,0)),""))</f>
        <v>105560.22053795765</v>
      </c>
      <c r="F78" s="195">
        <f>IF(AND(Main!$B$79="Straight Line",F$72&lt;=depr_length),$B78/depr_length,IF(AND(Main!$B$79="MACRS",F$72&lt;=depr_length+1),$B78*INDEX(MACRS_table,MATCH(F$72,recovery_year,0),MATCH(depr_length,recovery_period,0)),""))</f>
        <v>97655.456382052478</v>
      </c>
      <c r="G78" s="195">
        <f>IF(AND(Main!$B$79="Straight Line",G$72&lt;=depr_length),$B78/depr_length,IF(AND(Main!$B$79="MACRS",G$72&lt;=depr_length+1),$B78*INDEX(MACRS_table,MATCH(G$72,recovery_year,0),MATCH(depr_length,recovery_period,0)),""))</f>
        <v>90319.83524537248</v>
      </c>
      <c r="H78" s="195">
        <f>IF(AND(Main!$B$79="Straight Line",H$72&lt;=depr_length),$B78/depr_length,IF(AND(Main!$B$79="MACRS",H$72&lt;=depr_length+1),$B78*INDEX(MACRS_table,MATCH(H$72,recovery_year,0),MATCH(depr_length,recovery_period,0)),""))</f>
        <v>83553.357127917654</v>
      </c>
      <c r="I78" s="195">
        <f>IF(AND(Main!$B$79="Straight Line",I$72&lt;=depr_length),$B78/depr_length,IF(AND(Main!$B$79="MACRS",I$72&lt;=depr_length+1),$B78*INDEX(MACRS_table,MATCH(I$72,recovery_year,0),MATCH(depr_length,recovery_period,0)),""))</f>
        <v>77276.974388128947</v>
      </c>
      <c r="J78" s="195">
        <f>IF(AND(Main!$B$79="Straight Line",J$72&lt;=depr_length),$B78/depr_length,IF(AND(Main!$B$79="MACRS",J$72&lt;=depr_length+1),$B78*INDEX(MACRS_table,MATCH(J$72,recovery_year,0),MATCH(depr_length,recovery_period,0)),""))</f>
        <v>71490.687026006373</v>
      </c>
      <c r="K78" s="195">
        <f>IF(AND(Main!$B$79="Straight Line",K$72&lt;=depr_length),$B78/depr_length,IF(AND(Main!$B$79="MACRS",K$72&lt;=depr_length+1),$B78*INDEX(MACRS_table,MATCH(K$72,recovery_year,0),MATCH(depr_length,recovery_period,0)),""))</f>
        <v>70542.115327297754</v>
      </c>
      <c r="L78" s="195">
        <f>IF(AND(Main!$B$79="Straight Line",L$72&lt;=depr_length),$B78/depr_length,IF(AND(Main!$B$79="MACRS",L$72&lt;=depr_length+1),$B78*INDEX(MACRS_table,MATCH(L$72,recovery_year,0),MATCH(depr_length,recovery_period,0)),""))</f>
        <v>70526.305798985937</v>
      </c>
      <c r="M78" s="195">
        <f>IF(AND(Main!$B$79="Straight Line",M$72&lt;=depr_length),$B78/depr_length,IF(AND(Main!$B$79="MACRS",M$72&lt;=depr_length+1),$B78*INDEX(MACRS_table,MATCH(M$72,recovery_year,0),MATCH(depr_length,recovery_period,0)),""))</f>
        <v>70542.115327297754</v>
      </c>
      <c r="N78" s="195">
        <f>IF(AND(Main!$B$79="Straight Line",N$72&lt;=depr_length),$B78/depr_length,IF(AND(Main!$B$79="MACRS",N$72&lt;=depr_length+1),$B78*INDEX(MACRS_table,MATCH(N$72,recovery_year,0),MATCH(depr_length,recovery_period,0)),""))</f>
        <v>70526.305798985937</v>
      </c>
      <c r="O78" s="195">
        <f>IF(AND(Main!$B$79="Straight Line",O$72&lt;=depr_length),$B78/depr_length,IF(AND(Main!$B$79="MACRS",O$72&lt;=depr_length+1),$B78*INDEX(MACRS_table,MATCH(O$72,recovery_year,0),MATCH(depr_length,recovery_period,0)),""))</f>
        <v>70542.115327297754</v>
      </c>
      <c r="P78" s="195">
        <f>IF(AND(Main!$B$79="Straight Line",P$72&lt;=depr_length),$B78/depr_length,IF(AND(Main!$B$79="MACRS",P$72&lt;=depr_length+1),$B78*INDEX(MACRS_table,MATCH(P$72,recovery_year,0),MATCH(depr_length,recovery_period,0)),""))</f>
        <v>70526.305798985937</v>
      </c>
      <c r="Q78" s="195">
        <f>IF(AND(Main!$B$79="Straight Line",Q$72&lt;=depr_length),$B78/depr_length,IF(AND(Main!$B$79="MACRS",Q$72&lt;=depr_length+1),$B78*INDEX(MACRS_table,MATCH(Q$72,recovery_year,0),MATCH(depr_length,recovery_period,0)),""))</f>
        <v>70542.115327297754</v>
      </c>
      <c r="R78" s="195">
        <f>IF(AND(Main!$B$79="Straight Line",R$72&lt;=depr_length),$B78/depr_length,IF(AND(Main!$B$79="MACRS",R$72&lt;=depr_length+1),$B78*INDEX(MACRS_table,MATCH(R$72,recovery_year,0),MATCH(depr_length,recovery_period,0)),""))</f>
        <v>70526.305798985937</v>
      </c>
      <c r="S78" s="195">
        <f>IF(AND(Main!$B$79="Straight Line",S$72&lt;=depr_length),$B78/depr_length,IF(AND(Main!$B$79="MACRS",S$72&lt;=depr_length+1),$B78*INDEX(MACRS_table,MATCH(S$72,recovery_year,0),MATCH(depr_length,recovery_period,0)),""))</f>
        <v>70542.115327297754</v>
      </c>
      <c r="T78" s="195">
        <f>IF(AND(Main!$B$79="Straight Line",T$72&lt;=depr_length),$B78/depr_length,IF(AND(Main!$B$79="MACRS",T$72&lt;=depr_length+1),$B78*INDEX(MACRS_table,MATCH(T$72,recovery_year,0),MATCH(depr_length,recovery_period,0)),""))</f>
        <v>70526.305798985937</v>
      </c>
      <c r="U78" s="195">
        <f>IF(AND(Main!$B$79="Straight Line",U$72&lt;=depr_length),$B78/depr_length,IF(AND(Main!$B$79="MACRS",U$72&lt;=depr_length+1),$B78*INDEX(MACRS_table,MATCH(U$72,recovery_year,0),MATCH(depr_length,recovery_period,0)),""))</f>
        <v>70542.115327297754</v>
      </c>
      <c r="V78" s="195">
        <f>IF(AND(Main!$B$79="Straight Line",V$72&lt;=depr_length),$B78/depr_length,IF(AND(Main!$B$79="MACRS",V$72&lt;=depr_length+1),$B78*INDEX(MACRS_table,MATCH(V$72,recovery_year,0),MATCH(depr_length,recovery_period,0)),""))</f>
        <v>70526.305798985937</v>
      </c>
      <c r="W78" s="195">
        <f>IF(AND(Main!$B$79="Straight Line",W$72&lt;=depr_length),$B78/depr_length,IF(AND(Main!$B$79="MACRS",W$72&lt;=depr_length+1),$B78*INDEX(MACRS_table,MATCH(W$72,recovery_year,0),MATCH(depr_length,recovery_period,0)),""))</f>
        <v>35271.057663648877</v>
      </c>
      <c r="X78" s="196" cm="1">
        <f t="array" ref="X78">SUMPRODUCT((ROW($C$73:$W$113)-MIN(ROW(C78:W118))=MIN(COLUMN(C78:W118))-COLUMN($C$73:$W$113))*($C$73:$W$113))</f>
        <v>22562867.809157565</v>
      </c>
    </row>
    <row r="79" spans="1:24" x14ac:dyDescent="0.15">
      <c r="A79" s="115">
        <v>6</v>
      </c>
      <c r="B79" s="194">
        <f t="shared" si="20"/>
        <v>78261604.918378294</v>
      </c>
      <c r="C79" s="195">
        <f>IF(AND(Main!$B$79="Straight Line",C$72&lt;=depr_length),$B79/depr_length,IF(AND(Main!$B$79="MACRS",C$72&lt;=depr_length+1),$B79*INDEX(MACRS_table,MATCH(C$72,recovery_year,0),MATCH(depr_length,recovery_period,0)),""))</f>
        <v>2934810.184439186</v>
      </c>
      <c r="D79" s="195">
        <f>IF(AND(Main!$B$79="Straight Line",D$72&lt;=depr_length),$B79/depr_length,IF(AND(Main!$B$79="MACRS",D$72&lt;=depr_length+1),$B79*INDEX(MACRS_table,MATCH(D$72,recovery_year,0),MATCH(depr_length,recovery_period,0)),""))</f>
        <v>5649705.2590577295</v>
      </c>
      <c r="E79" s="195">
        <f>IF(AND(Main!$B$79="Straight Line",E$72&lt;=depr_length),$B79/depr_length,IF(AND(Main!$B$79="MACRS",E$72&lt;=depr_length+1),$B79*INDEX(MACRS_table,MATCH(E$72,recovery_year,0),MATCH(depr_length,recovery_period,0)),""))</f>
        <v>5225527.3604001179</v>
      </c>
      <c r="F79" s="195">
        <f>IF(AND(Main!$B$79="Straight Line",F$72&lt;=depr_length),$B79/depr_length,IF(AND(Main!$B$79="MACRS",F$72&lt;=depr_length+1),$B79*INDEX(MACRS_table,MATCH(F$72,recovery_year,0),MATCH(depr_length,recovery_period,0)),""))</f>
        <v>4834219.3358082268</v>
      </c>
      <c r="G79" s="195">
        <f>IF(AND(Main!$B$79="Straight Line",G$72&lt;=depr_length),$B79/depr_length,IF(AND(Main!$B$79="MACRS",G$72&lt;=depr_length+1),$B79*INDEX(MACRS_table,MATCH(G$72,recovery_year,0),MATCH(depr_length,recovery_period,0)),""))</f>
        <v>4471085.4889869522</v>
      </c>
      <c r="H79" s="195">
        <f>IF(AND(Main!$B$79="Straight Line",H$72&lt;=depr_length),$B79/depr_length,IF(AND(Main!$B$79="MACRS",H$72&lt;=depr_length+1),$B79*INDEX(MACRS_table,MATCH(H$72,recovery_year,0),MATCH(depr_length,recovery_period,0)),""))</f>
        <v>4136125.8199362927</v>
      </c>
      <c r="I79" s="195">
        <f>IF(AND(Main!$B$79="Straight Line",I$72&lt;=depr_length),$B79/depr_length,IF(AND(Main!$B$79="MACRS",I$72&lt;=depr_length+1),$B79*INDEX(MACRS_table,MATCH(I$72,recovery_year,0),MATCH(depr_length,recovery_period,0)),""))</f>
        <v>3825427.2484103311</v>
      </c>
      <c r="J79" s="195">
        <f>IF(AND(Main!$B$79="Straight Line",J$72&lt;=depr_length),$B79/depr_length,IF(AND(Main!$B$79="MACRS",J$72&lt;=depr_length+1),$B79*INDEX(MACRS_table,MATCH(J$72,recovery_year,0),MATCH(depr_length,recovery_period,0)),""))</f>
        <v>3538989.7744090669</v>
      </c>
      <c r="K79" s="195">
        <f>IF(AND(Main!$B$79="Straight Line",K$72&lt;=depr_length),$B79/depr_length,IF(AND(Main!$B$79="MACRS",K$72&lt;=depr_length+1),$B79*INDEX(MACRS_table,MATCH(K$72,recovery_year,0),MATCH(depr_length,recovery_period,0)),""))</f>
        <v>3492032.8114580396</v>
      </c>
      <c r="L79" s="195">
        <f>IF(AND(Main!$B$79="Straight Line",L$72&lt;=depr_length),$B79/depr_length,IF(AND(Main!$B$79="MACRS",L$72&lt;=depr_length+1),$B79*INDEX(MACRS_table,MATCH(L$72,recovery_year,0),MATCH(depr_length,recovery_period,0)),""))</f>
        <v>3491250.1954088556</v>
      </c>
      <c r="M79" s="195">
        <f>IF(AND(Main!$B$79="Straight Line",M$72&lt;=depr_length),$B79/depr_length,IF(AND(Main!$B$79="MACRS",M$72&lt;=depr_length+1),$B79*INDEX(MACRS_table,MATCH(M$72,recovery_year,0),MATCH(depr_length,recovery_period,0)),""))</f>
        <v>3492032.8114580396</v>
      </c>
      <c r="N79" s="195">
        <f>IF(AND(Main!$B$79="Straight Line",N$72&lt;=depr_length),$B79/depr_length,IF(AND(Main!$B$79="MACRS",N$72&lt;=depr_length+1),$B79*INDEX(MACRS_table,MATCH(N$72,recovery_year,0),MATCH(depr_length,recovery_period,0)),""))</f>
        <v>3491250.1954088556</v>
      </c>
      <c r="O79" s="195">
        <f>IF(AND(Main!$B$79="Straight Line",O$72&lt;=depr_length),$B79/depr_length,IF(AND(Main!$B$79="MACRS",O$72&lt;=depr_length+1),$B79*INDEX(MACRS_table,MATCH(O$72,recovery_year,0),MATCH(depr_length,recovery_period,0)),""))</f>
        <v>3492032.8114580396</v>
      </c>
      <c r="P79" s="195">
        <f>IF(AND(Main!$B$79="Straight Line",P$72&lt;=depr_length),$B79/depr_length,IF(AND(Main!$B$79="MACRS",P$72&lt;=depr_length+1),$B79*INDEX(MACRS_table,MATCH(P$72,recovery_year,0),MATCH(depr_length,recovery_period,0)),""))</f>
        <v>3491250.1954088556</v>
      </c>
      <c r="Q79" s="195">
        <f>IF(AND(Main!$B$79="Straight Line",Q$72&lt;=depr_length),$B79/depr_length,IF(AND(Main!$B$79="MACRS",Q$72&lt;=depr_length+1),$B79*INDEX(MACRS_table,MATCH(Q$72,recovery_year,0),MATCH(depr_length,recovery_period,0)),""))</f>
        <v>3492032.8114580396</v>
      </c>
      <c r="R79" s="195">
        <f>IF(AND(Main!$B$79="Straight Line",R$72&lt;=depr_length),$B79/depr_length,IF(AND(Main!$B$79="MACRS",R$72&lt;=depr_length+1),$B79*INDEX(MACRS_table,MATCH(R$72,recovery_year,0),MATCH(depr_length,recovery_period,0)),""))</f>
        <v>3491250.1954088556</v>
      </c>
      <c r="S79" s="195">
        <f>IF(AND(Main!$B$79="Straight Line",S$72&lt;=depr_length),$B79/depr_length,IF(AND(Main!$B$79="MACRS",S$72&lt;=depr_length+1),$B79*INDEX(MACRS_table,MATCH(S$72,recovery_year,0),MATCH(depr_length,recovery_period,0)),""))</f>
        <v>3492032.8114580396</v>
      </c>
      <c r="T79" s="195">
        <f>IF(AND(Main!$B$79="Straight Line",T$72&lt;=depr_length),$B79/depr_length,IF(AND(Main!$B$79="MACRS",T$72&lt;=depr_length+1),$B79*INDEX(MACRS_table,MATCH(T$72,recovery_year,0),MATCH(depr_length,recovery_period,0)),""))</f>
        <v>3491250.1954088556</v>
      </c>
      <c r="U79" s="195">
        <f>IF(AND(Main!$B$79="Straight Line",U$72&lt;=depr_length),$B79/depr_length,IF(AND(Main!$B$79="MACRS",U$72&lt;=depr_length+1),$B79*INDEX(MACRS_table,MATCH(U$72,recovery_year,0),MATCH(depr_length,recovery_period,0)),""))</f>
        <v>3492032.8114580396</v>
      </c>
      <c r="V79" s="195">
        <f>IF(AND(Main!$B$79="Straight Line",V$72&lt;=depr_length),$B79/depr_length,IF(AND(Main!$B$79="MACRS",V$72&lt;=depr_length+1),$B79*INDEX(MACRS_table,MATCH(V$72,recovery_year,0),MATCH(depr_length,recovery_period,0)),""))</f>
        <v>3491250.1954088556</v>
      </c>
      <c r="W79" s="195">
        <f>IF(AND(Main!$B$79="Straight Line",W$72&lt;=depr_length),$B79/depr_length,IF(AND(Main!$B$79="MACRS",W$72&lt;=depr_length+1),$B79*INDEX(MACRS_table,MATCH(W$72,recovery_year,0),MATCH(depr_length,recovery_period,0)),""))</f>
        <v>1746016.4057290198</v>
      </c>
      <c r="X79" s="196" cm="1">
        <f t="array" ref="X79">SUMPRODUCT((ROW($C$73:$W$113)-MIN(ROW(C79:W119))=MIN(COLUMN(C79:W119))-COLUMN($C$73:$W$113))*($C$73:$W$113))</f>
        <v>23866590.230542563</v>
      </c>
    </row>
    <row r="80" spans="1:24" x14ac:dyDescent="0.15">
      <c r="A80" s="115">
        <v>7</v>
      </c>
      <c r="B80" s="194">
        <f t="shared" si="20"/>
        <v>1641599.7627379699</v>
      </c>
      <c r="C80" s="195">
        <f>IF(AND(Main!$B$79="Straight Line",C$72&lt;=depr_length),$B80/depr_length,IF(AND(Main!$B$79="MACRS",C$72&lt;=depr_length+1),$B80*INDEX(MACRS_table,MATCH(C$72,recovery_year,0),MATCH(depr_length,recovery_period,0)),""))</f>
        <v>61559.99110267387</v>
      </c>
      <c r="D80" s="195">
        <f>IF(AND(Main!$B$79="Straight Line",D$72&lt;=depr_length),$B80/depr_length,IF(AND(Main!$B$79="MACRS",D$72&lt;=depr_length+1),$B80*INDEX(MACRS_table,MATCH(D$72,recovery_year,0),MATCH(depr_length,recovery_period,0)),""))</f>
        <v>118507.08687205405</v>
      </c>
      <c r="E80" s="195">
        <f>IF(AND(Main!$B$79="Straight Line",E$72&lt;=depr_length),$B80/depr_length,IF(AND(Main!$B$79="MACRS",E$72&lt;=depr_length+1),$B80*INDEX(MACRS_table,MATCH(E$72,recovery_year,0),MATCH(depr_length,recovery_period,0)),""))</f>
        <v>109609.61615801424</v>
      </c>
      <c r="F80" s="195">
        <f>IF(AND(Main!$B$79="Straight Line",F$72&lt;=depr_length),$B80/depr_length,IF(AND(Main!$B$79="MACRS",F$72&lt;=depr_length+1),$B80*INDEX(MACRS_table,MATCH(F$72,recovery_year,0),MATCH(depr_length,recovery_period,0)),""))</f>
        <v>101401.61734432439</v>
      </c>
      <c r="G80" s="195">
        <f>IF(AND(Main!$B$79="Straight Line",G$72&lt;=depr_length),$B80/depr_length,IF(AND(Main!$B$79="MACRS",G$72&lt;=depr_length+1),$B80*INDEX(MACRS_table,MATCH(G$72,recovery_year,0),MATCH(depr_length,recovery_period,0)),""))</f>
        <v>93784.594445220224</v>
      </c>
      <c r="H80" s="195">
        <f>IF(AND(Main!$B$79="Straight Line",H$72&lt;=depr_length),$B80/depr_length,IF(AND(Main!$B$79="MACRS",H$72&lt;=depr_length+1),$B80*INDEX(MACRS_table,MATCH(H$72,recovery_year,0),MATCH(depr_length,recovery_period,0)),""))</f>
        <v>86758.547460701709</v>
      </c>
      <c r="I80" s="195">
        <f>IF(AND(Main!$B$79="Straight Line",I$72&lt;=depr_length),$B80/depr_length,IF(AND(Main!$B$79="MACRS",I$72&lt;=depr_length+1),$B80*INDEX(MACRS_table,MATCH(I$72,recovery_year,0),MATCH(depr_length,recovery_period,0)),""))</f>
        <v>80241.396402631974</v>
      </c>
      <c r="J80" s="195">
        <f>IF(AND(Main!$B$79="Straight Line",J$72&lt;=depr_length),$B80/depr_length,IF(AND(Main!$B$79="MACRS",J$72&lt;=depr_length+1),$B80*INDEX(MACRS_table,MATCH(J$72,recovery_year,0),MATCH(depr_length,recovery_period,0)),""))</f>
        <v>74233.141271011002</v>
      </c>
      <c r="K80" s="195">
        <f>IF(AND(Main!$B$79="Straight Line",K$72&lt;=depr_length),$B80/depr_length,IF(AND(Main!$B$79="MACRS",K$72&lt;=depr_length+1),$B80*INDEX(MACRS_table,MATCH(K$72,recovery_year,0),MATCH(depr_length,recovery_period,0)),""))</f>
        <v>73248.18141336822</v>
      </c>
      <c r="L80" s="195">
        <f>IF(AND(Main!$B$79="Straight Line",L$72&lt;=depr_length),$B80/depr_length,IF(AND(Main!$B$79="MACRS",L$72&lt;=depr_length+1),$B80*INDEX(MACRS_table,MATCH(L$72,recovery_year,0),MATCH(depr_length,recovery_period,0)),""))</f>
        <v>73231.765415740825</v>
      </c>
      <c r="M80" s="195">
        <f>IF(AND(Main!$B$79="Straight Line",M$72&lt;=depr_length),$B80/depr_length,IF(AND(Main!$B$79="MACRS",M$72&lt;=depr_length+1),$B80*INDEX(MACRS_table,MATCH(M$72,recovery_year,0),MATCH(depr_length,recovery_period,0)),""))</f>
        <v>73248.18141336822</v>
      </c>
      <c r="N80" s="195">
        <f>IF(AND(Main!$B$79="Straight Line",N$72&lt;=depr_length),$B80/depr_length,IF(AND(Main!$B$79="MACRS",N$72&lt;=depr_length+1),$B80*INDEX(MACRS_table,MATCH(N$72,recovery_year,0),MATCH(depr_length,recovery_period,0)),""))</f>
        <v>73231.765415740825</v>
      </c>
      <c r="O80" s="195">
        <f>IF(AND(Main!$B$79="Straight Line",O$72&lt;=depr_length),$B80/depr_length,IF(AND(Main!$B$79="MACRS",O$72&lt;=depr_length+1),$B80*INDEX(MACRS_table,MATCH(O$72,recovery_year,0),MATCH(depr_length,recovery_period,0)),""))</f>
        <v>73248.18141336822</v>
      </c>
      <c r="P80" s="195">
        <f>IF(AND(Main!$B$79="Straight Line",P$72&lt;=depr_length),$B80/depr_length,IF(AND(Main!$B$79="MACRS",P$72&lt;=depr_length+1),$B80*INDEX(MACRS_table,MATCH(P$72,recovery_year,0),MATCH(depr_length,recovery_period,0)),""))</f>
        <v>73231.765415740825</v>
      </c>
      <c r="Q80" s="195">
        <f>IF(AND(Main!$B$79="Straight Line",Q$72&lt;=depr_length),$B80/depr_length,IF(AND(Main!$B$79="MACRS",Q$72&lt;=depr_length+1),$B80*INDEX(MACRS_table,MATCH(Q$72,recovery_year,0),MATCH(depr_length,recovery_period,0)),""))</f>
        <v>73248.18141336822</v>
      </c>
      <c r="R80" s="195">
        <f>IF(AND(Main!$B$79="Straight Line",R$72&lt;=depr_length),$B80/depr_length,IF(AND(Main!$B$79="MACRS",R$72&lt;=depr_length+1),$B80*INDEX(MACRS_table,MATCH(R$72,recovery_year,0),MATCH(depr_length,recovery_period,0)),""))</f>
        <v>73231.765415740825</v>
      </c>
      <c r="S80" s="195">
        <f>IF(AND(Main!$B$79="Straight Line",S$72&lt;=depr_length),$B80/depr_length,IF(AND(Main!$B$79="MACRS",S$72&lt;=depr_length+1),$B80*INDEX(MACRS_table,MATCH(S$72,recovery_year,0),MATCH(depr_length,recovery_period,0)),""))</f>
        <v>73248.18141336822</v>
      </c>
      <c r="T80" s="195">
        <f>IF(AND(Main!$B$79="Straight Line",T$72&lt;=depr_length),$B80/depr_length,IF(AND(Main!$B$79="MACRS",T$72&lt;=depr_length+1),$B80*INDEX(MACRS_table,MATCH(T$72,recovery_year,0),MATCH(depr_length,recovery_period,0)),""))</f>
        <v>73231.765415740825</v>
      </c>
      <c r="U80" s="195">
        <f>IF(AND(Main!$B$79="Straight Line",U$72&lt;=depr_length),$B80/depr_length,IF(AND(Main!$B$79="MACRS",U$72&lt;=depr_length+1),$B80*INDEX(MACRS_table,MATCH(U$72,recovery_year,0),MATCH(depr_length,recovery_period,0)),""))</f>
        <v>73248.18141336822</v>
      </c>
      <c r="V80" s="195">
        <f>IF(AND(Main!$B$79="Straight Line",V$72&lt;=depr_length),$B80/depr_length,IF(AND(Main!$B$79="MACRS",V$72&lt;=depr_length+1),$B80*INDEX(MACRS_table,MATCH(V$72,recovery_year,0),MATCH(depr_length,recovery_period,0)),""))</f>
        <v>73231.765415740825</v>
      </c>
      <c r="W80" s="195">
        <f>IF(AND(Main!$B$79="Straight Line",W$72&lt;=depr_length),$B80/depr_length,IF(AND(Main!$B$79="MACRS",W$72&lt;=depr_length+1),$B80*INDEX(MACRS_table,MATCH(W$72,recovery_year,0),MATCH(depr_length,recovery_period,0)),""))</f>
        <v>36624.09070668411</v>
      </c>
      <c r="X80" s="196" cm="1">
        <f t="array" ref="X80">SUMPRODUCT((ROW($C$73:$W$113)-MIN(ROW(C80:W120))=MIN(COLUMN(C80:W120))-COLUMN($C$73:$W$113))*($C$73:$W$113))</f>
        <v>25070732.373243228</v>
      </c>
    </row>
    <row r="81" spans="1:24" x14ac:dyDescent="0.15">
      <c r="A81" s="115">
        <v>8</v>
      </c>
      <c r="B81" s="194">
        <f t="shared" si="20"/>
        <v>1672790.1582299911</v>
      </c>
      <c r="C81" s="195">
        <f>IF(AND(Main!$B$79="Straight Line",C$72&lt;=depr_length),$B81/depr_length,IF(AND(Main!$B$79="MACRS",C$72&lt;=depr_length+1),$B81*INDEX(MACRS_table,MATCH(C$72,recovery_year,0),MATCH(depr_length,recovery_period,0)),""))</f>
        <v>62729.630933624663</v>
      </c>
      <c r="D81" s="195">
        <f>IF(AND(Main!$B$79="Straight Line",D$72&lt;=depr_length),$B81/depr_length,IF(AND(Main!$B$79="MACRS",D$72&lt;=depr_length+1),$B81*INDEX(MACRS_table,MATCH(D$72,recovery_year,0),MATCH(depr_length,recovery_period,0)),""))</f>
        <v>120758.72152262306</v>
      </c>
      <c r="E81" s="195">
        <f>IF(AND(Main!$B$79="Straight Line",E$72&lt;=depr_length),$B81/depr_length,IF(AND(Main!$B$79="MACRS",E$72&lt;=depr_length+1),$B81*INDEX(MACRS_table,MATCH(E$72,recovery_year,0),MATCH(depr_length,recovery_period,0)),""))</f>
        <v>111692.1988650165</v>
      </c>
      <c r="F81" s="195">
        <f>IF(AND(Main!$B$79="Straight Line",F$72&lt;=depr_length),$B81/depr_length,IF(AND(Main!$B$79="MACRS",F$72&lt;=depr_length+1),$B81*INDEX(MACRS_table,MATCH(F$72,recovery_year,0),MATCH(depr_length,recovery_period,0)),""))</f>
        <v>103328.24807386655</v>
      </c>
      <c r="G81" s="195">
        <f>IF(AND(Main!$B$79="Straight Line",G$72&lt;=depr_length),$B81/depr_length,IF(AND(Main!$B$79="MACRS",G$72&lt;=depr_length+1),$B81*INDEX(MACRS_table,MATCH(G$72,recovery_year,0),MATCH(depr_length,recovery_period,0)),""))</f>
        <v>95566.501739679385</v>
      </c>
      <c r="H81" s="195">
        <f>IF(AND(Main!$B$79="Straight Line",H$72&lt;=depr_length),$B81/depr_length,IF(AND(Main!$B$79="MACRS",H$72&lt;=depr_length+1),$B81*INDEX(MACRS_table,MATCH(H$72,recovery_year,0),MATCH(depr_length,recovery_period,0)),""))</f>
        <v>88406.959862455027</v>
      </c>
      <c r="I81" s="195">
        <f>IF(AND(Main!$B$79="Straight Line",I$72&lt;=depr_length),$B81/depr_length,IF(AND(Main!$B$79="MACRS",I$72&lt;=depr_length+1),$B81*INDEX(MACRS_table,MATCH(I$72,recovery_year,0),MATCH(depr_length,recovery_period,0)),""))</f>
        <v>81765.982934281958</v>
      </c>
      <c r="J81" s="195">
        <f>IF(AND(Main!$B$79="Straight Line",J$72&lt;=depr_length),$B81/depr_length,IF(AND(Main!$B$79="MACRS",J$72&lt;=depr_length+1),$B81*INDEX(MACRS_table,MATCH(J$72,recovery_year,0),MATCH(depr_length,recovery_period,0)),""))</f>
        <v>75643.570955160205</v>
      </c>
      <c r="K81" s="195">
        <f>IF(AND(Main!$B$79="Straight Line",K$72&lt;=depr_length),$B81/depr_length,IF(AND(Main!$B$79="MACRS",K$72&lt;=depr_length+1),$B81*INDEX(MACRS_table,MATCH(K$72,recovery_year,0),MATCH(depr_length,recovery_period,0)),""))</f>
        <v>74639.896860222201</v>
      </c>
      <c r="L81" s="195">
        <f>IF(AND(Main!$B$79="Straight Line",L$72&lt;=depr_length),$B81/depr_length,IF(AND(Main!$B$79="MACRS",L$72&lt;=depr_length+1),$B81*INDEX(MACRS_table,MATCH(L$72,recovery_year,0),MATCH(depr_length,recovery_period,0)),""))</f>
        <v>74623.168958639901</v>
      </c>
      <c r="M81" s="195">
        <f>IF(AND(Main!$B$79="Straight Line",M$72&lt;=depr_length),$B81/depr_length,IF(AND(Main!$B$79="MACRS",M$72&lt;=depr_length+1),$B81*INDEX(MACRS_table,MATCH(M$72,recovery_year,0),MATCH(depr_length,recovery_period,0)),""))</f>
        <v>74639.896860222201</v>
      </c>
      <c r="N81" s="195">
        <f>IF(AND(Main!$B$79="Straight Line",N$72&lt;=depr_length),$B81/depr_length,IF(AND(Main!$B$79="MACRS",N$72&lt;=depr_length+1),$B81*INDEX(MACRS_table,MATCH(N$72,recovery_year,0),MATCH(depr_length,recovery_period,0)),""))</f>
        <v>74623.168958639901</v>
      </c>
      <c r="O81" s="195">
        <f>IF(AND(Main!$B$79="Straight Line",O$72&lt;=depr_length),$B81/depr_length,IF(AND(Main!$B$79="MACRS",O$72&lt;=depr_length+1),$B81*INDEX(MACRS_table,MATCH(O$72,recovery_year,0),MATCH(depr_length,recovery_period,0)),""))</f>
        <v>74639.896860222201</v>
      </c>
      <c r="P81" s="195">
        <f>IF(AND(Main!$B$79="Straight Line",P$72&lt;=depr_length),$B81/depr_length,IF(AND(Main!$B$79="MACRS",P$72&lt;=depr_length+1),$B81*INDEX(MACRS_table,MATCH(P$72,recovery_year,0),MATCH(depr_length,recovery_period,0)),""))</f>
        <v>74623.168958639901</v>
      </c>
      <c r="Q81" s="195">
        <f>IF(AND(Main!$B$79="Straight Line",Q$72&lt;=depr_length),$B81/depr_length,IF(AND(Main!$B$79="MACRS",Q$72&lt;=depr_length+1),$B81*INDEX(MACRS_table,MATCH(Q$72,recovery_year,0),MATCH(depr_length,recovery_period,0)),""))</f>
        <v>74639.896860222201</v>
      </c>
      <c r="R81" s="195">
        <f>IF(AND(Main!$B$79="Straight Line",R$72&lt;=depr_length),$B81/depr_length,IF(AND(Main!$B$79="MACRS",R$72&lt;=depr_length+1),$B81*INDEX(MACRS_table,MATCH(R$72,recovery_year,0),MATCH(depr_length,recovery_period,0)),""))</f>
        <v>74623.168958639901</v>
      </c>
      <c r="S81" s="195">
        <f>IF(AND(Main!$B$79="Straight Line",S$72&lt;=depr_length),$B81/depr_length,IF(AND(Main!$B$79="MACRS",S$72&lt;=depr_length+1),$B81*INDEX(MACRS_table,MATCH(S$72,recovery_year,0),MATCH(depr_length,recovery_period,0)),""))</f>
        <v>74639.896860222201</v>
      </c>
      <c r="T81" s="195">
        <f>IF(AND(Main!$B$79="Straight Line",T$72&lt;=depr_length),$B81/depr_length,IF(AND(Main!$B$79="MACRS",T$72&lt;=depr_length+1),$B81*INDEX(MACRS_table,MATCH(T$72,recovery_year,0),MATCH(depr_length,recovery_period,0)),""))</f>
        <v>74623.168958639901</v>
      </c>
      <c r="U81" s="195">
        <f>IF(AND(Main!$B$79="Straight Line",U$72&lt;=depr_length),$B81/depr_length,IF(AND(Main!$B$79="MACRS",U$72&lt;=depr_length+1),$B81*INDEX(MACRS_table,MATCH(U$72,recovery_year,0),MATCH(depr_length,recovery_period,0)),""))</f>
        <v>74639.896860222201</v>
      </c>
      <c r="V81" s="195">
        <f>IF(AND(Main!$B$79="Straight Line",V$72&lt;=depr_length),$B81/depr_length,IF(AND(Main!$B$79="MACRS",V$72&lt;=depr_length+1),$B81*INDEX(MACRS_table,MATCH(V$72,recovery_year,0),MATCH(depr_length,recovery_period,0)),""))</f>
        <v>74623.168958639901</v>
      </c>
      <c r="W81" s="195">
        <f>IF(AND(Main!$B$79="Straight Line",W$72&lt;=depr_length),$B81/depr_length,IF(AND(Main!$B$79="MACRS",W$72&lt;=depr_length+1),$B81*INDEX(MACRS_table,MATCH(W$72,recovery_year,0),MATCH(depr_length,recovery_period,0)),""))</f>
        <v>37319.948430111101</v>
      </c>
      <c r="X81" s="196" cm="1">
        <f t="array" ref="X81">SUMPRODUCT((ROW($C$73:$W$113)-MIN(ROW(C81:W121))=MIN(COLUMN(C81:W121))-COLUMN($C$73:$W$113))*($C$73:$W$113))</f>
        <v>23316601.340189055</v>
      </c>
    </row>
    <row r="82" spans="1:24" x14ac:dyDescent="0.15">
      <c r="A82" s="115">
        <v>9</v>
      </c>
      <c r="B82" s="194">
        <f t="shared" si="20"/>
        <v>1704573.1712363609</v>
      </c>
      <c r="C82" s="195">
        <f>IF(AND(Main!$B$79="Straight Line",C$72&lt;=depr_length),$B82/depr_length,IF(AND(Main!$B$79="MACRS",C$72&lt;=depr_length+1),$B82*INDEX(MACRS_table,MATCH(C$72,recovery_year,0),MATCH(depr_length,recovery_period,0)),""))</f>
        <v>63921.49392136353</v>
      </c>
      <c r="D82" s="195">
        <f>IF(AND(Main!$B$79="Straight Line",D$72&lt;=depr_length),$B82/depr_length,IF(AND(Main!$B$79="MACRS",D$72&lt;=depr_length+1),$B82*INDEX(MACRS_table,MATCH(D$72,recovery_year,0),MATCH(depr_length,recovery_period,0)),""))</f>
        <v>123053.1372315529</v>
      </c>
      <c r="E82" s="195">
        <f>IF(AND(Main!$B$79="Straight Line",E$72&lt;=depr_length),$B82/depr_length,IF(AND(Main!$B$79="MACRS",E$72&lt;=depr_length+1),$B82*INDEX(MACRS_table,MATCH(E$72,recovery_year,0),MATCH(depr_length,recovery_period,0)),""))</f>
        <v>113814.35064345181</v>
      </c>
      <c r="F82" s="195">
        <f>IF(AND(Main!$B$79="Straight Line",F$72&lt;=depr_length),$B82/depr_length,IF(AND(Main!$B$79="MACRS",F$72&lt;=depr_length+1),$B82*INDEX(MACRS_table,MATCH(F$72,recovery_year,0),MATCH(depr_length,recovery_period,0)),""))</f>
        <v>105291.48478727</v>
      </c>
      <c r="G82" s="195">
        <f>IF(AND(Main!$B$79="Straight Line",G$72&lt;=depr_length),$B82/depr_length,IF(AND(Main!$B$79="MACRS",G$72&lt;=depr_length+1),$B82*INDEX(MACRS_table,MATCH(G$72,recovery_year,0),MATCH(depr_length,recovery_period,0)),""))</f>
        <v>97382.265272733304</v>
      </c>
      <c r="H82" s="195">
        <f>IF(AND(Main!$B$79="Straight Line",H$72&lt;=depr_length),$B82/depr_length,IF(AND(Main!$B$79="MACRS",H$72&lt;=depr_length+1),$B82*INDEX(MACRS_table,MATCH(H$72,recovery_year,0),MATCH(depr_length,recovery_period,0)),""))</f>
        <v>90086.692099841675</v>
      </c>
      <c r="I82" s="195">
        <f>IF(AND(Main!$B$79="Straight Line",I$72&lt;=depr_length),$B82/depr_length,IF(AND(Main!$B$79="MACRS",I$72&lt;=depr_length+1),$B82*INDEX(MACRS_table,MATCH(I$72,recovery_year,0),MATCH(depr_length,recovery_period,0)),""))</f>
        <v>83319.536610033319</v>
      </c>
      <c r="J82" s="195">
        <f>IF(AND(Main!$B$79="Straight Line",J$72&lt;=depr_length),$B82/depr_length,IF(AND(Main!$B$79="MACRS",J$72&lt;=depr_length+1),$B82*INDEX(MACRS_table,MATCH(J$72,recovery_year,0),MATCH(depr_length,recovery_period,0)),""))</f>
        <v>77080.798803308251</v>
      </c>
      <c r="K82" s="195">
        <f>IF(AND(Main!$B$79="Straight Line",K$72&lt;=depr_length),$B82/depr_length,IF(AND(Main!$B$79="MACRS",K$72&lt;=depr_length+1),$B82*INDEX(MACRS_table,MATCH(K$72,recovery_year,0),MATCH(depr_length,recovery_period,0)),""))</f>
        <v>76058.054900566422</v>
      </c>
      <c r="L82" s="195">
        <f>IF(AND(Main!$B$79="Straight Line",L$72&lt;=depr_length),$B82/depr_length,IF(AND(Main!$B$79="MACRS",L$72&lt;=depr_length+1),$B82*INDEX(MACRS_table,MATCH(L$72,recovery_year,0),MATCH(depr_length,recovery_period,0)),""))</f>
        <v>76041.009168854056</v>
      </c>
      <c r="M82" s="195">
        <f>IF(AND(Main!$B$79="Straight Line",M$72&lt;=depr_length),$B82/depr_length,IF(AND(Main!$B$79="MACRS",M$72&lt;=depr_length+1),$B82*INDEX(MACRS_table,MATCH(M$72,recovery_year,0),MATCH(depr_length,recovery_period,0)),""))</f>
        <v>76058.054900566422</v>
      </c>
      <c r="N82" s="195">
        <f>IF(AND(Main!$B$79="Straight Line",N$72&lt;=depr_length),$B82/depr_length,IF(AND(Main!$B$79="MACRS",N$72&lt;=depr_length+1),$B82*INDEX(MACRS_table,MATCH(N$72,recovery_year,0),MATCH(depr_length,recovery_period,0)),""))</f>
        <v>76041.009168854056</v>
      </c>
      <c r="O82" s="195">
        <f>IF(AND(Main!$B$79="Straight Line",O$72&lt;=depr_length),$B82/depr_length,IF(AND(Main!$B$79="MACRS",O$72&lt;=depr_length+1),$B82*INDEX(MACRS_table,MATCH(O$72,recovery_year,0),MATCH(depr_length,recovery_period,0)),""))</f>
        <v>76058.054900566422</v>
      </c>
      <c r="P82" s="195">
        <f>IF(AND(Main!$B$79="Straight Line",P$72&lt;=depr_length),$B82/depr_length,IF(AND(Main!$B$79="MACRS",P$72&lt;=depr_length+1),$B82*INDEX(MACRS_table,MATCH(P$72,recovery_year,0),MATCH(depr_length,recovery_period,0)),""))</f>
        <v>76041.009168854056</v>
      </c>
      <c r="Q82" s="195">
        <f>IF(AND(Main!$B$79="Straight Line",Q$72&lt;=depr_length),$B82/depr_length,IF(AND(Main!$B$79="MACRS",Q$72&lt;=depr_length+1),$B82*INDEX(MACRS_table,MATCH(Q$72,recovery_year,0),MATCH(depr_length,recovery_period,0)),""))</f>
        <v>76058.054900566422</v>
      </c>
      <c r="R82" s="195">
        <f>IF(AND(Main!$B$79="Straight Line",R$72&lt;=depr_length),$B82/depr_length,IF(AND(Main!$B$79="MACRS",R$72&lt;=depr_length+1),$B82*INDEX(MACRS_table,MATCH(R$72,recovery_year,0),MATCH(depr_length,recovery_period,0)),""))</f>
        <v>76041.009168854056</v>
      </c>
      <c r="S82" s="195">
        <f>IF(AND(Main!$B$79="Straight Line",S$72&lt;=depr_length),$B82/depr_length,IF(AND(Main!$B$79="MACRS",S$72&lt;=depr_length+1),$B82*INDEX(MACRS_table,MATCH(S$72,recovery_year,0),MATCH(depr_length,recovery_period,0)),""))</f>
        <v>76058.054900566422</v>
      </c>
      <c r="T82" s="195">
        <f>IF(AND(Main!$B$79="Straight Line",T$72&lt;=depr_length),$B82/depr_length,IF(AND(Main!$B$79="MACRS",T$72&lt;=depr_length+1),$B82*INDEX(MACRS_table,MATCH(T$72,recovery_year,0),MATCH(depr_length,recovery_period,0)),""))</f>
        <v>76041.009168854056</v>
      </c>
      <c r="U82" s="195">
        <f>IF(AND(Main!$B$79="Straight Line",U$72&lt;=depr_length),$B82/depr_length,IF(AND(Main!$B$79="MACRS",U$72&lt;=depr_length+1),$B82*INDEX(MACRS_table,MATCH(U$72,recovery_year,0),MATCH(depr_length,recovery_period,0)),""))</f>
        <v>76058.054900566422</v>
      </c>
      <c r="V82" s="195">
        <f>IF(AND(Main!$B$79="Straight Line",V$72&lt;=depr_length),$B82/depr_length,IF(AND(Main!$B$79="MACRS",V$72&lt;=depr_length+1),$B82*INDEX(MACRS_table,MATCH(V$72,recovery_year,0),MATCH(depr_length,recovery_period,0)),""))</f>
        <v>76041.009168854056</v>
      </c>
      <c r="W82" s="195">
        <f>IF(AND(Main!$B$79="Straight Line",W$72&lt;=depr_length),$B82/depr_length,IF(AND(Main!$B$79="MACRS",W$72&lt;=depr_length+1),$B82*INDEX(MACRS_table,MATCH(W$72,recovery_year,0),MATCH(depr_length,recovery_period,0)),""))</f>
        <v>38029.027450283211</v>
      </c>
      <c r="X82" s="196" cm="1">
        <f t="array" ref="X82">SUMPRODUCT((ROW($C$73:$W$113)-MIN(ROW(C82:W122))=MIN(COLUMN(C82:W122))-COLUMN($C$73:$W$113))*($C$73:$W$113))</f>
        <v>22779729.837733693</v>
      </c>
    </row>
    <row r="83" spans="1:24" x14ac:dyDescent="0.15">
      <c r="A83" s="115">
        <v>10</v>
      </c>
      <c r="B83" s="194">
        <f t="shared" si="20"/>
        <v>1736960.0614898517</v>
      </c>
      <c r="C83" s="195">
        <f>IF(AND(Main!$B$79="Straight Line",C$72&lt;=depr_length),$B83/depr_length,IF(AND(Main!$B$79="MACRS",C$72&lt;=depr_length+1),$B83*INDEX(MACRS_table,MATCH(C$72,recovery_year,0),MATCH(depr_length,recovery_period,0)),""))</f>
        <v>65136.002305869435</v>
      </c>
      <c r="D83" s="195">
        <f>IF(AND(Main!$B$79="Straight Line",D$72&lt;=depr_length),$B83/depr_length,IF(AND(Main!$B$79="MACRS",D$72&lt;=depr_length+1),$B83*INDEX(MACRS_table,MATCH(D$72,recovery_year,0),MATCH(depr_length,recovery_period,0)),""))</f>
        <v>125391.14683895239</v>
      </c>
      <c r="E83" s="195">
        <f>IF(AND(Main!$B$79="Straight Line",E$72&lt;=depr_length),$B83/depr_length,IF(AND(Main!$B$79="MACRS",E$72&lt;=depr_length+1),$B83*INDEX(MACRS_table,MATCH(E$72,recovery_year,0),MATCH(depr_length,recovery_period,0)),""))</f>
        <v>115976.82330567739</v>
      </c>
      <c r="F83" s="195">
        <f>IF(AND(Main!$B$79="Straight Line",F$72&lt;=depr_length),$B83/depr_length,IF(AND(Main!$B$79="MACRS",F$72&lt;=depr_length+1),$B83*INDEX(MACRS_table,MATCH(F$72,recovery_year,0),MATCH(depr_length,recovery_period,0)),""))</f>
        <v>107292.02299822813</v>
      </c>
      <c r="G83" s="195">
        <f>IF(AND(Main!$B$79="Straight Line",G$72&lt;=depr_length),$B83/depr_length,IF(AND(Main!$B$79="MACRS",G$72&lt;=depr_length+1),$B83*INDEX(MACRS_table,MATCH(G$72,recovery_year,0),MATCH(depr_length,recovery_period,0)),""))</f>
        <v>99232.528312915223</v>
      </c>
      <c r="H83" s="195">
        <f>IF(AND(Main!$B$79="Straight Line",H$72&lt;=depr_length),$B83/depr_length,IF(AND(Main!$B$79="MACRS",H$72&lt;=depr_length+1),$B83*INDEX(MACRS_table,MATCH(H$72,recovery_year,0),MATCH(depr_length,recovery_period,0)),""))</f>
        <v>91798.339249738667</v>
      </c>
      <c r="I83" s="195">
        <f>IF(AND(Main!$B$79="Straight Line",I$72&lt;=depr_length),$B83/depr_length,IF(AND(Main!$B$79="MACRS",I$72&lt;=depr_length+1),$B83*INDEX(MACRS_table,MATCH(I$72,recovery_year,0),MATCH(depr_length,recovery_period,0)),""))</f>
        <v>84902.607805623949</v>
      </c>
      <c r="J83" s="195">
        <f>IF(AND(Main!$B$79="Straight Line",J$72&lt;=depr_length),$B83/depr_length,IF(AND(Main!$B$79="MACRS",J$72&lt;=depr_length+1),$B83*INDEX(MACRS_table,MATCH(J$72,recovery_year,0),MATCH(depr_length,recovery_period,0)),""))</f>
        <v>78545.3339805711</v>
      </c>
      <c r="K83" s="195">
        <f>IF(AND(Main!$B$79="Straight Line",K$72&lt;=depr_length),$B83/depr_length,IF(AND(Main!$B$79="MACRS",K$72&lt;=depr_length+1),$B83*INDEX(MACRS_table,MATCH(K$72,recovery_year,0),MATCH(depr_length,recovery_period,0)),""))</f>
        <v>77503.157943677186</v>
      </c>
      <c r="L83" s="195">
        <f>IF(AND(Main!$B$79="Straight Line",L$72&lt;=depr_length),$B83/depr_length,IF(AND(Main!$B$79="MACRS",L$72&lt;=depr_length+1),$B83*INDEX(MACRS_table,MATCH(L$72,recovery_year,0),MATCH(depr_length,recovery_period,0)),""))</f>
        <v>77485.788343062275</v>
      </c>
      <c r="M83" s="195">
        <f>IF(AND(Main!$B$79="Straight Line",M$72&lt;=depr_length),$B83/depr_length,IF(AND(Main!$B$79="MACRS",M$72&lt;=depr_length+1),$B83*INDEX(MACRS_table,MATCH(M$72,recovery_year,0),MATCH(depr_length,recovery_period,0)),""))</f>
        <v>77503.157943677186</v>
      </c>
      <c r="N83" s="195">
        <f>IF(AND(Main!$B$79="Straight Line",N$72&lt;=depr_length),$B83/depr_length,IF(AND(Main!$B$79="MACRS",N$72&lt;=depr_length+1),$B83*INDEX(MACRS_table,MATCH(N$72,recovery_year,0),MATCH(depr_length,recovery_period,0)),""))</f>
        <v>77485.788343062275</v>
      </c>
      <c r="O83" s="195">
        <f>IF(AND(Main!$B$79="Straight Line",O$72&lt;=depr_length),$B83/depr_length,IF(AND(Main!$B$79="MACRS",O$72&lt;=depr_length+1),$B83*INDEX(MACRS_table,MATCH(O$72,recovery_year,0),MATCH(depr_length,recovery_period,0)),""))</f>
        <v>77503.157943677186</v>
      </c>
      <c r="P83" s="195">
        <f>IF(AND(Main!$B$79="Straight Line",P$72&lt;=depr_length),$B83/depr_length,IF(AND(Main!$B$79="MACRS",P$72&lt;=depr_length+1),$B83*INDEX(MACRS_table,MATCH(P$72,recovery_year,0),MATCH(depr_length,recovery_period,0)),""))</f>
        <v>77485.788343062275</v>
      </c>
      <c r="Q83" s="195">
        <f>IF(AND(Main!$B$79="Straight Line",Q$72&lt;=depr_length),$B83/depr_length,IF(AND(Main!$B$79="MACRS",Q$72&lt;=depr_length+1),$B83*INDEX(MACRS_table,MATCH(Q$72,recovery_year,0),MATCH(depr_length,recovery_period,0)),""))</f>
        <v>77503.157943677186</v>
      </c>
      <c r="R83" s="195">
        <f>IF(AND(Main!$B$79="Straight Line",R$72&lt;=depr_length),$B83/depr_length,IF(AND(Main!$B$79="MACRS",R$72&lt;=depr_length+1),$B83*INDEX(MACRS_table,MATCH(R$72,recovery_year,0),MATCH(depr_length,recovery_period,0)),""))</f>
        <v>77485.788343062275</v>
      </c>
      <c r="S83" s="195">
        <f>IF(AND(Main!$B$79="Straight Line",S$72&lt;=depr_length),$B83/depr_length,IF(AND(Main!$B$79="MACRS",S$72&lt;=depr_length+1),$B83*INDEX(MACRS_table,MATCH(S$72,recovery_year,0),MATCH(depr_length,recovery_period,0)),""))</f>
        <v>77503.157943677186</v>
      </c>
      <c r="T83" s="195">
        <f>IF(AND(Main!$B$79="Straight Line",T$72&lt;=depr_length),$B83/depr_length,IF(AND(Main!$B$79="MACRS",T$72&lt;=depr_length+1),$B83*INDEX(MACRS_table,MATCH(T$72,recovery_year,0),MATCH(depr_length,recovery_period,0)),""))</f>
        <v>77485.788343062275</v>
      </c>
      <c r="U83" s="195">
        <f>IF(AND(Main!$B$79="Straight Line",U$72&lt;=depr_length),$B83/depr_length,IF(AND(Main!$B$79="MACRS",U$72&lt;=depr_length+1),$B83*INDEX(MACRS_table,MATCH(U$72,recovery_year,0),MATCH(depr_length,recovery_period,0)),""))</f>
        <v>77503.157943677186</v>
      </c>
      <c r="V83" s="195">
        <f>IF(AND(Main!$B$79="Straight Line",V$72&lt;=depr_length),$B83/depr_length,IF(AND(Main!$B$79="MACRS",V$72&lt;=depr_length+1),$B83*INDEX(MACRS_table,MATCH(V$72,recovery_year,0),MATCH(depr_length,recovery_period,0)),""))</f>
        <v>77485.788343062275</v>
      </c>
      <c r="W83" s="195">
        <f>IF(AND(Main!$B$79="Straight Line",W$72&lt;=depr_length),$B83/depr_length,IF(AND(Main!$B$79="MACRS",W$72&lt;=depr_length+1),$B83*INDEX(MACRS_table,MATCH(W$72,recovery_year,0),MATCH(depr_length,recovery_period,0)),""))</f>
        <v>38751.578971838593</v>
      </c>
      <c r="X83" s="196" cm="1">
        <f t="array" ref="X83">SUMPRODUCT((ROW($C$73:$W$113)-MIN(ROW(C83:W123))=MIN(COLUMN(C83:W123))-COLUMN($C$73:$W$113))*($C$73:$W$113))</f>
        <v>22500308.808677707</v>
      </c>
    </row>
    <row r="84" spans="1:24" x14ac:dyDescent="0.15">
      <c r="A84" s="115">
        <v>11</v>
      </c>
      <c r="B84" s="194">
        <f t="shared" si="20"/>
        <v>242003311.04323351</v>
      </c>
      <c r="C84" s="195">
        <f>IF(AND(Main!$B$79="Straight Line",C$72&lt;=depr_length),$B84/depr_length,IF(AND(Main!$B$79="MACRS",C$72&lt;=depr_length+1),$B84*INDEX(MACRS_table,MATCH(C$72,recovery_year,0),MATCH(depr_length,recovery_period,0)),""))</f>
        <v>9075124.1641212571</v>
      </c>
      <c r="D84" s="195">
        <f>IF(AND(Main!$B$79="Straight Line",D$72&lt;=depr_length),$B84/depr_length,IF(AND(Main!$B$79="MACRS",D$72&lt;=depr_length+1),$B84*INDEX(MACRS_table,MATCH(D$72,recovery_year,0),MATCH(depr_length,recovery_period,0)),""))</f>
        <v>17470219.024211027</v>
      </c>
      <c r="E84" s="195">
        <f>IF(AND(Main!$B$79="Straight Line",E$72&lt;=depr_length),$B84/depr_length,IF(AND(Main!$B$79="MACRS",E$72&lt;=depr_length+1),$B84*INDEX(MACRS_table,MATCH(E$72,recovery_year,0),MATCH(depr_length,recovery_period,0)),""))</f>
        <v>16158561.0783567</v>
      </c>
      <c r="F84" s="195">
        <f>IF(AND(Main!$B$79="Straight Line",F$72&lt;=depr_length),$B84/depr_length,IF(AND(Main!$B$79="MACRS",F$72&lt;=depr_length+1),$B84*INDEX(MACRS_table,MATCH(F$72,recovery_year,0),MATCH(depr_length,recovery_period,0)),""))</f>
        <v>14948544.523140533</v>
      </c>
      <c r="G84" s="195">
        <f>IF(AND(Main!$B$79="Straight Line",G$72&lt;=depr_length),$B84/depr_length,IF(AND(Main!$B$79="MACRS",G$72&lt;=depr_length+1),$B84*INDEX(MACRS_table,MATCH(G$72,recovery_year,0),MATCH(depr_length,recovery_period,0)),""))</f>
        <v>13825649.159899931</v>
      </c>
      <c r="H84" s="195">
        <f>IF(AND(Main!$B$79="Straight Line",H$72&lt;=depr_length),$B84/depr_length,IF(AND(Main!$B$79="MACRS",H$72&lt;=depr_length+1),$B84*INDEX(MACRS_table,MATCH(H$72,recovery_year,0),MATCH(depr_length,recovery_period,0)),""))</f>
        <v>12789874.988634892</v>
      </c>
      <c r="I84" s="195">
        <f>IF(AND(Main!$B$79="Straight Line",I$72&lt;=depr_length),$B84/depr_length,IF(AND(Main!$B$79="MACRS",I$72&lt;=depr_length+1),$B84*INDEX(MACRS_table,MATCH(I$72,recovery_year,0),MATCH(depr_length,recovery_period,0)),""))</f>
        <v>11829121.843793254</v>
      </c>
      <c r="J84" s="195">
        <f>IF(AND(Main!$B$79="Straight Line",J$72&lt;=depr_length),$B84/depr_length,IF(AND(Main!$B$79="MACRS",J$72&lt;=depr_length+1),$B84*INDEX(MACRS_table,MATCH(J$72,recovery_year,0),MATCH(depr_length,recovery_period,0)),""))</f>
        <v>10943389.725375021</v>
      </c>
      <c r="K84" s="195">
        <f>IF(AND(Main!$B$79="Straight Line",K$72&lt;=depr_length),$B84/depr_length,IF(AND(Main!$B$79="MACRS",K$72&lt;=depr_length+1),$B84*INDEX(MACRS_table,MATCH(K$72,recovery_year,0),MATCH(depr_length,recovery_period,0)),""))</f>
        <v>10798187.738749079</v>
      </c>
      <c r="L84" s="195">
        <f>IF(AND(Main!$B$79="Straight Line",L$72&lt;=depr_length),$B84/depr_length,IF(AND(Main!$B$79="MACRS",L$72&lt;=depr_length+1),$B84*INDEX(MACRS_table,MATCH(L$72,recovery_year,0),MATCH(depr_length,recovery_period,0)),""))</f>
        <v>10795767.705638647</v>
      </c>
      <c r="M84" s="195">
        <f>IF(AND(Main!$B$79="Straight Line",M$72&lt;=depr_length),$B84/depr_length,IF(AND(Main!$B$79="MACRS",M$72&lt;=depr_length+1),$B84*INDEX(MACRS_table,MATCH(M$72,recovery_year,0),MATCH(depr_length,recovery_period,0)),""))</f>
        <v>10798187.738749079</v>
      </c>
      <c r="N84" s="195">
        <f>IF(AND(Main!$B$79="Straight Line",N$72&lt;=depr_length),$B84/depr_length,IF(AND(Main!$B$79="MACRS",N$72&lt;=depr_length+1),$B84*INDEX(MACRS_table,MATCH(N$72,recovery_year,0),MATCH(depr_length,recovery_period,0)),""))</f>
        <v>10795767.705638647</v>
      </c>
      <c r="O84" s="195">
        <f>IF(AND(Main!$B$79="Straight Line",O$72&lt;=depr_length),$B84/depr_length,IF(AND(Main!$B$79="MACRS",O$72&lt;=depr_length+1),$B84*INDEX(MACRS_table,MATCH(O$72,recovery_year,0),MATCH(depr_length,recovery_period,0)),""))</f>
        <v>10798187.738749079</v>
      </c>
      <c r="P84" s="195">
        <f>IF(AND(Main!$B$79="Straight Line",P$72&lt;=depr_length),$B84/depr_length,IF(AND(Main!$B$79="MACRS",P$72&lt;=depr_length+1),$B84*INDEX(MACRS_table,MATCH(P$72,recovery_year,0),MATCH(depr_length,recovery_period,0)),""))</f>
        <v>10795767.705638647</v>
      </c>
      <c r="Q84" s="195">
        <f>IF(AND(Main!$B$79="Straight Line",Q$72&lt;=depr_length),$B84/depr_length,IF(AND(Main!$B$79="MACRS",Q$72&lt;=depr_length+1),$B84*INDEX(MACRS_table,MATCH(Q$72,recovery_year,0),MATCH(depr_length,recovery_period,0)),""))</f>
        <v>10798187.738749079</v>
      </c>
      <c r="R84" s="195">
        <f>IF(AND(Main!$B$79="Straight Line",R$72&lt;=depr_length),$B84/depr_length,IF(AND(Main!$B$79="MACRS",R$72&lt;=depr_length+1),$B84*INDEX(MACRS_table,MATCH(R$72,recovery_year,0),MATCH(depr_length,recovery_period,0)),""))</f>
        <v>10795767.705638647</v>
      </c>
      <c r="S84" s="195">
        <f>IF(AND(Main!$B$79="Straight Line",S$72&lt;=depr_length),$B84/depr_length,IF(AND(Main!$B$79="MACRS",S$72&lt;=depr_length+1),$B84*INDEX(MACRS_table,MATCH(S$72,recovery_year,0),MATCH(depr_length,recovery_period,0)),""))</f>
        <v>10798187.738749079</v>
      </c>
      <c r="T84" s="195">
        <f>IF(AND(Main!$B$79="Straight Line",T$72&lt;=depr_length),$B84/depr_length,IF(AND(Main!$B$79="MACRS",T$72&lt;=depr_length+1),$B84*INDEX(MACRS_table,MATCH(T$72,recovery_year,0),MATCH(depr_length,recovery_period,0)),""))</f>
        <v>10795767.705638647</v>
      </c>
      <c r="U84" s="195">
        <f>IF(AND(Main!$B$79="Straight Line",U$72&lt;=depr_length),$B84/depr_length,IF(AND(Main!$B$79="MACRS",U$72&lt;=depr_length+1),$B84*INDEX(MACRS_table,MATCH(U$72,recovery_year,0),MATCH(depr_length,recovery_period,0)),""))</f>
        <v>10798187.738749079</v>
      </c>
      <c r="V84" s="195">
        <f>IF(AND(Main!$B$79="Straight Line",V$72&lt;=depr_length),$B84/depr_length,IF(AND(Main!$B$79="MACRS",V$72&lt;=depr_length+1),$B84*INDEX(MACRS_table,MATCH(V$72,recovery_year,0),MATCH(depr_length,recovery_period,0)),""))</f>
        <v>10795767.705638647</v>
      </c>
      <c r="W84" s="195">
        <f>IF(AND(Main!$B$79="Straight Line",W$72&lt;=depr_length),$B84/depr_length,IF(AND(Main!$B$79="MACRS",W$72&lt;=depr_length+1),$B84*INDEX(MACRS_table,MATCH(W$72,recovery_year,0),MATCH(depr_length,recovery_period,0)),""))</f>
        <v>5399093.8693745397</v>
      </c>
      <c r="X84" s="196" cm="1">
        <f t="array" ref="X84">SUMPRODUCT((ROW($C$73:$W$113)-MIN(ROW(C84:W124))=MIN(COLUMN(C84:W124))-COLUMN($C$73:$W$113))*($C$73:$W$113))</f>
        <v>31266510.896908469</v>
      </c>
    </row>
    <row r="85" spans="1:24" x14ac:dyDescent="0.15">
      <c r="A85" s="115">
        <v>12</v>
      </c>
      <c r="B85" s="194">
        <f t="shared" si="20"/>
        <v>1803591.5864086638</v>
      </c>
      <c r="C85" s="195">
        <f>IF(AND(Main!$B$79="Straight Line",C$72&lt;=depr_length),$B85/depr_length,IF(AND(Main!$B$79="MACRS",C$72&lt;=depr_length+1),$B85*INDEX(MACRS_table,MATCH(C$72,recovery_year,0),MATCH(depr_length,recovery_period,0)),""))</f>
        <v>67634.684490324886</v>
      </c>
      <c r="D85" s="195">
        <f>IF(AND(Main!$B$79="Straight Line",D$72&lt;=depr_length),$B85/depr_length,IF(AND(Main!$B$79="MACRS",D$72&lt;=depr_length+1),$B85*INDEX(MACRS_table,MATCH(D$72,recovery_year,0),MATCH(depr_length,recovery_period,0)),""))</f>
        <v>130201.27662284144</v>
      </c>
      <c r="E85" s="195">
        <f>IF(AND(Main!$B$79="Straight Line",E$72&lt;=depr_length),$B85/depr_length,IF(AND(Main!$B$79="MACRS",E$72&lt;=depr_length+1),$B85*INDEX(MACRS_table,MATCH(E$72,recovery_year,0),MATCH(depr_length,recovery_period,0)),""))</f>
        <v>120425.81022450648</v>
      </c>
      <c r="F85" s="195">
        <f>IF(AND(Main!$B$79="Straight Line",F$72&lt;=depr_length),$B85/depr_length,IF(AND(Main!$B$79="MACRS",F$72&lt;=depr_length+1),$B85*INDEX(MACRS_table,MATCH(F$72,recovery_year,0),MATCH(depr_length,recovery_period,0)),""))</f>
        <v>111407.85229246315</v>
      </c>
      <c r="G85" s="195">
        <f>IF(AND(Main!$B$79="Straight Line",G$72&lt;=depr_length),$B85/depr_length,IF(AND(Main!$B$79="MACRS",G$72&lt;=depr_length+1),$B85*INDEX(MACRS_table,MATCH(G$72,recovery_year,0),MATCH(depr_length,recovery_period,0)),""))</f>
        <v>103039.18733152696</v>
      </c>
      <c r="H85" s="195">
        <f>IF(AND(Main!$B$79="Straight Line",H$72&lt;=depr_length),$B85/depr_length,IF(AND(Main!$B$79="MACRS",H$72&lt;=depr_length+1),$B85*INDEX(MACRS_table,MATCH(H$72,recovery_year,0),MATCH(depr_length,recovery_period,0)),""))</f>
        <v>95319.815341697889</v>
      </c>
      <c r="I85" s="195">
        <f>IF(AND(Main!$B$79="Straight Line",I$72&lt;=depr_length),$B85/depr_length,IF(AND(Main!$B$79="MACRS",I$72&lt;=depr_length+1),$B85*INDEX(MACRS_table,MATCH(I$72,recovery_year,0),MATCH(depr_length,recovery_period,0)),""))</f>
        <v>88159.556743655485</v>
      </c>
      <c r="J85" s="195">
        <f>IF(AND(Main!$B$79="Straight Line",J$72&lt;=depr_length),$B85/depr_length,IF(AND(Main!$B$79="MACRS",J$72&lt;=depr_length+1),$B85*INDEX(MACRS_table,MATCH(J$72,recovery_year,0),MATCH(depr_length,recovery_period,0)),""))</f>
        <v>81558.411537399777</v>
      </c>
      <c r="K85" s="195">
        <f>IF(AND(Main!$B$79="Straight Line",K$72&lt;=depr_length),$B85/depr_length,IF(AND(Main!$B$79="MACRS",K$72&lt;=depr_length+1),$B85*INDEX(MACRS_table,MATCH(K$72,recovery_year,0),MATCH(depr_length,recovery_period,0)),""))</f>
        <v>80476.256585554584</v>
      </c>
      <c r="L85" s="195">
        <f>IF(AND(Main!$B$79="Straight Line",L$72&lt;=depr_length),$B85/depr_length,IF(AND(Main!$B$79="MACRS",L$72&lt;=depr_length+1),$B85*INDEX(MACRS_table,MATCH(L$72,recovery_year,0),MATCH(depr_length,recovery_period,0)),""))</f>
        <v>80458.22066969049</v>
      </c>
      <c r="M85" s="195">
        <f>IF(AND(Main!$B$79="Straight Line",M$72&lt;=depr_length),$B85/depr_length,IF(AND(Main!$B$79="MACRS",M$72&lt;=depr_length+1),$B85*INDEX(MACRS_table,MATCH(M$72,recovery_year,0),MATCH(depr_length,recovery_period,0)),""))</f>
        <v>80476.256585554584</v>
      </c>
      <c r="N85" s="195">
        <f>IF(AND(Main!$B$79="Straight Line",N$72&lt;=depr_length),$B85/depr_length,IF(AND(Main!$B$79="MACRS",N$72&lt;=depr_length+1),$B85*INDEX(MACRS_table,MATCH(N$72,recovery_year,0),MATCH(depr_length,recovery_period,0)),""))</f>
        <v>80458.22066969049</v>
      </c>
      <c r="O85" s="195">
        <f>IF(AND(Main!$B$79="Straight Line",O$72&lt;=depr_length),$B85/depr_length,IF(AND(Main!$B$79="MACRS",O$72&lt;=depr_length+1),$B85*INDEX(MACRS_table,MATCH(O$72,recovery_year,0),MATCH(depr_length,recovery_period,0)),""))</f>
        <v>80476.256585554584</v>
      </c>
      <c r="P85" s="195">
        <f>IF(AND(Main!$B$79="Straight Line",P$72&lt;=depr_length),$B85/depr_length,IF(AND(Main!$B$79="MACRS",P$72&lt;=depr_length+1),$B85*INDEX(MACRS_table,MATCH(P$72,recovery_year,0),MATCH(depr_length,recovery_period,0)),""))</f>
        <v>80458.22066969049</v>
      </c>
      <c r="Q85" s="195">
        <f>IF(AND(Main!$B$79="Straight Line",Q$72&lt;=depr_length),$B85/depr_length,IF(AND(Main!$B$79="MACRS",Q$72&lt;=depr_length+1),$B85*INDEX(MACRS_table,MATCH(Q$72,recovery_year,0),MATCH(depr_length,recovery_period,0)),""))</f>
        <v>80476.256585554584</v>
      </c>
      <c r="R85" s="195">
        <f>IF(AND(Main!$B$79="Straight Line",R$72&lt;=depr_length),$B85/depr_length,IF(AND(Main!$B$79="MACRS",R$72&lt;=depr_length+1),$B85*INDEX(MACRS_table,MATCH(R$72,recovery_year,0),MATCH(depr_length,recovery_period,0)),""))</f>
        <v>80458.22066969049</v>
      </c>
      <c r="S85" s="195">
        <f>IF(AND(Main!$B$79="Straight Line",S$72&lt;=depr_length),$B85/depr_length,IF(AND(Main!$B$79="MACRS",S$72&lt;=depr_length+1),$B85*INDEX(MACRS_table,MATCH(S$72,recovery_year,0),MATCH(depr_length,recovery_period,0)),""))</f>
        <v>80476.256585554584</v>
      </c>
      <c r="T85" s="195">
        <f>IF(AND(Main!$B$79="Straight Line",T$72&lt;=depr_length),$B85/depr_length,IF(AND(Main!$B$79="MACRS",T$72&lt;=depr_length+1),$B85*INDEX(MACRS_table,MATCH(T$72,recovery_year,0),MATCH(depr_length,recovery_period,0)),""))</f>
        <v>80458.22066969049</v>
      </c>
      <c r="U85" s="195">
        <f>IF(AND(Main!$B$79="Straight Line",U$72&lt;=depr_length),$B85/depr_length,IF(AND(Main!$B$79="MACRS",U$72&lt;=depr_length+1),$B85*INDEX(MACRS_table,MATCH(U$72,recovery_year,0),MATCH(depr_length,recovery_period,0)),""))</f>
        <v>80476.256585554584</v>
      </c>
      <c r="V85" s="195">
        <f>IF(AND(Main!$B$79="Straight Line",V$72&lt;=depr_length),$B85/depr_length,IF(AND(Main!$B$79="MACRS",V$72&lt;=depr_length+1),$B85*INDEX(MACRS_table,MATCH(V$72,recovery_year,0),MATCH(depr_length,recovery_period,0)),""))</f>
        <v>80458.22066969049</v>
      </c>
      <c r="W85" s="195">
        <f>IF(AND(Main!$B$79="Straight Line",W$72&lt;=depr_length),$B85/depr_length,IF(AND(Main!$B$79="MACRS",W$72&lt;=depr_length+1),$B85*INDEX(MACRS_table,MATCH(W$72,recovery_year,0),MATCH(depr_length,recovery_period,0)),""))</f>
        <v>40238.128292777292</v>
      </c>
      <c r="X85" s="196" cm="1">
        <f t="array" ref="X85">SUMPRODUCT((ROW($C$73:$W$113)-MIN(ROW(C85:W125))=MIN(COLUMN(C85:W125))-COLUMN($C$73:$W$113))*($C$73:$W$113))</f>
        <v>39375213.972236492</v>
      </c>
    </row>
    <row r="86" spans="1:24" x14ac:dyDescent="0.15">
      <c r="A86" s="115">
        <v>13</v>
      </c>
      <c r="B86" s="194">
        <f t="shared" si="20"/>
        <v>1837859.8265504281</v>
      </c>
      <c r="C86" s="195">
        <f>IF(AND(Main!$B$79="Straight Line",C$72&lt;=depr_length),$B86/depr_length,IF(AND(Main!$B$79="MACRS",C$72&lt;=depr_length+1),$B86*INDEX(MACRS_table,MATCH(C$72,recovery_year,0),MATCH(depr_length,recovery_period,0)),""))</f>
        <v>68919.743495641043</v>
      </c>
      <c r="D86" s="195">
        <f>IF(AND(Main!$B$79="Straight Line",D$72&lt;=depr_length),$B86/depr_length,IF(AND(Main!$B$79="MACRS",D$72&lt;=depr_length+1),$B86*INDEX(MACRS_table,MATCH(D$72,recovery_year,0),MATCH(depr_length,recovery_period,0)),""))</f>
        <v>132675.10087867541</v>
      </c>
      <c r="E86" s="195">
        <f>IF(AND(Main!$B$79="Straight Line",E$72&lt;=depr_length),$B86/depr_length,IF(AND(Main!$B$79="MACRS",E$72&lt;=depr_length+1),$B86*INDEX(MACRS_table,MATCH(E$72,recovery_year,0),MATCH(depr_length,recovery_period,0)),""))</f>
        <v>122713.90061877208</v>
      </c>
      <c r="F86" s="195">
        <f>IF(AND(Main!$B$79="Straight Line",F$72&lt;=depr_length),$B86/depr_length,IF(AND(Main!$B$79="MACRS",F$72&lt;=depr_length+1),$B86*INDEX(MACRS_table,MATCH(F$72,recovery_year,0),MATCH(depr_length,recovery_period,0)),""))</f>
        <v>113524.60148601994</v>
      </c>
      <c r="G86" s="195">
        <f>IF(AND(Main!$B$79="Straight Line",G$72&lt;=depr_length),$B86/depr_length,IF(AND(Main!$B$79="MACRS",G$72&lt;=depr_length+1),$B86*INDEX(MACRS_table,MATCH(G$72,recovery_year,0),MATCH(depr_length,recovery_period,0)),""))</f>
        <v>104996.93189082596</v>
      </c>
      <c r="H86" s="195">
        <f>IF(AND(Main!$B$79="Straight Line",H$72&lt;=depr_length),$B86/depr_length,IF(AND(Main!$B$79="MACRS",H$72&lt;=depr_length+1),$B86*INDEX(MACRS_table,MATCH(H$72,recovery_year,0),MATCH(depr_length,recovery_period,0)),""))</f>
        <v>97130.891833190122</v>
      </c>
      <c r="I86" s="195">
        <f>IF(AND(Main!$B$79="Straight Line",I$72&lt;=depr_length),$B86/depr_length,IF(AND(Main!$B$79="MACRS",I$72&lt;=depr_length+1),$B86*INDEX(MACRS_table,MATCH(I$72,recovery_year,0),MATCH(depr_length,recovery_period,0)),""))</f>
        <v>89834.588321784919</v>
      </c>
      <c r="J86" s="195">
        <f>IF(AND(Main!$B$79="Straight Line",J$72&lt;=depr_length),$B86/depr_length,IF(AND(Main!$B$79="MACRS",J$72&lt;=depr_length+1),$B86*INDEX(MACRS_table,MATCH(J$72,recovery_year,0),MATCH(depr_length,recovery_period,0)),""))</f>
        <v>83108.021356610363</v>
      </c>
      <c r="K86" s="195">
        <f>IF(AND(Main!$B$79="Straight Line",K$72&lt;=depr_length),$B86/depr_length,IF(AND(Main!$B$79="MACRS",K$72&lt;=depr_length+1),$B86*INDEX(MACRS_table,MATCH(K$72,recovery_year,0),MATCH(depr_length,recovery_period,0)),""))</f>
        <v>82005.305460680102</v>
      </c>
      <c r="L86" s="195">
        <f>IF(AND(Main!$B$79="Straight Line",L$72&lt;=depr_length),$B86/depr_length,IF(AND(Main!$B$79="MACRS",L$72&lt;=depr_length+1),$B86*INDEX(MACRS_table,MATCH(L$72,recovery_year,0),MATCH(depr_length,recovery_period,0)),""))</f>
        <v>81986.926862414592</v>
      </c>
      <c r="M86" s="195">
        <f>IF(AND(Main!$B$79="Straight Line",M$72&lt;=depr_length),$B86/depr_length,IF(AND(Main!$B$79="MACRS",M$72&lt;=depr_length+1),$B86*INDEX(MACRS_table,MATCH(M$72,recovery_year,0),MATCH(depr_length,recovery_period,0)),""))</f>
        <v>82005.305460680102</v>
      </c>
      <c r="N86" s="195">
        <f>IF(AND(Main!$B$79="Straight Line",N$72&lt;=depr_length),$B86/depr_length,IF(AND(Main!$B$79="MACRS",N$72&lt;=depr_length+1),$B86*INDEX(MACRS_table,MATCH(N$72,recovery_year,0),MATCH(depr_length,recovery_period,0)),""))</f>
        <v>81986.926862414592</v>
      </c>
      <c r="O86" s="195">
        <f>IF(AND(Main!$B$79="Straight Line",O$72&lt;=depr_length),$B86/depr_length,IF(AND(Main!$B$79="MACRS",O$72&lt;=depr_length+1),$B86*INDEX(MACRS_table,MATCH(O$72,recovery_year,0),MATCH(depr_length,recovery_period,0)),""))</f>
        <v>82005.305460680102</v>
      </c>
      <c r="P86" s="195">
        <f>IF(AND(Main!$B$79="Straight Line",P$72&lt;=depr_length),$B86/depr_length,IF(AND(Main!$B$79="MACRS",P$72&lt;=depr_length+1),$B86*INDEX(MACRS_table,MATCH(P$72,recovery_year,0),MATCH(depr_length,recovery_period,0)),""))</f>
        <v>81986.926862414592</v>
      </c>
      <c r="Q86" s="195">
        <f>IF(AND(Main!$B$79="Straight Line",Q$72&lt;=depr_length),$B86/depr_length,IF(AND(Main!$B$79="MACRS",Q$72&lt;=depr_length+1),$B86*INDEX(MACRS_table,MATCH(Q$72,recovery_year,0),MATCH(depr_length,recovery_period,0)),""))</f>
        <v>82005.305460680102</v>
      </c>
      <c r="R86" s="195">
        <f>IF(AND(Main!$B$79="Straight Line",R$72&lt;=depr_length),$B86/depr_length,IF(AND(Main!$B$79="MACRS",R$72&lt;=depr_length+1),$B86*INDEX(MACRS_table,MATCH(R$72,recovery_year,0),MATCH(depr_length,recovery_period,0)),""))</f>
        <v>81986.926862414592</v>
      </c>
      <c r="S86" s="195">
        <f>IF(AND(Main!$B$79="Straight Line",S$72&lt;=depr_length),$B86/depr_length,IF(AND(Main!$B$79="MACRS",S$72&lt;=depr_length+1),$B86*INDEX(MACRS_table,MATCH(S$72,recovery_year,0),MATCH(depr_length,recovery_period,0)),""))</f>
        <v>82005.305460680102</v>
      </c>
      <c r="T86" s="195">
        <f>IF(AND(Main!$B$79="Straight Line",T$72&lt;=depr_length),$B86/depr_length,IF(AND(Main!$B$79="MACRS",T$72&lt;=depr_length+1),$B86*INDEX(MACRS_table,MATCH(T$72,recovery_year,0),MATCH(depr_length,recovery_period,0)),""))</f>
        <v>81986.926862414592</v>
      </c>
      <c r="U86" s="195">
        <f>IF(AND(Main!$B$79="Straight Line",U$72&lt;=depr_length),$B86/depr_length,IF(AND(Main!$B$79="MACRS",U$72&lt;=depr_length+1),$B86*INDEX(MACRS_table,MATCH(U$72,recovery_year,0),MATCH(depr_length,recovery_period,0)),""))</f>
        <v>82005.305460680102</v>
      </c>
      <c r="V86" s="195">
        <f>IF(AND(Main!$B$79="Straight Line",V$72&lt;=depr_length),$B86/depr_length,IF(AND(Main!$B$79="MACRS",V$72&lt;=depr_length+1),$B86*INDEX(MACRS_table,MATCH(V$72,recovery_year,0),MATCH(depr_length,recovery_period,0)),""))</f>
        <v>81986.926862414592</v>
      </c>
      <c r="W86" s="195">
        <f>IF(AND(Main!$B$79="Straight Line",W$72&lt;=depr_length),$B86/depr_length,IF(AND(Main!$B$79="MACRS",W$72&lt;=depr_length+1),$B86*INDEX(MACRS_table,MATCH(W$72,recovery_year,0),MATCH(depr_length,recovery_period,0)),""))</f>
        <v>41002.652730340051</v>
      </c>
      <c r="X86" s="196" cm="1">
        <f t="array" ref="X86">SUMPRODUCT((ROW($C$73:$W$113)-MIN(ROW(C86:W126))=MIN(COLUMN(C86:W126))-COLUMN($C$73:$W$113))*($C$73:$W$113))</f>
        <v>37881255.831574924</v>
      </c>
    </row>
    <row r="87" spans="1:24" x14ac:dyDescent="0.15">
      <c r="A87" s="115">
        <v>14</v>
      </c>
      <c r="B87" s="194">
        <f t="shared" si="20"/>
        <v>1872779.1632548859</v>
      </c>
      <c r="C87" s="195">
        <f>IF(AND(Main!$B$79="Straight Line",C$72&lt;=depr_length),$B87/depr_length,IF(AND(Main!$B$79="MACRS",C$72&lt;=depr_length+1),$B87*INDEX(MACRS_table,MATCH(C$72,recovery_year,0),MATCH(depr_length,recovery_period,0)),""))</f>
        <v>70229.218622058223</v>
      </c>
      <c r="D87" s="195">
        <f>IF(AND(Main!$B$79="Straight Line",D$72&lt;=depr_length),$B87/depr_length,IF(AND(Main!$B$79="MACRS",D$72&lt;=depr_length+1),$B87*INDEX(MACRS_table,MATCH(D$72,recovery_year,0),MATCH(depr_length,recovery_period,0)),""))</f>
        <v>135195.92779537023</v>
      </c>
      <c r="E87" s="195">
        <f>IF(AND(Main!$B$79="Straight Line",E$72&lt;=depr_length),$B87/depr_length,IF(AND(Main!$B$79="MACRS",E$72&lt;=depr_length+1),$B87*INDEX(MACRS_table,MATCH(E$72,recovery_year,0),MATCH(depr_length,recovery_period,0)),""))</f>
        <v>125045.46473052872</v>
      </c>
      <c r="F87" s="195">
        <f>IF(AND(Main!$B$79="Straight Line",F$72&lt;=depr_length),$B87/depr_length,IF(AND(Main!$B$79="MACRS",F$72&lt;=depr_length+1),$B87*INDEX(MACRS_table,MATCH(F$72,recovery_year,0),MATCH(depr_length,recovery_period,0)),""))</f>
        <v>115681.5689142543</v>
      </c>
      <c r="G87" s="195">
        <f>IF(AND(Main!$B$79="Straight Line",G$72&lt;=depr_length),$B87/depr_length,IF(AND(Main!$B$79="MACRS",G$72&lt;=depr_length+1),$B87*INDEX(MACRS_table,MATCH(G$72,recovery_year,0),MATCH(depr_length,recovery_period,0)),""))</f>
        <v>106991.87359675164</v>
      </c>
      <c r="H87" s="195">
        <f>IF(AND(Main!$B$79="Straight Line",H$72&lt;=depr_length),$B87/depr_length,IF(AND(Main!$B$79="MACRS",H$72&lt;=depr_length+1),$B87*INDEX(MACRS_table,MATCH(H$72,recovery_year,0),MATCH(depr_length,recovery_period,0)),""))</f>
        <v>98976.37877802072</v>
      </c>
      <c r="I87" s="195">
        <f>IF(AND(Main!$B$79="Straight Line",I$72&lt;=depr_length),$B87/depr_length,IF(AND(Main!$B$79="MACRS",I$72&lt;=depr_length+1),$B87*INDEX(MACRS_table,MATCH(I$72,recovery_year,0),MATCH(depr_length,recovery_period,0)),""))</f>
        <v>91541.445499898822</v>
      </c>
      <c r="J87" s="195">
        <f>IF(AND(Main!$B$79="Straight Line",J$72&lt;=depr_length),$B87/depr_length,IF(AND(Main!$B$79="MACRS",J$72&lt;=depr_length+1),$B87*INDEX(MACRS_table,MATCH(J$72,recovery_year,0),MATCH(depr_length,recovery_period,0)),""))</f>
        <v>84687.073762385946</v>
      </c>
      <c r="K87" s="195">
        <f>IF(AND(Main!$B$79="Straight Line",K$72&lt;=depr_length),$B87/depr_length,IF(AND(Main!$B$79="MACRS",K$72&lt;=depr_length+1),$B87*INDEX(MACRS_table,MATCH(K$72,recovery_year,0),MATCH(depr_length,recovery_period,0)),""))</f>
        <v>83563.406264433012</v>
      </c>
      <c r="L87" s="195">
        <f>IF(AND(Main!$B$79="Straight Line",L$72&lt;=depr_length),$B87/depr_length,IF(AND(Main!$B$79="MACRS",L$72&lt;=depr_length+1),$B87*INDEX(MACRS_table,MATCH(L$72,recovery_year,0),MATCH(depr_length,recovery_period,0)),""))</f>
        <v>83544.678472800457</v>
      </c>
      <c r="M87" s="195">
        <f>IF(AND(Main!$B$79="Straight Line",M$72&lt;=depr_length),$B87/depr_length,IF(AND(Main!$B$79="MACRS",M$72&lt;=depr_length+1),$B87*INDEX(MACRS_table,MATCH(M$72,recovery_year,0),MATCH(depr_length,recovery_period,0)),""))</f>
        <v>83563.406264433012</v>
      </c>
      <c r="N87" s="195">
        <f>IF(AND(Main!$B$79="Straight Line",N$72&lt;=depr_length),$B87/depr_length,IF(AND(Main!$B$79="MACRS",N$72&lt;=depr_length+1),$B87*INDEX(MACRS_table,MATCH(N$72,recovery_year,0),MATCH(depr_length,recovery_period,0)),""))</f>
        <v>83544.678472800457</v>
      </c>
      <c r="O87" s="195">
        <f>IF(AND(Main!$B$79="Straight Line",O$72&lt;=depr_length),$B87/depr_length,IF(AND(Main!$B$79="MACRS",O$72&lt;=depr_length+1),$B87*INDEX(MACRS_table,MATCH(O$72,recovery_year,0),MATCH(depr_length,recovery_period,0)),""))</f>
        <v>83563.406264433012</v>
      </c>
      <c r="P87" s="195">
        <f>IF(AND(Main!$B$79="Straight Line",P$72&lt;=depr_length),$B87/depr_length,IF(AND(Main!$B$79="MACRS",P$72&lt;=depr_length+1),$B87*INDEX(MACRS_table,MATCH(P$72,recovery_year,0),MATCH(depr_length,recovery_period,0)),""))</f>
        <v>83544.678472800457</v>
      </c>
      <c r="Q87" s="195">
        <f>IF(AND(Main!$B$79="Straight Line",Q$72&lt;=depr_length),$B87/depr_length,IF(AND(Main!$B$79="MACRS",Q$72&lt;=depr_length+1),$B87*INDEX(MACRS_table,MATCH(Q$72,recovery_year,0),MATCH(depr_length,recovery_period,0)),""))</f>
        <v>83563.406264433012</v>
      </c>
      <c r="R87" s="195">
        <f>IF(AND(Main!$B$79="Straight Line",R$72&lt;=depr_length),$B87/depr_length,IF(AND(Main!$B$79="MACRS",R$72&lt;=depr_length+1),$B87*INDEX(MACRS_table,MATCH(R$72,recovery_year,0),MATCH(depr_length,recovery_period,0)),""))</f>
        <v>83544.678472800457</v>
      </c>
      <c r="S87" s="195">
        <f>IF(AND(Main!$B$79="Straight Line",S$72&lt;=depr_length),$B87/depr_length,IF(AND(Main!$B$79="MACRS",S$72&lt;=depr_length+1),$B87*INDEX(MACRS_table,MATCH(S$72,recovery_year,0),MATCH(depr_length,recovery_period,0)),""))</f>
        <v>83563.406264433012</v>
      </c>
      <c r="T87" s="195">
        <f>IF(AND(Main!$B$79="Straight Line",T$72&lt;=depr_length),$B87/depr_length,IF(AND(Main!$B$79="MACRS",T$72&lt;=depr_length+1),$B87*INDEX(MACRS_table,MATCH(T$72,recovery_year,0),MATCH(depr_length,recovery_period,0)),""))</f>
        <v>83544.678472800457</v>
      </c>
      <c r="U87" s="195">
        <f>IF(AND(Main!$B$79="Straight Line",U$72&lt;=depr_length),$B87/depr_length,IF(AND(Main!$B$79="MACRS",U$72&lt;=depr_length+1),$B87*INDEX(MACRS_table,MATCH(U$72,recovery_year,0),MATCH(depr_length,recovery_period,0)),""))</f>
        <v>83563.406264433012</v>
      </c>
      <c r="V87" s="195">
        <f>IF(AND(Main!$B$79="Straight Line",V$72&lt;=depr_length),$B87/depr_length,IF(AND(Main!$B$79="MACRS",V$72&lt;=depr_length+1),$B87*INDEX(MACRS_table,MATCH(V$72,recovery_year,0),MATCH(depr_length,recovery_period,0)),""))</f>
        <v>83544.678472800457</v>
      </c>
      <c r="W87" s="195">
        <f>IF(AND(Main!$B$79="Straight Line",W$72&lt;=depr_length),$B87/depr_length,IF(AND(Main!$B$79="MACRS",W$72&lt;=depr_length+1),$B87*INDEX(MACRS_table,MATCH(W$72,recovery_year,0),MATCH(depr_length,recovery_period,0)),""))</f>
        <v>41781.703132216506</v>
      </c>
      <c r="X87" s="196" cm="1">
        <f t="array" ref="X87">SUMPRODUCT((ROW($C$73:$W$113)-MIN(ROW(C87:W127))=MIN(COLUMN(C87:W127))-COLUMN($C$73:$W$113))*($C$73:$W$113))</f>
        <v>36716601.085546322</v>
      </c>
    </row>
    <row r="88" spans="1:24" x14ac:dyDescent="0.15">
      <c r="A88" s="115">
        <v>15</v>
      </c>
      <c r="B88" s="194">
        <f t="shared" si="20"/>
        <v>1908361.9673567291</v>
      </c>
      <c r="C88" s="195">
        <f>IF(AND(Main!$B$79="Straight Line",C$72&lt;=depr_length),$B88/depr_length,IF(AND(Main!$B$79="MACRS",C$72&lt;=depr_length+1),$B88*INDEX(MACRS_table,MATCH(C$72,recovery_year,0),MATCH(depr_length,recovery_period,0)),""))</f>
        <v>71563.573775877332</v>
      </c>
      <c r="D88" s="195">
        <f>IF(AND(Main!$B$79="Straight Line",D$72&lt;=depr_length),$B88/depr_length,IF(AND(Main!$B$79="MACRS",D$72&lt;=depr_length+1),$B88*INDEX(MACRS_table,MATCH(D$72,recovery_year,0),MATCH(depr_length,recovery_period,0)),""))</f>
        <v>137764.65042348229</v>
      </c>
      <c r="E88" s="195">
        <f>IF(AND(Main!$B$79="Straight Line",E$72&lt;=depr_length),$B88/depr_length,IF(AND(Main!$B$79="MACRS",E$72&lt;=depr_length+1),$B88*INDEX(MACRS_table,MATCH(E$72,recovery_year,0),MATCH(depr_length,recovery_period,0)),""))</f>
        <v>127421.32856040879</v>
      </c>
      <c r="F88" s="195">
        <f>IF(AND(Main!$B$79="Straight Line",F$72&lt;=depr_length),$B88/depr_length,IF(AND(Main!$B$79="MACRS",F$72&lt;=depr_length+1),$B88*INDEX(MACRS_table,MATCH(F$72,recovery_year,0),MATCH(depr_length,recovery_period,0)),""))</f>
        <v>117879.51872362515</v>
      </c>
      <c r="G88" s="195">
        <f>IF(AND(Main!$B$79="Straight Line",G$72&lt;=depr_length),$B88/depr_length,IF(AND(Main!$B$79="MACRS",G$72&lt;=depr_length+1),$B88*INDEX(MACRS_table,MATCH(G$72,recovery_year,0),MATCH(depr_length,recovery_period,0)),""))</f>
        <v>109024.71919508993</v>
      </c>
      <c r="H88" s="195">
        <f>IF(AND(Main!$B$79="Straight Line",H$72&lt;=depr_length),$B88/depr_length,IF(AND(Main!$B$79="MACRS",H$72&lt;=depr_length+1),$B88*INDEX(MACRS_table,MATCH(H$72,recovery_year,0),MATCH(depr_length,recovery_period,0)),""))</f>
        <v>100856.92997480313</v>
      </c>
      <c r="I88" s="195">
        <f>IF(AND(Main!$B$79="Straight Line",I$72&lt;=depr_length),$B88/depr_length,IF(AND(Main!$B$79="MACRS",I$72&lt;=depr_length+1),$B88*INDEX(MACRS_table,MATCH(I$72,recovery_year,0),MATCH(depr_length,recovery_period,0)),""))</f>
        <v>93280.732964396913</v>
      </c>
      <c r="J88" s="195">
        <f>IF(AND(Main!$B$79="Straight Line",J$72&lt;=depr_length),$B88/depr_length,IF(AND(Main!$B$79="MACRS",J$72&lt;=depr_length+1),$B88*INDEX(MACRS_table,MATCH(J$72,recovery_year,0),MATCH(depr_length,recovery_period,0)),""))</f>
        <v>86296.128163871297</v>
      </c>
      <c r="K88" s="195">
        <f>IF(AND(Main!$B$79="Straight Line",K$72&lt;=depr_length),$B88/depr_length,IF(AND(Main!$B$79="MACRS",K$72&lt;=depr_length+1),$B88*INDEX(MACRS_table,MATCH(K$72,recovery_year,0),MATCH(depr_length,recovery_period,0)),""))</f>
        <v>85151.110983457256</v>
      </c>
      <c r="L88" s="195">
        <f>IF(AND(Main!$B$79="Straight Line",L$72&lt;=depr_length),$B88/depr_length,IF(AND(Main!$B$79="MACRS",L$72&lt;=depr_length+1),$B88*INDEX(MACRS_table,MATCH(L$72,recovery_year,0),MATCH(depr_length,recovery_period,0)),""))</f>
        <v>85132.02736378368</v>
      </c>
      <c r="M88" s="195">
        <f>IF(AND(Main!$B$79="Straight Line",M$72&lt;=depr_length),$B88/depr_length,IF(AND(Main!$B$79="MACRS",M$72&lt;=depr_length+1),$B88*INDEX(MACRS_table,MATCH(M$72,recovery_year,0),MATCH(depr_length,recovery_period,0)),""))</f>
        <v>85151.110983457256</v>
      </c>
      <c r="N88" s="195">
        <f>IF(AND(Main!$B$79="Straight Line",N$72&lt;=depr_length),$B88/depr_length,IF(AND(Main!$B$79="MACRS",N$72&lt;=depr_length+1),$B88*INDEX(MACRS_table,MATCH(N$72,recovery_year,0),MATCH(depr_length,recovery_period,0)),""))</f>
        <v>85132.02736378368</v>
      </c>
      <c r="O88" s="195">
        <f>IF(AND(Main!$B$79="Straight Line",O$72&lt;=depr_length),$B88/depr_length,IF(AND(Main!$B$79="MACRS",O$72&lt;=depr_length+1),$B88*INDEX(MACRS_table,MATCH(O$72,recovery_year,0),MATCH(depr_length,recovery_period,0)),""))</f>
        <v>85151.110983457256</v>
      </c>
      <c r="P88" s="195">
        <f>IF(AND(Main!$B$79="Straight Line",P$72&lt;=depr_length),$B88/depr_length,IF(AND(Main!$B$79="MACRS",P$72&lt;=depr_length+1),$B88*INDEX(MACRS_table,MATCH(P$72,recovery_year,0),MATCH(depr_length,recovery_period,0)),""))</f>
        <v>85132.02736378368</v>
      </c>
      <c r="Q88" s="195">
        <f>IF(AND(Main!$B$79="Straight Line",Q$72&lt;=depr_length),$B88/depr_length,IF(AND(Main!$B$79="MACRS",Q$72&lt;=depr_length+1),$B88*INDEX(MACRS_table,MATCH(Q$72,recovery_year,0),MATCH(depr_length,recovery_period,0)),""))</f>
        <v>85151.110983457256</v>
      </c>
      <c r="R88" s="195">
        <f>IF(AND(Main!$B$79="Straight Line",R$72&lt;=depr_length),$B88/depr_length,IF(AND(Main!$B$79="MACRS",R$72&lt;=depr_length+1),$B88*INDEX(MACRS_table,MATCH(R$72,recovery_year,0),MATCH(depr_length,recovery_period,0)),""))</f>
        <v>85132.02736378368</v>
      </c>
      <c r="S88" s="195">
        <f>IF(AND(Main!$B$79="Straight Line",S$72&lt;=depr_length),$B88/depr_length,IF(AND(Main!$B$79="MACRS",S$72&lt;=depr_length+1),$B88*INDEX(MACRS_table,MATCH(S$72,recovery_year,0),MATCH(depr_length,recovery_period,0)),""))</f>
        <v>85151.110983457256</v>
      </c>
      <c r="T88" s="195">
        <f>IF(AND(Main!$B$79="Straight Line",T$72&lt;=depr_length),$B88/depr_length,IF(AND(Main!$B$79="MACRS",T$72&lt;=depr_length+1),$B88*INDEX(MACRS_table,MATCH(T$72,recovery_year,0),MATCH(depr_length,recovery_period,0)),""))</f>
        <v>85132.02736378368</v>
      </c>
      <c r="U88" s="195">
        <f>IF(AND(Main!$B$79="Straight Line",U$72&lt;=depr_length),$B88/depr_length,IF(AND(Main!$B$79="MACRS",U$72&lt;=depr_length+1),$B88*INDEX(MACRS_table,MATCH(U$72,recovery_year,0),MATCH(depr_length,recovery_period,0)),""))</f>
        <v>85151.110983457256</v>
      </c>
      <c r="V88" s="195">
        <f>IF(AND(Main!$B$79="Straight Line",V$72&lt;=depr_length),$B88/depr_length,IF(AND(Main!$B$79="MACRS",V$72&lt;=depr_length+1),$B88*INDEX(MACRS_table,MATCH(V$72,recovery_year,0),MATCH(depr_length,recovery_period,0)),""))</f>
        <v>85132.02736378368</v>
      </c>
      <c r="W88" s="195">
        <f>IF(AND(Main!$B$79="Straight Line",W$72&lt;=depr_length),$B88/depr_length,IF(AND(Main!$B$79="MACRS",W$72&lt;=depr_length+1),$B88*INDEX(MACRS_table,MATCH(W$72,recovery_year,0),MATCH(depr_length,recovery_period,0)),""))</f>
        <v>42575.555491728628</v>
      </c>
      <c r="X88" s="196" cm="1">
        <f t="array" ref="X88">SUMPRODUCT((ROW($C$73:$W$113)-MIN(ROW(C88:W128))=MIN(COLUMN(C88:W128))-COLUMN($C$73:$W$113))*($C$73:$W$113))</f>
        <v>35693051.552174196</v>
      </c>
    </row>
    <row r="89" spans="1:24" x14ac:dyDescent="0.15">
      <c r="A89" s="115">
        <v>16</v>
      </c>
      <c r="B89" s="194">
        <f t="shared" si="20"/>
        <v>94469276.619062722</v>
      </c>
      <c r="C89" s="195">
        <f>IF(AND(Main!$B$79="Straight Line",C$72&lt;=depr_length),$B89/depr_length,IF(AND(Main!$B$79="MACRS",C$72&lt;=depr_length+1),$B89*INDEX(MACRS_table,MATCH(C$72,recovery_year,0),MATCH(depr_length,recovery_period,0)),""))</f>
        <v>3542597.8732148521</v>
      </c>
      <c r="D89" s="195">
        <f>IF(AND(Main!$B$79="Straight Line",D$72&lt;=depr_length),$B89/depr_length,IF(AND(Main!$B$79="MACRS",D$72&lt;=depr_length+1),$B89*INDEX(MACRS_table,MATCH(D$72,recovery_year,0),MATCH(depr_length,recovery_period,0)),""))</f>
        <v>6819737.0791301383</v>
      </c>
      <c r="E89" s="195">
        <f>IF(AND(Main!$B$79="Straight Line",E$72&lt;=depr_length),$B89/depr_length,IF(AND(Main!$B$79="MACRS",E$72&lt;=depr_length+1),$B89*INDEX(MACRS_table,MATCH(E$72,recovery_year,0),MATCH(depr_length,recovery_period,0)),""))</f>
        <v>6307713.5998548176</v>
      </c>
      <c r="F89" s="195">
        <f>IF(AND(Main!$B$79="Straight Line",F$72&lt;=depr_length),$B89/depr_length,IF(AND(Main!$B$79="MACRS",F$72&lt;=depr_length+1),$B89*INDEX(MACRS_table,MATCH(F$72,recovery_year,0),MATCH(depr_length,recovery_period,0)),""))</f>
        <v>5835367.2167595038</v>
      </c>
      <c r="G89" s="195">
        <f>IF(AND(Main!$B$79="Straight Line",G$72&lt;=depr_length),$B89/depr_length,IF(AND(Main!$B$79="MACRS",G$72&lt;=depr_length+1),$B89*INDEX(MACRS_table,MATCH(G$72,recovery_year,0),MATCH(depr_length,recovery_period,0)),""))</f>
        <v>5397029.7732470529</v>
      </c>
      <c r="H89" s="195">
        <f>IF(AND(Main!$B$79="Straight Line",H$72&lt;=depr_length),$B89/depr_length,IF(AND(Main!$B$79="MACRS",H$72&lt;=depr_length+1),$B89*INDEX(MACRS_table,MATCH(H$72,recovery_year,0),MATCH(depr_length,recovery_period,0)),""))</f>
        <v>4992701.2693174649</v>
      </c>
      <c r="I89" s="195">
        <f>IF(AND(Main!$B$79="Straight Line",I$72&lt;=depr_length),$B89/depr_length,IF(AND(Main!$B$79="MACRS",I$72&lt;=depr_length+1),$B89*INDEX(MACRS_table,MATCH(I$72,recovery_year,0),MATCH(depr_length,recovery_period,0)),""))</f>
        <v>4617658.2411397854</v>
      </c>
      <c r="J89" s="195">
        <f>IF(AND(Main!$B$79="Straight Line",J$72&lt;=depr_length),$B89/depr_length,IF(AND(Main!$B$79="MACRS",J$72&lt;=depr_length+1),$B89*INDEX(MACRS_table,MATCH(J$72,recovery_year,0),MATCH(depr_length,recovery_period,0)),""))</f>
        <v>4271900.6887140162</v>
      </c>
      <c r="K89" s="195">
        <f>IF(AND(Main!$B$79="Straight Line",K$72&lt;=depr_length),$B89/depr_length,IF(AND(Main!$B$79="MACRS",K$72&lt;=depr_length+1),$B89*INDEX(MACRS_table,MATCH(K$72,recovery_year,0),MATCH(depr_length,recovery_period,0)),""))</f>
        <v>4215219.1227425784</v>
      </c>
      <c r="L89" s="195">
        <f>IF(AND(Main!$B$79="Straight Line",L$72&lt;=depr_length),$B89/depr_length,IF(AND(Main!$B$79="MACRS",L$72&lt;=depr_length+1),$B89*INDEX(MACRS_table,MATCH(L$72,recovery_year,0),MATCH(depr_length,recovery_period,0)),""))</f>
        <v>4214274.4299763879</v>
      </c>
      <c r="M89" s="195">
        <f>IF(AND(Main!$B$79="Straight Line",M$72&lt;=depr_length),$B89/depr_length,IF(AND(Main!$B$79="MACRS",M$72&lt;=depr_length+1),$B89*INDEX(MACRS_table,MATCH(M$72,recovery_year,0),MATCH(depr_length,recovery_period,0)),""))</f>
        <v>4215219.1227425784</v>
      </c>
      <c r="N89" s="195">
        <f>IF(AND(Main!$B$79="Straight Line",N$72&lt;=depr_length),$B89/depr_length,IF(AND(Main!$B$79="MACRS",N$72&lt;=depr_length+1),$B89*INDEX(MACRS_table,MATCH(N$72,recovery_year,0),MATCH(depr_length,recovery_period,0)),""))</f>
        <v>4214274.4299763879</v>
      </c>
      <c r="O89" s="195">
        <f>IF(AND(Main!$B$79="Straight Line",O$72&lt;=depr_length),$B89/depr_length,IF(AND(Main!$B$79="MACRS",O$72&lt;=depr_length+1),$B89*INDEX(MACRS_table,MATCH(O$72,recovery_year,0),MATCH(depr_length,recovery_period,0)),""))</f>
        <v>4215219.1227425784</v>
      </c>
      <c r="P89" s="195">
        <f>IF(AND(Main!$B$79="Straight Line",P$72&lt;=depr_length),$B89/depr_length,IF(AND(Main!$B$79="MACRS",P$72&lt;=depr_length+1),$B89*INDEX(MACRS_table,MATCH(P$72,recovery_year,0),MATCH(depr_length,recovery_period,0)),""))</f>
        <v>4214274.4299763879</v>
      </c>
      <c r="Q89" s="195">
        <f>IF(AND(Main!$B$79="Straight Line",Q$72&lt;=depr_length),$B89/depr_length,IF(AND(Main!$B$79="MACRS",Q$72&lt;=depr_length+1),$B89*INDEX(MACRS_table,MATCH(Q$72,recovery_year,0),MATCH(depr_length,recovery_period,0)),""))</f>
        <v>4215219.1227425784</v>
      </c>
      <c r="R89" s="195">
        <f>IF(AND(Main!$B$79="Straight Line",R$72&lt;=depr_length),$B89/depr_length,IF(AND(Main!$B$79="MACRS",R$72&lt;=depr_length+1),$B89*INDEX(MACRS_table,MATCH(R$72,recovery_year,0),MATCH(depr_length,recovery_period,0)),""))</f>
        <v>4214274.4299763879</v>
      </c>
      <c r="S89" s="195">
        <f>IF(AND(Main!$B$79="Straight Line",S$72&lt;=depr_length),$B89/depr_length,IF(AND(Main!$B$79="MACRS",S$72&lt;=depr_length+1),$B89*INDEX(MACRS_table,MATCH(S$72,recovery_year,0),MATCH(depr_length,recovery_period,0)),""))</f>
        <v>4215219.1227425784</v>
      </c>
      <c r="T89" s="195">
        <f>IF(AND(Main!$B$79="Straight Line",T$72&lt;=depr_length),$B89/depr_length,IF(AND(Main!$B$79="MACRS",T$72&lt;=depr_length+1),$B89*INDEX(MACRS_table,MATCH(T$72,recovery_year,0),MATCH(depr_length,recovery_period,0)),""))</f>
        <v>4214274.4299763879</v>
      </c>
      <c r="U89" s="195">
        <f>IF(AND(Main!$B$79="Straight Line",U$72&lt;=depr_length),$B89/depr_length,IF(AND(Main!$B$79="MACRS",U$72&lt;=depr_length+1),$B89*INDEX(MACRS_table,MATCH(U$72,recovery_year,0),MATCH(depr_length,recovery_period,0)),""))</f>
        <v>4215219.1227425784</v>
      </c>
      <c r="V89" s="195">
        <f>IF(AND(Main!$B$79="Straight Line",V$72&lt;=depr_length),$B89/depr_length,IF(AND(Main!$B$79="MACRS",V$72&lt;=depr_length+1),$B89*INDEX(MACRS_table,MATCH(V$72,recovery_year,0),MATCH(depr_length,recovery_period,0)),""))</f>
        <v>4214274.4299763879</v>
      </c>
      <c r="W89" s="195">
        <f>IF(AND(Main!$B$79="Straight Line",W$72&lt;=depr_length),$B89/depr_length,IF(AND(Main!$B$79="MACRS",W$72&lt;=depr_length+1),$B89*INDEX(MACRS_table,MATCH(W$72,recovery_year,0),MATCH(depr_length,recovery_period,0)),""))</f>
        <v>2107609.5613712892</v>
      </c>
      <c r="X89" s="196" cm="1">
        <f t="array" ref="X89">SUMPRODUCT((ROW($C$73:$W$113)-MIN(ROW(C89:W129))=MIN(COLUMN(C89:W129))-COLUMN($C$73:$W$113))*($C$73:$W$113))</f>
        <v>38221109.922768697</v>
      </c>
    </row>
    <row r="90" spans="1:24" x14ac:dyDescent="0.15">
      <c r="A90" s="115">
        <v>17</v>
      </c>
      <c r="B90" s="194">
        <f t="shared" si="20"/>
        <v>1981568.6407865004</v>
      </c>
      <c r="C90" s="195">
        <f>IF(AND(Main!$B$79="Straight Line",C$72&lt;=depr_length),$B90/depr_length,IF(AND(Main!$B$79="MACRS",C$72&lt;=depr_length+1),$B90*INDEX(MACRS_table,MATCH(C$72,recovery_year,0),MATCH(depr_length,recovery_period,0)),""))</f>
        <v>74308.824029493757</v>
      </c>
      <c r="D90" s="195">
        <f>IF(AND(Main!$B$79="Straight Line",D$72&lt;=depr_length),$B90/depr_length,IF(AND(Main!$B$79="MACRS",D$72&lt;=depr_length+1),$B90*INDEX(MACRS_table,MATCH(D$72,recovery_year,0),MATCH(depr_length,recovery_period,0)),""))</f>
        <v>143049.44017837747</v>
      </c>
      <c r="E90" s="195">
        <f>IF(AND(Main!$B$79="Straight Line",E$72&lt;=depr_length),$B90/depr_length,IF(AND(Main!$B$79="MACRS",E$72&lt;=depr_length+1),$B90*INDEX(MACRS_table,MATCH(E$72,recovery_year,0),MATCH(depr_length,recovery_period,0)),""))</f>
        <v>132309.33814531463</v>
      </c>
      <c r="F90" s="195">
        <f>IF(AND(Main!$B$79="Straight Line",F$72&lt;=depr_length),$B90/depr_length,IF(AND(Main!$B$79="MACRS",F$72&lt;=depr_length+1),$B90*INDEX(MACRS_table,MATCH(F$72,recovery_year,0),MATCH(depr_length,recovery_period,0)),""))</f>
        <v>122401.49494138213</v>
      </c>
      <c r="G90" s="195">
        <f>IF(AND(Main!$B$79="Straight Line",G$72&lt;=depr_length),$B90/depr_length,IF(AND(Main!$B$79="MACRS",G$72&lt;=depr_length+1),$B90*INDEX(MACRS_table,MATCH(G$72,recovery_year,0),MATCH(depr_length,recovery_period,0)),""))</f>
        <v>113207.01644813277</v>
      </c>
      <c r="H90" s="195">
        <f>IF(AND(Main!$B$79="Straight Line",H$72&lt;=depr_length),$B90/depr_length,IF(AND(Main!$B$79="MACRS",H$72&lt;=depr_length+1),$B90*INDEX(MACRS_table,MATCH(H$72,recovery_year,0),MATCH(depr_length,recovery_period,0)),""))</f>
        <v>104725.90266556655</v>
      </c>
      <c r="I90" s="195">
        <f>IF(AND(Main!$B$79="Straight Line",I$72&lt;=depr_length),$B90/depr_length,IF(AND(Main!$B$79="MACRS",I$72&lt;=depr_length+1),$B90*INDEX(MACRS_table,MATCH(I$72,recovery_year,0),MATCH(depr_length,recovery_period,0)),""))</f>
        <v>96859.075161644141</v>
      </c>
      <c r="J90" s="195">
        <f>IF(AND(Main!$B$79="Straight Line",J$72&lt;=depr_length),$B90/depr_length,IF(AND(Main!$B$79="MACRS",J$72&lt;=depr_length+1),$B90*INDEX(MACRS_table,MATCH(J$72,recovery_year,0),MATCH(depr_length,recovery_period,0)),""))</f>
        <v>89606.533936365551</v>
      </c>
      <c r="K90" s="195">
        <f>IF(AND(Main!$B$79="Straight Line",K$72&lt;=depr_length),$B90/depr_length,IF(AND(Main!$B$79="MACRS",K$72&lt;=depr_length+1),$B90*INDEX(MACRS_table,MATCH(K$72,recovery_year,0),MATCH(depr_length,recovery_period,0)),""))</f>
        <v>88417.592751893651</v>
      </c>
      <c r="L90" s="195">
        <f>IF(AND(Main!$B$79="Straight Line",L$72&lt;=depr_length),$B90/depr_length,IF(AND(Main!$B$79="MACRS",L$72&lt;=depr_length+1),$B90*INDEX(MACRS_table,MATCH(L$72,recovery_year,0),MATCH(depr_length,recovery_period,0)),""))</f>
        <v>88397.777065485774</v>
      </c>
      <c r="M90" s="195">
        <f>IF(AND(Main!$B$79="Straight Line",M$72&lt;=depr_length),$B90/depr_length,IF(AND(Main!$B$79="MACRS",M$72&lt;=depr_length+1),$B90*INDEX(MACRS_table,MATCH(M$72,recovery_year,0),MATCH(depr_length,recovery_period,0)),""))</f>
        <v>88417.592751893651</v>
      </c>
      <c r="N90" s="195">
        <f>IF(AND(Main!$B$79="Straight Line",N$72&lt;=depr_length),$B90/depr_length,IF(AND(Main!$B$79="MACRS",N$72&lt;=depr_length+1),$B90*INDEX(MACRS_table,MATCH(N$72,recovery_year,0),MATCH(depr_length,recovery_period,0)),""))</f>
        <v>88397.777065485774</v>
      </c>
      <c r="O90" s="195">
        <f>IF(AND(Main!$B$79="Straight Line",O$72&lt;=depr_length),$B90/depr_length,IF(AND(Main!$B$79="MACRS",O$72&lt;=depr_length+1),$B90*INDEX(MACRS_table,MATCH(O$72,recovery_year,0),MATCH(depr_length,recovery_period,0)),""))</f>
        <v>88417.592751893651</v>
      </c>
      <c r="P90" s="195">
        <f>IF(AND(Main!$B$79="Straight Line",P$72&lt;=depr_length),$B90/depr_length,IF(AND(Main!$B$79="MACRS",P$72&lt;=depr_length+1),$B90*INDEX(MACRS_table,MATCH(P$72,recovery_year,0),MATCH(depr_length,recovery_period,0)),""))</f>
        <v>88397.777065485774</v>
      </c>
      <c r="Q90" s="195">
        <f>IF(AND(Main!$B$79="Straight Line",Q$72&lt;=depr_length),$B90/depr_length,IF(AND(Main!$B$79="MACRS",Q$72&lt;=depr_length+1),$B90*INDEX(MACRS_table,MATCH(Q$72,recovery_year,0),MATCH(depr_length,recovery_period,0)),""))</f>
        <v>88417.592751893651</v>
      </c>
      <c r="R90" s="195">
        <f>IF(AND(Main!$B$79="Straight Line",R$72&lt;=depr_length),$B90/depr_length,IF(AND(Main!$B$79="MACRS",R$72&lt;=depr_length+1),$B90*INDEX(MACRS_table,MATCH(R$72,recovery_year,0),MATCH(depr_length,recovery_period,0)),""))</f>
        <v>88397.777065485774</v>
      </c>
      <c r="S90" s="195">
        <f>IF(AND(Main!$B$79="Straight Line",S$72&lt;=depr_length),$B90/depr_length,IF(AND(Main!$B$79="MACRS",S$72&lt;=depr_length+1),$B90*INDEX(MACRS_table,MATCH(S$72,recovery_year,0),MATCH(depr_length,recovery_period,0)),""))</f>
        <v>88417.592751893651</v>
      </c>
      <c r="T90" s="195">
        <f>IF(AND(Main!$B$79="Straight Line",T$72&lt;=depr_length),$B90/depr_length,IF(AND(Main!$B$79="MACRS",T$72&lt;=depr_length+1),$B90*INDEX(MACRS_table,MATCH(T$72,recovery_year,0),MATCH(depr_length,recovery_period,0)),""))</f>
        <v>88397.777065485774</v>
      </c>
      <c r="U90" s="195">
        <f>IF(AND(Main!$B$79="Straight Line",U$72&lt;=depr_length),$B90/depr_length,IF(AND(Main!$B$79="MACRS",U$72&lt;=depr_length+1),$B90*INDEX(MACRS_table,MATCH(U$72,recovery_year,0),MATCH(depr_length,recovery_period,0)),""))</f>
        <v>88417.592751893651</v>
      </c>
      <c r="V90" s="195">
        <f>IF(AND(Main!$B$79="Straight Line",V$72&lt;=depr_length),$B90/depr_length,IF(AND(Main!$B$79="MACRS",V$72&lt;=depr_length+1),$B90*INDEX(MACRS_table,MATCH(V$72,recovery_year,0),MATCH(depr_length,recovery_period,0)),""))</f>
        <v>88397.777065485774</v>
      </c>
      <c r="W90" s="195">
        <f>IF(AND(Main!$B$79="Straight Line",W$72&lt;=depr_length),$B90/depr_length,IF(AND(Main!$B$79="MACRS",W$72&lt;=depr_length+1),$B90*INDEX(MACRS_table,MATCH(W$72,recovery_year,0),MATCH(depr_length,recovery_period,0)),""))</f>
        <v>44208.796375946826</v>
      </c>
      <c r="X90" s="196" cm="1">
        <f t="array" ref="X90">SUMPRODUCT((ROW($C$73:$W$113)-MIN(ROW(C90:W130))=MIN(COLUMN(C90:W130))-COLUMN($C$73:$W$113))*($C$73:$W$113))</f>
        <v>40571573.640476696</v>
      </c>
    </row>
    <row r="91" spans="1:24" x14ac:dyDescent="0.15">
      <c r="A91" s="115">
        <v>18</v>
      </c>
      <c r="B91" s="194">
        <f t="shared" si="20"/>
        <v>2019218.4449614438</v>
      </c>
      <c r="C91" s="195">
        <f>IF(AND(Main!$B$79="Straight Line",C$72&lt;=depr_length),$B91/depr_length,IF(AND(Main!$B$79="MACRS",C$72&lt;=depr_length+1),$B91*INDEX(MACRS_table,MATCH(C$72,recovery_year,0),MATCH(depr_length,recovery_period,0)),""))</f>
        <v>75720.691686054139</v>
      </c>
      <c r="D91" s="195">
        <f>IF(AND(Main!$B$79="Straight Line",D$72&lt;=depr_length),$B91/depr_length,IF(AND(Main!$B$79="MACRS",D$72&lt;=depr_length+1),$B91*INDEX(MACRS_table,MATCH(D$72,recovery_year,0),MATCH(depr_length,recovery_period,0)),""))</f>
        <v>145767.37954176663</v>
      </c>
      <c r="E91" s="195">
        <f>IF(AND(Main!$B$79="Straight Line",E$72&lt;=depr_length),$B91/depr_length,IF(AND(Main!$B$79="MACRS",E$72&lt;=depr_length+1),$B91*INDEX(MACRS_table,MATCH(E$72,recovery_year,0),MATCH(depr_length,recovery_period,0)),""))</f>
        <v>134823.21557007558</v>
      </c>
      <c r="F91" s="195">
        <f>IF(AND(Main!$B$79="Straight Line",F$72&lt;=depr_length),$B91/depr_length,IF(AND(Main!$B$79="MACRS",F$72&lt;=depr_length+1),$B91*INDEX(MACRS_table,MATCH(F$72,recovery_year,0),MATCH(depr_length,recovery_period,0)),""))</f>
        <v>124727.12334526838</v>
      </c>
      <c r="G91" s="195">
        <f>IF(AND(Main!$B$79="Straight Line",G$72&lt;=depr_length),$B91/depr_length,IF(AND(Main!$B$79="MACRS",G$72&lt;=depr_length+1),$B91*INDEX(MACRS_table,MATCH(G$72,recovery_year,0),MATCH(depr_length,recovery_period,0)),""))</f>
        <v>115357.94976064729</v>
      </c>
      <c r="H91" s="195">
        <f>IF(AND(Main!$B$79="Straight Line",H$72&lt;=depr_length),$B91/depr_length,IF(AND(Main!$B$79="MACRS",H$72&lt;=depr_length+1),$B91*INDEX(MACRS_table,MATCH(H$72,recovery_year,0),MATCH(depr_length,recovery_period,0)),""))</f>
        <v>106715.6948162123</v>
      </c>
      <c r="I91" s="195">
        <f>IF(AND(Main!$B$79="Straight Line",I$72&lt;=depr_length),$B91/depr_length,IF(AND(Main!$B$79="MACRS",I$72&lt;=depr_length+1),$B91*INDEX(MACRS_table,MATCH(I$72,recovery_year,0),MATCH(depr_length,recovery_period,0)),""))</f>
        <v>98699.397589715372</v>
      </c>
      <c r="J91" s="195">
        <f>IF(AND(Main!$B$79="Straight Line",J$72&lt;=depr_length),$B91/depr_length,IF(AND(Main!$B$79="MACRS",J$72&lt;=depr_length+1),$B91*INDEX(MACRS_table,MATCH(J$72,recovery_year,0),MATCH(depr_length,recovery_period,0)),""))</f>
        <v>91309.058081156487</v>
      </c>
      <c r="K91" s="195">
        <f>IF(AND(Main!$B$79="Straight Line",K$72&lt;=depr_length),$B91/depr_length,IF(AND(Main!$B$79="MACRS",K$72&lt;=depr_length+1),$B91*INDEX(MACRS_table,MATCH(K$72,recovery_year,0),MATCH(depr_length,recovery_period,0)),""))</f>
        <v>90097.527014179621</v>
      </c>
      <c r="L91" s="195">
        <f>IF(AND(Main!$B$79="Straight Line",L$72&lt;=depr_length),$B91/depr_length,IF(AND(Main!$B$79="MACRS",L$72&lt;=depr_length+1),$B91*INDEX(MACRS_table,MATCH(L$72,recovery_year,0),MATCH(depr_length,recovery_period,0)),""))</f>
        <v>90077.334829729996</v>
      </c>
      <c r="M91" s="195">
        <f>IF(AND(Main!$B$79="Straight Line",M$72&lt;=depr_length),$B91/depr_length,IF(AND(Main!$B$79="MACRS",M$72&lt;=depr_length+1),$B91*INDEX(MACRS_table,MATCH(M$72,recovery_year,0),MATCH(depr_length,recovery_period,0)),""))</f>
        <v>90097.527014179621</v>
      </c>
      <c r="N91" s="195">
        <f>IF(AND(Main!$B$79="Straight Line",N$72&lt;=depr_length),$B91/depr_length,IF(AND(Main!$B$79="MACRS",N$72&lt;=depr_length+1),$B91*INDEX(MACRS_table,MATCH(N$72,recovery_year,0),MATCH(depr_length,recovery_period,0)),""))</f>
        <v>90077.334829729996</v>
      </c>
      <c r="O91" s="195">
        <f>IF(AND(Main!$B$79="Straight Line",O$72&lt;=depr_length),$B91/depr_length,IF(AND(Main!$B$79="MACRS",O$72&lt;=depr_length+1),$B91*INDEX(MACRS_table,MATCH(O$72,recovery_year,0),MATCH(depr_length,recovery_period,0)),""))</f>
        <v>90097.527014179621</v>
      </c>
      <c r="P91" s="195">
        <f>IF(AND(Main!$B$79="Straight Line",P$72&lt;=depr_length),$B91/depr_length,IF(AND(Main!$B$79="MACRS",P$72&lt;=depr_length+1),$B91*INDEX(MACRS_table,MATCH(P$72,recovery_year,0),MATCH(depr_length,recovery_period,0)),""))</f>
        <v>90077.334829729996</v>
      </c>
      <c r="Q91" s="195">
        <f>IF(AND(Main!$B$79="Straight Line",Q$72&lt;=depr_length),$B91/depr_length,IF(AND(Main!$B$79="MACRS",Q$72&lt;=depr_length+1),$B91*INDEX(MACRS_table,MATCH(Q$72,recovery_year,0),MATCH(depr_length,recovery_period,0)),""))</f>
        <v>90097.527014179621</v>
      </c>
      <c r="R91" s="195">
        <f>IF(AND(Main!$B$79="Straight Line",R$72&lt;=depr_length),$B91/depr_length,IF(AND(Main!$B$79="MACRS",R$72&lt;=depr_length+1),$B91*INDEX(MACRS_table,MATCH(R$72,recovery_year,0),MATCH(depr_length,recovery_period,0)),""))</f>
        <v>90077.334829729996</v>
      </c>
      <c r="S91" s="195">
        <f>IF(AND(Main!$B$79="Straight Line",S$72&lt;=depr_length),$B91/depr_length,IF(AND(Main!$B$79="MACRS",S$72&lt;=depr_length+1),$B91*INDEX(MACRS_table,MATCH(S$72,recovery_year,0),MATCH(depr_length,recovery_period,0)),""))</f>
        <v>90097.527014179621</v>
      </c>
      <c r="T91" s="195">
        <f>IF(AND(Main!$B$79="Straight Line",T$72&lt;=depr_length),$B91/depr_length,IF(AND(Main!$B$79="MACRS",T$72&lt;=depr_length+1),$B91*INDEX(MACRS_table,MATCH(T$72,recovery_year,0),MATCH(depr_length,recovery_period,0)),""))</f>
        <v>90077.334829729996</v>
      </c>
      <c r="U91" s="195">
        <f>IF(AND(Main!$B$79="Straight Line",U$72&lt;=depr_length),$B91/depr_length,IF(AND(Main!$B$79="MACRS",U$72&lt;=depr_length+1),$B91*INDEX(MACRS_table,MATCH(U$72,recovery_year,0),MATCH(depr_length,recovery_period,0)),""))</f>
        <v>90097.527014179621</v>
      </c>
      <c r="V91" s="195">
        <f>IF(AND(Main!$B$79="Straight Line",V$72&lt;=depr_length),$B91/depr_length,IF(AND(Main!$B$79="MACRS",V$72&lt;=depr_length+1),$B91*INDEX(MACRS_table,MATCH(V$72,recovery_year,0),MATCH(depr_length,recovery_period,0)),""))</f>
        <v>90077.334829729996</v>
      </c>
      <c r="W91" s="195">
        <f>IF(AND(Main!$B$79="Straight Line",W$72&lt;=depr_length),$B91/depr_length,IF(AND(Main!$B$79="MACRS",W$72&lt;=depr_length+1),$B91*INDEX(MACRS_table,MATCH(W$72,recovery_year,0),MATCH(depr_length,recovery_period,0)),""))</f>
        <v>45048.76350708981</v>
      </c>
      <c r="X91" s="196" cm="1">
        <f t="array" ref="X91">SUMPRODUCT((ROW($C$73:$W$113)-MIN(ROW(C91:W131))=MIN(COLUMN(C91:W131))-COLUMN($C$73:$W$113))*($C$73:$W$113))</f>
        <v>39280859.215442494</v>
      </c>
    </row>
    <row r="92" spans="1:24" x14ac:dyDescent="0.15">
      <c r="A92" s="115">
        <v>19</v>
      </c>
      <c r="B92" s="194">
        <f t="shared" si="20"/>
        <v>2057583.5954157109</v>
      </c>
      <c r="C92" s="195">
        <f>IF(AND(Main!$B$79="Straight Line",C$72&lt;=depr_length),$B92/depr_length,IF(AND(Main!$B$79="MACRS",C$72&lt;=depr_length+1),$B92*INDEX(MACRS_table,MATCH(C$72,recovery_year,0),MATCH(depr_length,recovery_period,0)),""))</f>
        <v>77159.384828089154</v>
      </c>
      <c r="D92" s="195">
        <f>IF(AND(Main!$B$79="Straight Line",D$72&lt;=depr_length),$B92/depr_length,IF(AND(Main!$B$79="MACRS",D$72&lt;=depr_length+1),$B92*INDEX(MACRS_table,MATCH(D$72,recovery_year,0),MATCH(depr_length,recovery_period,0)),""))</f>
        <v>148536.95975306019</v>
      </c>
      <c r="E92" s="195">
        <f>IF(AND(Main!$B$79="Straight Line",E$72&lt;=depr_length),$B92/depr_length,IF(AND(Main!$B$79="MACRS",E$72&lt;=depr_length+1),$B92*INDEX(MACRS_table,MATCH(E$72,recovery_year,0),MATCH(depr_length,recovery_period,0)),""))</f>
        <v>137384.85666590702</v>
      </c>
      <c r="F92" s="195">
        <f>IF(AND(Main!$B$79="Straight Line",F$72&lt;=depr_length),$B92/depr_length,IF(AND(Main!$B$79="MACRS",F$72&lt;=depr_length+1),$B92*INDEX(MACRS_table,MATCH(F$72,recovery_year,0),MATCH(depr_length,recovery_period,0)),""))</f>
        <v>127096.93868882846</v>
      </c>
      <c r="G92" s="195">
        <f>IF(AND(Main!$B$79="Straight Line",G$72&lt;=depr_length),$B92/depr_length,IF(AND(Main!$B$79="MACRS",G$72&lt;=depr_length+1),$B92*INDEX(MACRS_table,MATCH(G$72,recovery_year,0),MATCH(depr_length,recovery_period,0)),""))</f>
        <v>117549.75080609956</v>
      </c>
      <c r="H92" s="195">
        <f>IF(AND(Main!$B$79="Straight Line",H$72&lt;=depr_length),$B92/depr_length,IF(AND(Main!$B$79="MACRS",H$72&lt;=depr_length+1),$B92*INDEX(MACRS_table,MATCH(H$72,recovery_year,0),MATCH(depr_length,recovery_period,0)),""))</f>
        <v>108743.29301772032</v>
      </c>
      <c r="I92" s="195">
        <f>IF(AND(Main!$B$79="Straight Line",I$72&lt;=depr_length),$B92/depr_length,IF(AND(Main!$B$79="MACRS",I$72&lt;=depr_length+1),$B92*INDEX(MACRS_table,MATCH(I$72,recovery_year,0),MATCH(depr_length,recovery_period,0)),""))</f>
        <v>100574.68614391996</v>
      </c>
      <c r="J92" s="195">
        <f>IF(AND(Main!$B$79="Straight Line",J$72&lt;=depr_length),$B92/depr_length,IF(AND(Main!$B$79="MACRS",J$72&lt;=depr_length+1),$B92*INDEX(MACRS_table,MATCH(J$72,recovery_year,0),MATCH(depr_length,recovery_period,0)),""))</f>
        <v>93043.93018469846</v>
      </c>
      <c r="K92" s="195">
        <f>IF(AND(Main!$B$79="Straight Line",K$72&lt;=depr_length),$B92/depr_length,IF(AND(Main!$B$79="MACRS",K$72&lt;=depr_length+1),$B92*INDEX(MACRS_table,MATCH(K$72,recovery_year,0),MATCH(depr_length,recovery_period,0)),""))</f>
        <v>91809.38002744902</v>
      </c>
      <c r="L92" s="195">
        <f>IF(AND(Main!$B$79="Straight Line",L$72&lt;=depr_length),$B92/depr_length,IF(AND(Main!$B$79="MACRS",L$72&lt;=depr_length+1),$B92*INDEX(MACRS_table,MATCH(L$72,recovery_year,0),MATCH(depr_length,recovery_period,0)),""))</f>
        <v>91788.804191494855</v>
      </c>
      <c r="M92" s="195">
        <f>IF(AND(Main!$B$79="Straight Line",M$72&lt;=depr_length),$B92/depr_length,IF(AND(Main!$B$79="MACRS",M$72&lt;=depr_length+1),$B92*INDEX(MACRS_table,MATCH(M$72,recovery_year,0),MATCH(depr_length,recovery_period,0)),""))</f>
        <v>91809.38002744902</v>
      </c>
      <c r="N92" s="195">
        <f>IF(AND(Main!$B$79="Straight Line",N$72&lt;=depr_length),$B92/depr_length,IF(AND(Main!$B$79="MACRS",N$72&lt;=depr_length+1),$B92*INDEX(MACRS_table,MATCH(N$72,recovery_year,0),MATCH(depr_length,recovery_period,0)),""))</f>
        <v>91788.804191494855</v>
      </c>
      <c r="O92" s="195">
        <f>IF(AND(Main!$B$79="Straight Line",O$72&lt;=depr_length),$B92/depr_length,IF(AND(Main!$B$79="MACRS",O$72&lt;=depr_length+1),$B92*INDEX(MACRS_table,MATCH(O$72,recovery_year,0),MATCH(depr_length,recovery_period,0)),""))</f>
        <v>91809.38002744902</v>
      </c>
      <c r="P92" s="195">
        <f>IF(AND(Main!$B$79="Straight Line",P$72&lt;=depr_length),$B92/depr_length,IF(AND(Main!$B$79="MACRS",P$72&lt;=depr_length+1),$B92*INDEX(MACRS_table,MATCH(P$72,recovery_year,0),MATCH(depr_length,recovery_period,0)),""))</f>
        <v>91788.804191494855</v>
      </c>
      <c r="Q92" s="195">
        <f>IF(AND(Main!$B$79="Straight Line",Q$72&lt;=depr_length),$B92/depr_length,IF(AND(Main!$B$79="MACRS",Q$72&lt;=depr_length+1),$B92*INDEX(MACRS_table,MATCH(Q$72,recovery_year,0),MATCH(depr_length,recovery_period,0)),""))</f>
        <v>91809.38002744902</v>
      </c>
      <c r="R92" s="195">
        <f>IF(AND(Main!$B$79="Straight Line",R$72&lt;=depr_length),$B92/depr_length,IF(AND(Main!$B$79="MACRS",R$72&lt;=depr_length+1),$B92*INDEX(MACRS_table,MATCH(R$72,recovery_year,0),MATCH(depr_length,recovery_period,0)),""))</f>
        <v>91788.804191494855</v>
      </c>
      <c r="S92" s="195">
        <f>IF(AND(Main!$B$79="Straight Line",S$72&lt;=depr_length),$B92/depr_length,IF(AND(Main!$B$79="MACRS",S$72&lt;=depr_length+1),$B92*INDEX(MACRS_table,MATCH(S$72,recovery_year,0),MATCH(depr_length,recovery_period,0)),""))</f>
        <v>91809.38002744902</v>
      </c>
      <c r="T92" s="195">
        <f>IF(AND(Main!$B$79="Straight Line",T$72&lt;=depr_length),$B92/depr_length,IF(AND(Main!$B$79="MACRS",T$72&lt;=depr_length+1),$B92*INDEX(MACRS_table,MATCH(T$72,recovery_year,0),MATCH(depr_length,recovery_period,0)),""))</f>
        <v>91788.804191494855</v>
      </c>
      <c r="U92" s="195">
        <f>IF(AND(Main!$B$79="Straight Line",U$72&lt;=depr_length),$B92/depr_length,IF(AND(Main!$B$79="MACRS",U$72&lt;=depr_length+1),$B92*INDEX(MACRS_table,MATCH(U$72,recovery_year,0),MATCH(depr_length,recovery_period,0)),""))</f>
        <v>91809.38002744902</v>
      </c>
      <c r="V92" s="195">
        <f>IF(AND(Main!$B$79="Straight Line",V$72&lt;=depr_length),$B92/depr_length,IF(AND(Main!$B$79="MACRS",V$72&lt;=depr_length+1),$B92*INDEX(MACRS_table,MATCH(V$72,recovery_year,0),MATCH(depr_length,recovery_period,0)),""))</f>
        <v>91788.804191494855</v>
      </c>
      <c r="W92" s="195">
        <f>IF(AND(Main!$B$79="Straight Line",W$72&lt;=depr_length),$B92/depr_length,IF(AND(Main!$B$79="MACRS",W$72&lt;=depr_length+1),$B92*INDEX(MACRS_table,MATCH(W$72,recovery_year,0),MATCH(depr_length,recovery_period,0)),""))</f>
        <v>45904.69001372451</v>
      </c>
      <c r="X92" s="196" cm="1">
        <f t="array" ref="X92">SUMPRODUCT((ROW($C$73:$W$113)-MIN(ROW(C92:W132))=MIN(COLUMN(C92:W132))-COLUMN($C$73:$W$113))*($C$73:$W$113))</f>
        <v>38772111.859035179</v>
      </c>
    </row>
    <row r="93" spans="1:24" x14ac:dyDescent="0.15">
      <c r="A93" s="115">
        <v>20</v>
      </c>
      <c r="B93" s="194">
        <f t="shared" si="20"/>
        <v>2096677.6837286097</v>
      </c>
      <c r="C93" s="195">
        <f>IF(AND(Main!$B$79="Straight Line",C$72&lt;=depr_length),$B93/depr_length,IF(AND(Main!$B$79="MACRS",C$72&lt;=depr_length+1),$B93*INDEX(MACRS_table,MATCH(C$72,recovery_year,0),MATCH(depr_length,recovery_period,0)),""))</f>
        <v>78625.413139822864</v>
      </c>
      <c r="D93" s="195">
        <f>IF(AND(Main!$B$79="Straight Line",D$72&lt;=depr_length),$B93/depr_length,IF(AND(Main!$B$79="MACRS",D$72&lt;=depr_length+1),$B93*INDEX(MACRS_table,MATCH(D$72,recovery_year,0),MATCH(depr_length,recovery_period,0)),""))</f>
        <v>151359.16198836835</v>
      </c>
      <c r="E93" s="195">
        <f>IF(AND(Main!$B$79="Straight Line",E$72&lt;=depr_length),$B93/depr_length,IF(AND(Main!$B$79="MACRS",E$72&lt;=depr_length+1),$B93*INDEX(MACRS_table,MATCH(E$72,recovery_year,0),MATCH(depr_length,recovery_period,0)),""))</f>
        <v>139995.16894255925</v>
      </c>
      <c r="F93" s="195">
        <f>IF(AND(Main!$B$79="Straight Line",F$72&lt;=depr_length),$B93/depr_length,IF(AND(Main!$B$79="MACRS",F$72&lt;=depr_length+1),$B93*INDEX(MACRS_table,MATCH(F$72,recovery_year,0),MATCH(depr_length,recovery_period,0)),""))</f>
        <v>129511.78052391621</v>
      </c>
      <c r="G93" s="195">
        <f>IF(AND(Main!$B$79="Straight Line",G$72&lt;=depr_length),$B93/depr_length,IF(AND(Main!$B$79="MACRS",G$72&lt;=depr_length+1),$B93*INDEX(MACRS_table,MATCH(G$72,recovery_year,0),MATCH(depr_length,recovery_period,0)),""))</f>
        <v>119783.19607141547</v>
      </c>
      <c r="H93" s="195">
        <f>IF(AND(Main!$B$79="Straight Line",H$72&lt;=depr_length),$B93/depr_length,IF(AND(Main!$B$79="MACRS",H$72&lt;=depr_length+1),$B93*INDEX(MACRS_table,MATCH(H$72,recovery_year,0),MATCH(depr_length,recovery_period,0)),""))</f>
        <v>110809.41558505702</v>
      </c>
      <c r="I93" s="195">
        <f>IF(AND(Main!$B$79="Straight Line",I$72&lt;=depr_length),$B93/depr_length,IF(AND(Main!$B$79="MACRS",I$72&lt;=depr_length+1),$B93*INDEX(MACRS_table,MATCH(I$72,recovery_year,0),MATCH(depr_length,recovery_period,0)),""))</f>
        <v>102485.60518065444</v>
      </c>
      <c r="J93" s="195">
        <f>IF(AND(Main!$B$79="Straight Line",J$72&lt;=depr_length),$B93/depr_length,IF(AND(Main!$B$79="MACRS",J$72&lt;=depr_length+1),$B93*INDEX(MACRS_table,MATCH(J$72,recovery_year,0),MATCH(depr_length,recovery_period,0)),""))</f>
        <v>94811.764858207738</v>
      </c>
      <c r="K93" s="195">
        <f>IF(AND(Main!$B$79="Straight Line",K$72&lt;=depr_length),$B93/depr_length,IF(AND(Main!$B$79="MACRS",K$72&lt;=depr_length+1),$B93*INDEX(MACRS_table,MATCH(K$72,recovery_year,0),MATCH(depr_length,recovery_period,0)),""))</f>
        <v>93553.75824797056</v>
      </c>
      <c r="L93" s="195">
        <f>IF(AND(Main!$B$79="Straight Line",L$72&lt;=depr_length),$B93/depr_length,IF(AND(Main!$B$79="MACRS",L$72&lt;=depr_length+1),$B93*INDEX(MACRS_table,MATCH(L$72,recovery_year,0),MATCH(depr_length,recovery_period,0)),""))</f>
        <v>93532.791471133271</v>
      </c>
      <c r="M93" s="195">
        <f>IF(AND(Main!$B$79="Straight Line",M$72&lt;=depr_length),$B93/depr_length,IF(AND(Main!$B$79="MACRS",M$72&lt;=depr_length+1),$B93*INDEX(MACRS_table,MATCH(M$72,recovery_year,0),MATCH(depr_length,recovery_period,0)),""))</f>
        <v>93553.75824797056</v>
      </c>
      <c r="N93" s="195">
        <f>IF(AND(Main!$B$79="Straight Line",N$72&lt;=depr_length),$B93/depr_length,IF(AND(Main!$B$79="MACRS",N$72&lt;=depr_length+1),$B93*INDEX(MACRS_table,MATCH(N$72,recovery_year,0),MATCH(depr_length,recovery_period,0)),""))</f>
        <v>93532.791471133271</v>
      </c>
      <c r="O93" s="195">
        <f>IF(AND(Main!$B$79="Straight Line",O$72&lt;=depr_length),$B93/depr_length,IF(AND(Main!$B$79="MACRS",O$72&lt;=depr_length+1),$B93*INDEX(MACRS_table,MATCH(O$72,recovery_year,0),MATCH(depr_length,recovery_period,0)),""))</f>
        <v>93553.75824797056</v>
      </c>
      <c r="P93" s="195">
        <f>IF(AND(Main!$B$79="Straight Line",P$72&lt;=depr_length),$B93/depr_length,IF(AND(Main!$B$79="MACRS",P$72&lt;=depr_length+1),$B93*INDEX(MACRS_table,MATCH(P$72,recovery_year,0),MATCH(depr_length,recovery_period,0)),""))</f>
        <v>93532.791471133271</v>
      </c>
      <c r="Q93" s="195">
        <f>IF(AND(Main!$B$79="Straight Line",Q$72&lt;=depr_length),$B93/depr_length,IF(AND(Main!$B$79="MACRS",Q$72&lt;=depr_length+1),$B93*INDEX(MACRS_table,MATCH(Q$72,recovery_year,0),MATCH(depr_length,recovery_period,0)),""))</f>
        <v>93553.75824797056</v>
      </c>
      <c r="R93" s="195">
        <f>IF(AND(Main!$B$79="Straight Line",R$72&lt;=depr_length),$B93/depr_length,IF(AND(Main!$B$79="MACRS",R$72&lt;=depr_length+1),$B93*INDEX(MACRS_table,MATCH(R$72,recovery_year,0),MATCH(depr_length,recovery_period,0)),""))</f>
        <v>93532.791471133271</v>
      </c>
      <c r="S93" s="195">
        <f>IF(AND(Main!$B$79="Straight Line",S$72&lt;=depr_length),$B93/depr_length,IF(AND(Main!$B$79="MACRS",S$72&lt;=depr_length+1),$B93*INDEX(MACRS_table,MATCH(S$72,recovery_year,0),MATCH(depr_length,recovery_period,0)),""))</f>
        <v>93553.75824797056</v>
      </c>
      <c r="T93" s="195">
        <f>IF(AND(Main!$B$79="Straight Line",T$72&lt;=depr_length),$B93/depr_length,IF(AND(Main!$B$79="MACRS",T$72&lt;=depr_length+1),$B93*INDEX(MACRS_table,MATCH(T$72,recovery_year,0),MATCH(depr_length,recovery_period,0)),""))</f>
        <v>93532.791471133271</v>
      </c>
      <c r="U93" s="195">
        <f>IF(AND(Main!$B$79="Straight Line",U$72&lt;=depr_length),$B93/depr_length,IF(AND(Main!$B$79="MACRS",U$72&lt;=depr_length+1),$B93*INDEX(MACRS_table,MATCH(U$72,recovery_year,0),MATCH(depr_length,recovery_period,0)),""))</f>
        <v>93553.75824797056</v>
      </c>
      <c r="V93" s="195">
        <f>IF(AND(Main!$B$79="Straight Line",V$72&lt;=depr_length),$B93/depr_length,IF(AND(Main!$B$79="MACRS",V$72&lt;=depr_length+1),$B93*INDEX(MACRS_table,MATCH(V$72,recovery_year,0),MATCH(depr_length,recovery_period,0)),""))</f>
        <v>93532.791471133271</v>
      </c>
      <c r="W93" s="195">
        <f>IF(AND(Main!$B$79="Straight Line",W$72&lt;=depr_length),$B93/depr_length,IF(AND(Main!$B$79="MACRS",W$72&lt;=depr_length+1),$B93*INDEX(MACRS_table,MATCH(W$72,recovery_year,0),MATCH(depr_length,recovery_period,0)),""))</f>
        <v>46776.87912398528</v>
      </c>
      <c r="X93" s="196" cm="1">
        <f t="array" ref="X93">SUMPRODUCT((ROW($C$73:$W$113)-MIN(ROW(C93:W133))=MIN(COLUMN(C93:W133))-COLUMN($C$73:$W$113))*($C$73:$W$113))</f>
        <v>38433991.133157901</v>
      </c>
    </row>
    <row r="94" spans="1:24" x14ac:dyDescent="0.15">
      <c r="A94" s="115">
        <v>21</v>
      </c>
      <c r="B94" s="194">
        <f t="shared" si="20"/>
        <v>292121248.43996918</v>
      </c>
      <c r="C94" s="195">
        <f>IF(AND(Main!$B$79="Straight Line",C$72&lt;=depr_length),$B94/depr_length,IF(AND(Main!$B$79="MACRS",C$72&lt;=depr_length+1),$B94*INDEX(MACRS_table,MATCH(C$72,recovery_year,0),MATCH(depr_length,recovery_period,0)),""))</f>
        <v>10954546.816498844</v>
      </c>
      <c r="D94" s="195">
        <f>IF(AND(Main!$B$79="Straight Line",D$72&lt;=depr_length),$B94/depr_length,IF(AND(Main!$B$79="MACRS",D$72&lt;=depr_length+1),$B94*INDEX(MACRS_table,MATCH(D$72,recovery_year,0),MATCH(depr_length,recovery_period,0)),""))</f>
        <v>21088232.924881376</v>
      </c>
      <c r="E94" s="195">
        <f>IF(AND(Main!$B$79="Straight Line",E$72&lt;=depr_length),$B94/depr_length,IF(AND(Main!$B$79="MACRS",E$72&lt;=depr_length+1),$B94*INDEX(MACRS_table,MATCH(E$72,recovery_year,0),MATCH(depr_length,recovery_period,0)),""))</f>
        <v>19504935.758336741</v>
      </c>
      <c r="F94" s="195">
        <f>IF(AND(Main!$B$79="Straight Line",F$72&lt;=depr_length),$B94/depr_length,IF(AND(Main!$B$79="MACRS",F$72&lt;=depr_length+1),$B94*INDEX(MACRS_table,MATCH(F$72,recovery_year,0),MATCH(depr_length,recovery_period,0)),""))</f>
        <v>18044329.516136896</v>
      </c>
      <c r="G94" s="195">
        <f>IF(AND(Main!$B$79="Straight Line",G$72&lt;=depr_length),$B94/depr_length,IF(AND(Main!$B$79="MACRS",G$72&lt;=depr_length+1),$B94*INDEX(MACRS_table,MATCH(G$72,recovery_year,0),MATCH(depr_length,recovery_period,0)),""))</f>
        <v>16688886.923375439</v>
      </c>
      <c r="H94" s="195">
        <f>IF(AND(Main!$B$79="Straight Line",H$72&lt;=depr_length),$B94/depr_length,IF(AND(Main!$B$79="MACRS",H$72&lt;=depr_length+1),$B94*INDEX(MACRS_table,MATCH(H$72,recovery_year,0),MATCH(depr_length,recovery_period,0)),""))</f>
        <v>15438607.980052372</v>
      </c>
      <c r="I94" s="195">
        <f>IF(AND(Main!$B$79="Straight Line",I$72&lt;=depr_length),$B94/depr_length,IF(AND(Main!$B$79="MACRS",I$72&lt;=depr_length+1),$B94*INDEX(MACRS_table,MATCH(I$72,recovery_year,0),MATCH(depr_length,recovery_period,0)),""))</f>
        <v>14278886.623745693</v>
      </c>
      <c r="J94" s="195">
        <f>IF(AND(Main!$B$79="Straight Line",J$72&lt;=depr_length),$B94/depr_length,IF(AND(Main!$B$79="MACRS",J$72&lt;=depr_length+1),$B94*INDEX(MACRS_table,MATCH(J$72,recovery_year,0),MATCH(depr_length,recovery_period,0)),""))</f>
        <v>13209722.854455408</v>
      </c>
      <c r="K94" s="195">
        <f>IF(AND(Main!$B$79="Straight Line",K$72&lt;=depr_length),$B94/depr_length,IF(AND(Main!$B$79="MACRS",K$72&lt;=depr_length+1),$B94*INDEX(MACRS_table,MATCH(K$72,recovery_year,0),MATCH(depr_length,recovery_period,0)),""))</f>
        <v>13034450.105391424</v>
      </c>
      <c r="L94" s="195">
        <f>IF(AND(Main!$B$79="Straight Line",L$72&lt;=depr_length),$B94/depr_length,IF(AND(Main!$B$79="MACRS",L$72&lt;=depr_length+1),$B94*INDEX(MACRS_table,MATCH(L$72,recovery_year,0),MATCH(depr_length,recovery_period,0)),""))</f>
        <v>13031528.892907023</v>
      </c>
      <c r="M94" s="195">
        <f>IF(AND(Main!$B$79="Straight Line",M$72&lt;=depr_length),$B94/depr_length,IF(AND(Main!$B$79="MACRS",M$72&lt;=depr_length+1),$B94*INDEX(MACRS_table,MATCH(M$72,recovery_year,0),MATCH(depr_length,recovery_period,0)),""))</f>
        <v>13034450.105391424</v>
      </c>
      <c r="N94" s="195">
        <f>IF(AND(Main!$B$79="Straight Line",N$72&lt;=depr_length),$B94/depr_length,IF(AND(Main!$B$79="MACRS",N$72&lt;=depr_length+1),$B94*INDEX(MACRS_table,MATCH(N$72,recovery_year,0),MATCH(depr_length,recovery_period,0)),""))</f>
        <v>13031528.892907023</v>
      </c>
      <c r="O94" s="195">
        <f>IF(AND(Main!$B$79="Straight Line",O$72&lt;=depr_length),$B94/depr_length,IF(AND(Main!$B$79="MACRS",O$72&lt;=depr_length+1),$B94*INDEX(MACRS_table,MATCH(O$72,recovery_year,0),MATCH(depr_length,recovery_period,0)),""))</f>
        <v>13034450.105391424</v>
      </c>
      <c r="P94" s="195">
        <f>IF(AND(Main!$B$79="Straight Line",P$72&lt;=depr_length),$B94/depr_length,IF(AND(Main!$B$79="MACRS",P$72&lt;=depr_length+1),$B94*INDEX(MACRS_table,MATCH(P$72,recovery_year,0),MATCH(depr_length,recovery_period,0)),""))</f>
        <v>13031528.892907023</v>
      </c>
      <c r="Q94" s="195">
        <f>IF(AND(Main!$B$79="Straight Line",Q$72&lt;=depr_length),$B94/depr_length,IF(AND(Main!$B$79="MACRS",Q$72&lt;=depr_length+1),$B94*INDEX(MACRS_table,MATCH(Q$72,recovery_year,0),MATCH(depr_length,recovery_period,0)),""))</f>
        <v>13034450.105391424</v>
      </c>
      <c r="R94" s="195">
        <f>IF(AND(Main!$B$79="Straight Line",R$72&lt;=depr_length),$B94/depr_length,IF(AND(Main!$B$79="MACRS",R$72&lt;=depr_length+1),$B94*INDEX(MACRS_table,MATCH(R$72,recovery_year,0),MATCH(depr_length,recovery_period,0)),""))</f>
        <v>13031528.892907023</v>
      </c>
      <c r="S94" s="195">
        <f>IF(AND(Main!$B$79="Straight Line",S$72&lt;=depr_length),$B94/depr_length,IF(AND(Main!$B$79="MACRS",S$72&lt;=depr_length+1),$B94*INDEX(MACRS_table,MATCH(S$72,recovery_year,0),MATCH(depr_length,recovery_period,0)),""))</f>
        <v>13034450.105391424</v>
      </c>
      <c r="T94" s="195">
        <f>IF(AND(Main!$B$79="Straight Line",T$72&lt;=depr_length),$B94/depr_length,IF(AND(Main!$B$79="MACRS",T$72&lt;=depr_length+1),$B94*INDEX(MACRS_table,MATCH(T$72,recovery_year,0),MATCH(depr_length,recovery_period,0)),""))</f>
        <v>13031528.892907023</v>
      </c>
      <c r="U94" s="195">
        <f>IF(AND(Main!$B$79="Straight Line",U$72&lt;=depr_length),$B94/depr_length,IF(AND(Main!$B$79="MACRS",U$72&lt;=depr_length+1),$B94*INDEX(MACRS_table,MATCH(U$72,recovery_year,0),MATCH(depr_length,recovery_period,0)),""))</f>
        <v>13034450.105391424</v>
      </c>
      <c r="V94" s="195">
        <f>IF(AND(Main!$B$79="Straight Line",V$72&lt;=depr_length),$B94/depr_length,IF(AND(Main!$B$79="MACRS",V$72&lt;=depr_length+1),$B94*INDEX(MACRS_table,MATCH(V$72,recovery_year,0),MATCH(depr_length,recovery_period,0)),""))</f>
        <v>13031528.892907023</v>
      </c>
      <c r="W94" s="195">
        <f>IF(AND(Main!$B$79="Straight Line",W$72&lt;=depr_length),$B94/depr_length,IF(AND(Main!$B$79="MACRS",W$72&lt;=depr_length+1),$B94*INDEX(MACRS_table,MATCH(W$72,recovery_year,0),MATCH(depr_length,recovery_period,0)),""))</f>
        <v>6517225.0526957121</v>
      </c>
      <c r="X94" s="196" cm="1">
        <f t="array" ref="X94">SUMPRODUCT((ROW($C$73:$W$113)-MIN(ROW(C94:W134))=MIN(COLUMN(C94:W134))-COLUMN($C$73:$W$113))*($C$73:$W$113))</f>
        <v>40348013.257687859</v>
      </c>
    </row>
    <row r="95" spans="1:24" x14ac:dyDescent="0.15">
      <c r="A95" s="115">
        <v>22</v>
      </c>
      <c r="B95" s="194">
        <f t="shared" si="20"/>
        <v>2177108.3363541225</v>
      </c>
      <c r="C95" s="195">
        <f>IF(AND(Main!$B$79="Straight Line",C$72&lt;=depr_length),$B95/depr_length,IF(AND(Main!$B$79="MACRS",C$72&lt;=depr_length+1),$B95*INDEX(MACRS_table,MATCH(C$72,recovery_year,0),MATCH(depr_length,recovery_period,0)),""))</f>
        <v>81641.562613279588</v>
      </c>
      <c r="D95" s="195">
        <f>IF(AND(Main!$B$79="Straight Line",D$72&lt;=depr_length),$B95/depr_length,IF(AND(Main!$B$79="MACRS",D$72&lt;=depr_length+1),$B95*INDEX(MACRS_table,MATCH(D$72,recovery_year,0),MATCH(depr_length,recovery_period,0)),""))</f>
        <v>157165.45080140411</v>
      </c>
      <c r="E95" s="195">
        <f>IF(AND(Main!$B$79="Straight Line",E$72&lt;=depr_length),$B95/depr_length,IF(AND(Main!$B$79="MACRS",E$72&lt;=depr_length+1),$B95*INDEX(MACRS_table,MATCH(E$72,recovery_year,0),MATCH(depr_length,recovery_period,0)),""))</f>
        <v>145365.52361836476</v>
      </c>
      <c r="F95" s="195">
        <f>IF(AND(Main!$B$79="Straight Line",F$72&lt;=depr_length),$B95/depr_length,IF(AND(Main!$B$79="MACRS",F$72&lt;=depr_length+1),$B95*INDEX(MACRS_table,MATCH(F$72,recovery_year,0),MATCH(depr_length,recovery_period,0)),""))</f>
        <v>134479.98193659415</v>
      </c>
      <c r="G95" s="195">
        <f>IF(AND(Main!$B$79="Straight Line",G$72&lt;=depr_length),$B95/depr_length,IF(AND(Main!$B$79="MACRS",G$72&lt;=depr_length+1),$B95*INDEX(MACRS_table,MATCH(G$72,recovery_year,0),MATCH(depr_length,recovery_period,0)),""))</f>
        <v>124378.19925591102</v>
      </c>
      <c r="H95" s="195">
        <f>IF(AND(Main!$B$79="Straight Line",H$72&lt;=depr_length),$B95/depr_length,IF(AND(Main!$B$79="MACRS",H$72&lt;=depr_length+1),$B95*INDEX(MACRS_table,MATCH(H$72,recovery_year,0),MATCH(depr_length,recovery_period,0)),""))</f>
        <v>115060.17557631538</v>
      </c>
      <c r="I95" s="195">
        <f>IF(AND(Main!$B$79="Straight Line",I$72&lt;=depr_length),$B95/depr_length,IF(AND(Main!$B$79="MACRS",I$72&lt;=depr_length+1),$B95*INDEX(MACRS_table,MATCH(I$72,recovery_year,0),MATCH(depr_length,recovery_period,0)),""))</f>
        <v>106417.05548098951</v>
      </c>
      <c r="J95" s="195">
        <f>IF(AND(Main!$B$79="Straight Line",J$72&lt;=depr_length),$B95/depr_length,IF(AND(Main!$B$79="MACRS",J$72&lt;=depr_length+1),$B95*INDEX(MACRS_table,MATCH(J$72,recovery_year,0),MATCH(depr_length,recovery_period,0)),""))</f>
        <v>98448.838969933422</v>
      </c>
      <c r="K95" s="195">
        <f>IF(AND(Main!$B$79="Straight Line",K$72&lt;=depr_length),$B95/depr_length,IF(AND(Main!$B$79="MACRS",K$72&lt;=depr_length+1),$B95*INDEX(MACRS_table,MATCH(K$72,recovery_year,0),MATCH(depr_length,recovery_period,0)),""))</f>
        <v>97142.573968120952</v>
      </c>
      <c r="L95" s="195">
        <f>IF(AND(Main!$B$79="Straight Line",L$72&lt;=depr_length),$B95/depr_length,IF(AND(Main!$B$79="MACRS",L$72&lt;=depr_length+1),$B95*INDEX(MACRS_table,MATCH(L$72,recovery_year,0),MATCH(depr_length,recovery_period,0)),""))</f>
        <v>97120.802884757402</v>
      </c>
      <c r="M95" s="195">
        <f>IF(AND(Main!$B$79="Straight Line",M$72&lt;=depr_length),$B95/depr_length,IF(AND(Main!$B$79="MACRS",M$72&lt;=depr_length+1),$B95*INDEX(MACRS_table,MATCH(M$72,recovery_year,0),MATCH(depr_length,recovery_period,0)),""))</f>
        <v>97142.573968120952</v>
      </c>
      <c r="N95" s="195">
        <f>IF(AND(Main!$B$79="Straight Line",N$72&lt;=depr_length),$B95/depr_length,IF(AND(Main!$B$79="MACRS",N$72&lt;=depr_length+1),$B95*INDEX(MACRS_table,MATCH(N$72,recovery_year,0),MATCH(depr_length,recovery_period,0)),""))</f>
        <v>97120.802884757402</v>
      </c>
      <c r="O95" s="195">
        <f>IF(AND(Main!$B$79="Straight Line",O$72&lt;=depr_length),$B95/depr_length,IF(AND(Main!$B$79="MACRS",O$72&lt;=depr_length+1),$B95*INDEX(MACRS_table,MATCH(O$72,recovery_year,0),MATCH(depr_length,recovery_period,0)),""))</f>
        <v>97142.573968120952</v>
      </c>
      <c r="P95" s="195">
        <f>IF(AND(Main!$B$79="Straight Line",P$72&lt;=depr_length),$B95/depr_length,IF(AND(Main!$B$79="MACRS",P$72&lt;=depr_length+1),$B95*INDEX(MACRS_table,MATCH(P$72,recovery_year,0),MATCH(depr_length,recovery_period,0)),""))</f>
        <v>97120.802884757402</v>
      </c>
      <c r="Q95" s="195">
        <f>IF(AND(Main!$B$79="Straight Line",Q$72&lt;=depr_length),$B95/depr_length,IF(AND(Main!$B$79="MACRS",Q$72&lt;=depr_length+1),$B95*INDEX(MACRS_table,MATCH(Q$72,recovery_year,0),MATCH(depr_length,recovery_period,0)),""))</f>
        <v>97142.573968120952</v>
      </c>
      <c r="R95" s="195">
        <f>IF(AND(Main!$B$79="Straight Line",R$72&lt;=depr_length),$B95/depr_length,IF(AND(Main!$B$79="MACRS",R$72&lt;=depr_length+1),$B95*INDEX(MACRS_table,MATCH(R$72,recovery_year,0),MATCH(depr_length,recovery_period,0)),""))</f>
        <v>97120.802884757402</v>
      </c>
      <c r="S95" s="195">
        <f>IF(AND(Main!$B$79="Straight Line",S$72&lt;=depr_length),$B95/depr_length,IF(AND(Main!$B$79="MACRS",S$72&lt;=depr_length+1),$B95*INDEX(MACRS_table,MATCH(S$72,recovery_year,0),MATCH(depr_length,recovery_period,0)),""))</f>
        <v>97142.573968120952</v>
      </c>
      <c r="T95" s="195">
        <f>IF(AND(Main!$B$79="Straight Line",T$72&lt;=depr_length),$B95/depr_length,IF(AND(Main!$B$79="MACRS",T$72&lt;=depr_length+1),$B95*INDEX(MACRS_table,MATCH(T$72,recovery_year,0),MATCH(depr_length,recovery_period,0)),""))</f>
        <v>97120.802884757402</v>
      </c>
      <c r="U95" s="195">
        <f>IF(AND(Main!$B$79="Straight Line",U$72&lt;=depr_length),$B95/depr_length,IF(AND(Main!$B$79="MACRS",U$72&lt;=depr_length+1),$B95*INDEX(MACRS_table,MATCH(U$72,recovery_year,0),MATCH(depr_length,recovery_period,0)),""))</f>
        <v>97142.573968120952</v>
      </c>
      <c r="V95" s="195">
        <f>IF(AND(Main!$B$79="Straight Line",V$72&lt;=depr_length),$B95/depr_length,IF(AND(Main!$B$79="MACRS",V$72&lt;=depr_length+1),$B95*INDEX(MACRS_table,MATCH(V$72,recovery_year,0),MATCH(depr_length,recovery_period,0)),""))</f>
        <v>97120.802884757402</v>
      </c>
      <c r="W95" s="195">
        <f>IF(AND(Main!$B$79="Straight Line",W$72&lt;=depr_length),$B95/depr_length,IF(AND(Main!$B$79="MACRS",W$72&lt;=depr_length+1),$B95*INDEX(MACRS_table,MATCH(W$72,recovery_year,0),MATCH(depr_length,recovery_period,0)),""))</f>
        <v>48571.286984060476</v>
      </c>
      <c r="X95" s="196" cm="1">
        <f t="array" ref="X95">SUMPRODUCT((ROW($C$73:$W$113)-MIN(ROW(C95:W135))=MIN(COLUMN(C95:W135))-COLUMN($C$73:$W$113))*($C$73:$W$113))</f>
        <v>41437256.313409448</v>
      </c>
    </row>
    <row r="96" spans="1:24" x14ac:dyDescent="0.15">
      <c r="A96" s="115">
        <v>23</v>
      </c>
      <c r="B96" s="194">
        <f t="shared" si="20"/>
        <v>2218473.3947448512</v>
      </c>
      <c r="C96" s="195">
        <f>IF(AND(Main!$B$79="Straight Line",C$72&lt;=depr_length),$B96/depr_length,IF(AND(Main!$B$79="MACRS",C$72&lt;=depr_length+1),$B96*INDEX(MACRS_table,MATCH(C$72,recovery_year,0),MATCH(depr_length,recovery_period,0)),""))</f>
        <v>83192.752302931913</v>
      </c>
      <c r="D96" s="195">
        <f>IF(AND(Main!$B$79="Straight Line",D$72&lt;=depr_length),$B96/depr_length,IF(AND(Main!$B$79="MACRS",D$72&lt;=depr_length+1),$B96*INDEX(MACRS_table,MATCH(D$72,recovery_year,0),MATCH(depr_length,recovery_period,0)),""))</f>
        <v>160151.5943666308</v>
      </c>
      <c r="E96" s="195">
        <f>IF(AND(Main!$B$79="Straight Line",E$72&lt;=depr_length),$B96/depr_length,IF(AND(Main!$B$79="MACRS",E$72&lt;=depr_length+1),$B96*INDEX(MACRS_table,MATCH(E$72,recovery_year,0),MATCH(depr_length,recovery_period,0)),""))</f>
        <v>148127.46856711371</v>
      </c>
      <c r="F96" s="195">
        <f>IF(AND(Main!$B$79="Straight Line",F$72&lt;=depr_length),$B96/depr_length,IF(AND(Main!$B$79="MACRS",F$72&lt;=depr_length+1),$B96*INDEX(MACRS_table,MATCH(F$72,recovery_year,0),MATCH(depr_length,recovery_period,0)),""))</f>
        <v>137035.10159338947</v>
      </c>
      <c r="G96" s="195">
        <f>IF(AND(Main!$B$79="Straight Line",G$72&lt;=depr_length),$B96/depr_length,IF(AND(Main!$B$79="MACRS",G$72&lt;=depr_length+1),$B96*INDEX(MACRS_table,MATCH(G$72,recovery_year,0),MATCH(depr_length,recovery_period,0)),""))</f>
        <v>126741.38504177335</v>
      </c>
      <c r="H96" s="195">
        <f>IF(AND(Main!$B$79="Straight Line",H$72&lt;=depr_length),$B96/depr_length,IF(AND(Main!$B$79="MACRS",H$72&lt;=depr_length+1),$B96*INDEX(MACRS_table,MATCH(H$72,recovery_year,0),MATCH(depr_length,recovery_period,0)),""))</f>
        <v>117246.31891226539</v>
      </c>
      <c r="I96" s="195">
        <f>IF(AND(Main!$B$79="Straight Line",I$72&lt;=depr_length),$B96/depr_length,IF(AND(Main!$B$79="MACRS",I$72&lt;=depr_length+1),$B96*INDEX(MACRS_table,MATCH(I$72,recovery_year,0),MATCH(depr_length,recovery_period,0)),""))</f>
        <v>108438.97953512832</v>
      </c>
      <c r="J96" s="195">
        <f>IF(AND(Main!$B$79="Straight Line",J$72&lt;=depr_length),$B96/depr_length,IF(AND(Main!$B$79="MACRS",J$72&lt;=depr_length+1),$B96*INDEX(MACRS_table,MATCH(J$72,recovery_year,0),MATCH(depr_length,recovery_period,0)),""))</f>
        <v>100319.36691036218</v>
      </c>
      <c r="K96" s="195">
        <f>IF(AND(Main!$B$79="Straight Line",K$72&lt;=depr_length),$B96/depr_length,IF(AND(Main!$B$79="MACRS",K$72&lt;=depr_length+1),$B96*INDEX(MACRS_table,MATCH(K$72,recovery_year,0),MATCH(depr_length,recovery_period,0)),""))</f>
        <v>98988.282873515258</v>
      </c>
      <c r="L96" s="195">
        <f>IF(AND(Main!$B$79="Straight Line",L$72&lt;=depr_length),$B96/depr_length,IF(AND(Main!$B$79="MACRS",L$72&lt;=depr_length+1),$B96*INDEX(MACRS_table,MATCH(L$72,recovery_year,0),MATCH(depr_length,recovery_period,0)),""))</f>
        <v>98966.09813956781</v>
      </c>
      <c r="M96" s="195">
        <f>IF(AND(Main!$B$79="Straight Line",M$72&lt;=depr_length),$B96/depr_length,IF(AND(Main!$B$79="MACRS",M$72&lt;=depr_length+1),$B96*INDEX(MACRS_table,MATCH(M$72,recovery_year,0),MATCH(depr_length,recovery_period,0)),""))</f>
        <v>98988.282873515258</v>
      </c>
      <c r="N96" s="195">
        <f>IF(AND(Main!$B$79="Straight Line",N$72&lt;=depr_length),$B96/depr_length,IF(AND(Main!$B$79="MACRS",N$72&lt;=depr_length+1),$B96*INDEX(MACRS_table,MATCH(N$72,recovery_year,0),MATCH(depr_length,recovery_period,0)),""))</f>
        <v>98966.09813956781</v>
      </c>
      <c r="O96" s="195">
        <f>IF(AND(Main!$B$79="Straight Line",O$72&lt;=depr_length),$B96/depr_length,IF(AND(Main!$B$79="MACRS",O$72&lt;=depr_length+1),$B96*INDEX(MACRS_table,MATCH(O$72,recovery_year,0),MATCH(depr_length,recovery_period,0)),""))</f>
        <v>98988.282873515258</v>
      </c>
      <c r="P96" s="195">
        <f>IF(AND(Main!$B$79="Straight Line",P$72&lt;=depr_length),$B96/depr_length,IF(AND(Main!$B$79="MACRS",P$72&lt;=depr_length+1),$B96*INDEX(MACRS_table,MATCH(P$72,recovery_year,0),MATCH(depr_length,recovery_period,0)),""))</f>
        <v>98966.09813956781</v>
      </c>
      <c r="Q96" s="195">
        <f>IF(AND(Main!$B$79="Straight Line",Q$72&lt;=depr_length),$B96/depr_length,IF(AND(Main!$B$79="MACRS",Q$72&lt;=depr_length+1),$B96*INDEX(MACRS_table,MATCH(Q$72,recovery_year,0),MATCH(depr_length,recovery_period,0)),""))</f>
        <v>98988.282873515258</v>
      </c>
      <c r="R96" s="195">
        <f>IF(AND(Main!$B$79="Straight Line",R$72&lt;=depr_length),$B96/depr_length,IF(AND(Main!$B$79="MACRS",R$72&lt;=depr_length+1),$B96*INDEX(MACRS_table,MATCH(R$72,recovery_year,0),MATCH(depr_length,recovery_period,0)),""))</f>
        <v>98966.09813956781</v>
      </c>
      <c r="S96" s="195">
        <f>IF(AND(Main!$B$79="Straight Line",S$72&lt;=depr_length),$B96/depr_length,IF(AND(Main!$B$79="MACRS",S$72&lt;=depr_length+1),$B96*INDEX(MACRS_table,MATCH(S$72,recovery_year,0),MATCH(depr_length,recovery_period,0)),""))</f>
        <v>98988.282873515258</v>
      </c>
      <c r="T96" s="195">
        <f>IF(AND(Main!$B$79="Straight Line",T$72&lt;=depr_length),$B96/depr_length,IF(AND(Main!$B$79="MACRS",T$72&lt;=depr_length+1),$B96*INDEX(MACRS_table,MATCH(T$72,recovery_year,0),MATCH(depr_length,recovery_period,0)),""))</f>
        <v>98966.09813956781</v>
      </c>
      <c r="U96" s="195">
        <f>IF(AND(Main!$B$79="Straight Line",U$72&lt;=depr_length),$B96/depr_length,IF(AND(Main!$B$79="MACRS",U$72&lt;=depr_length+1),$B96*INDEX(MACRS_table,MATCH(U$72,recovery_year,0),MATCH(depr_length,recovery_period,0)),""))</f>
        <v>98988.282873515258</v>
      </c>
      <c r="V96" s="195">
        <f>IF(AND(Main!$B$79="Straight Line",V$72&lt;=depr_length),$B96/depr_length,IF(AND(Main!$B$79="MACRS",V$72&lt;=depr_length+1),$B96*INDEX(MACRS_table,MATCH(V$72,recovery_year,0),MATCH(depr_length,recovery_period,0)),""))</f>
        <v>98966.09813956781</v>
      </c>
      <c r="W96" s="195">
        <f>IF(AND(Main!$B$79="Straight Line",W$72&lt;=depr_length),$B96/depr_length,IF(AND(Main!$B$79="MACRS",W$72&lt;=depr_length+1),$B96*INDEX(MACRS_table,MATCH(W$72,recovery_year,0),MATCH(depr_length,recovery_period,0)),""))</f>
        <v>49494.141436757629</v>
      </c>
      <c r="X96" s="196" cm="1">
        <f t="array" ref="X96">SUMPRODUCT((ROW($C$73:$W$113)-MIN(ROW(C96:W136))=MIN(COLUMN(C96:W136))-COLUMN($C$73:$W$113))*($C$73:$W$113))</f>
        <v>39563564.812216714</v>
      </c>
    </row>
    <row r="97" spans="1:24" x14ac:dyDescent="0.15">
      <c r="A97" s="115">
        <v>24</v>
      </c>
      <c r="B97" s="194">
        <f t="shared" si="20"/>
        <v>2260624.389245003</v>
      </c>
      <c r="C97" s="195">
        <f>IF(AND(Main!$B$79="Straight Line",C$72&lt;=depr_length),$B97/depr_length,IF(AND(Main!$B$79="MACRS",C$72&lt;=depr_length+1),$B97*INDEX(MACRS_table,MATCH(C$72,recovery_year,0),MATCH(depr_length,recovery_period,0)),""))</f>
        <v>84773.414596687609</v>
      </c>
      <c r="D97" s="195">
        <f>IF(AND(Main!$B$79="Straight Line",D$72&lt;=depr_length),$B97/depr_length,IF(AND(Main!$B$79="MACRS",D$72&lt;=depr_length+1),$B97*INDEX(MACRS_table,MATCH(D$72,recovery_year,0),MATCH(depr_length,recovery_period,0)),""))</f>
        <v>163194.47465959677</v>
      </c>
      <c r="E97" s="195">
        <f>IF(AND(Main!$B$79="Straight Line",E$72&lt;=depr_length),$B97/depr_length,IF(AND(Main!$B$79="MACRS",E$72&lt;=depr_length+1),$B97*INDEX(MACRS_table,MATCH(E$72,recovery_year,0),MATCH(depr_length,recovery_period,0)),""))</f>
        <v>150941.89046988884</v>
      </c>
      <c r="F97" s="195">
        <f>IF(AND(Main!$B$79="Straight Line",F$72&lt;=depr_length),$B97/depr_length,IF(AND(Main!$B$79="MACRS",F$72&lt;=depr_length+1),$B97*INDEX(MACRS_table,MATCH(F$72,recovery_year,0),MATCH(depr_length,recovery_period,0)),""))</f>
        <v>139638.76852366384</v>
      </c>
      <c r="G97" s="195">
        <f>IF(AND(Main!$B$79="Straight Line",G$72&lt;=depr_length),$B97/depr_length,IF(AND(Main!$B$79="MACRS",G$72&lt;=depr_length+1),$B97*INDEX(MACRS_table,MATCH(G$72,recovery_year,0),MATCH(depr_length,recovery_period,0)),""))</f>
        <v>129149.47135756702</v>
      </c>
      <c r="H97" s="195">
        <f>IF(AND(Main!$B$79="Straight Line",H$72&lt;=depr_length),$B97/depr_length,IF(AND(Main!$B$79="MACRS",H$72&lt;=depr_length+1),$B97*INDEX(MACRS_table,MATCH(H$72,recovery_year,0),MATCH(depr_length,recovery_period,0)),""))</f>
        <v>119473.99897159841</v>
      </c>
      <c r="I97" s="195">
        <f>IF(AND(Main!$B$79="Straight Line",I$72&lt;=depr_length),$B97/depr_length,IF(AND(Main!$B$79="MACRS",I$72&lt;=depr_length+1),$B97*INDEX(MACRS_table,MATCH(I$72,recovery_year,0),MATCH(depr_length,recovery_period,0)),""))</f>
        <v>110499.32014629575</v>
      </c>
      <c r="J97" s="195">
        <f>IF(AND(Main!$B$79="Straight Line",J$72&lt;=depr_length),$B97/depr_length,IF(AND(Main!$B$79="MACRS",J$72&lt;=depr_length+1),$B97*INDEX(MACRS_table,MATCH(J$72,recovery_year,0),MATCH(depr_length,recovery_period,0)),""))</f>
        <v>102225.43488165905</v>
      </c>
      <c r="K97" s="195">
        <f>IF(AND(Main!$B$79="Straight Line",K$72&lt;=depr_length),$B97/depr_length,IF(AND(Main!$B$79="MACRS",K$72&lt;=depr_length+1),$B97*INDEX(MACRS_table,MATCH(K$72,recovery_year,0),MATCH(depr_length,recovery_period,0)),""))</f>
        <v>100869.06024811203</v>
      </c>
      <c r="L97" s="195">
        <f>IF(AND(Main!$B$79="Straight Line",L$72&lt;=depr_length),$B97/depr_length,IF(AND(Main!$B$79="MACRS",L$72&lt;=depr_length+1),$B97*INDEX(MACRS_table,MATCH(L$72,recovery_year,0),MATCH(depr_length,recovery_period,0)),""))</f>
        <v>100846.45400421957</v>
      </c>
      <c r="M97" s="195">
        <f>IF(AND(Main!$B$79="Straight Line",M$72&lt;=depr_length),$B97/depr_length,IF(AND(Main!$B$79="MACRS",M$72&lt;=depr_length+1),$B97*INDEX(MACRS_table,MATCH(M$72,recovery_year,0),MATCH(depr_length,recovery_period,0)),""))</f>
        <v>100869.06024811203</v>
      </c>
      <c r="N97" s="195">
        <f>IF(AND(Main!$B$79="Straight Line",N$72&lt;=depr_length),$B97/depr_length,IF(AND(Main!$B$79="MACRS",N$72&lt;=depr_length+1),$B97*INDEX(MACRS_table,MATCH(N$72,recovery_year,0),MATCH(depr_length,recovery_period,0)),""))</f>
        <v>100846.45400421957</v>
      </c>
      <c r="O97" s="195">
        <f>IF(AND(Main!$B$79="Straight Line",O$72&lt;=depr_length),$B97/depr_length,IF(AND(Main!$B$79="MACRS",O$72&lt;=depr_length+1),$B97*INDEX(MACRS_table,MATCH(O$72,recovery_year,0),MATCH(depr_length,recovery_period,0)),""))</f>
        <v>100869.06024811203</v>
      </c>
      <c r="P97" s="195">
        <f>IF(AND(Main!$B$79="Straight Line",P$72&lt;=depr_length),$B97/depr_length,IF(AND(Main!$B$79="MACRS",P$72&lt;=depr_length+1),$B97*INDEX(MACRS_table,MATCH(P$72,recovery_year,0),MATCH(depr_length,recovery_period,0)),""))</f>
        <v>100846.45400421957</v>
      </c>
      <c r="Q97" s="195">
        <f>IF(AND(Main!$B$79="Straight Line",Q$72&lt;=depr_length),$B97/depr_length,IF(AND(Main!$B$79="MACRS",Q$72&lt;=depr_length+1),$B97*INDEX(MACRS_table,MATCH(Q$72,recovery_year,0),MATCH(depr_length,recovery_period,0)),""))</f>
        <v>100869.06024811203</v>
      </c>
      <c r="R97" s="195">
        <f>IF(AND(Main!$B$79="Straight Line",R$72&lt;=depr_length),$B97/depr_length,IF(AND(Main!$B$79="MACRS",R$72&lt;=depr_length+1),$B97*INDEX(MACRS_table,MATCH(R$72,recovery_year,0),MATCH(depr_length,recovery_period,0)),""))</f>
        <v>100846.45400421957</v>
      </c>
      <c r="S97" s="195">
        <f>IF(AND(Main!$B$79="Straight Line",S$72&lt;=depr_length),$B97/depr_length,IF(AND(Main!$B$79="MACRS",S$72&lt;=depr_length+1),$B97*INDEX(MACRS_table,MATCH(S$72,recovery_year,0),MATCH(depr_length,recovery_period,0)),""))</f>
        <v>100869.06024811203</v>
      </c>
      <c r="T97" s="195">
        <f>IF(AND(Main!$B$79="Straight Line",T$72&lt;=depr_length),$B97/depr_length,IF(AND(Main!$B$79="MACRS",T$72&lt;=depr_length+1),$B97*INDEX(MACRS_table,MATCH(T$72,recovery_year,0),MATCH(depr_length,recovery_period,0)),""))</f>
        <v>100846.45400421957</v>
      </c>
      <c r="U97" s="195">
        <f>IF(AND(Main!$B$79="Straight Line",U$72&lt;=depr_length),$B97/depr_length,IF(AND(Main!$B$79="MACRS",U$72&lt;=depr_length+1),$B97*INDEX(MACRS_table,MATCH(U$72,recovery_year,0),MATCH(depr_length,recovery_period,0)),""))</f>
        <v>100869.06024811203</v>
      </c>
      <c r="V97" s="195">
        <f>IF(AND(Main!$B$79="Straight Line",V$72&lt;=depr_length),$B97/depr_length,IF(AND(Main!$B$79="MACRS",V$72&lt;=depr_length+1),$B97*INDEX(MACRS_table,MATCH(V$72,recovery_year,0),MATCH(depr_length,recovery_period,0)),""))</f>
        <v>100846.45400421957</v>
      </c>
      <c r="W97" s="195">
        <f>IF(AND(Main!$B$79="Straight Line",W$72&lt;=depr_length),$B97/depr_length,IF(AND(Main!$B$79="MACRS",W$72&lt;=depr_length+1),$B97*INDEX(MACRS_table,MATCH(W$72,recovery_year,0),MATCH(depr_length,recovery_period,0)),""))</f>
        <v>50434.530124056015</v>
      </c>
      <c r="X97" s="196" cm="1">
        <f t="array" ref="X97">SUMPRODUCT((ROW($C$73:$W$113)-MIN(ROW(C97:W137))=MIN(COLUMN(C97:W137))-COLUMN($C$73:$W$113))*($C$73:$W$113))</f>
        <v>38092186.264443256</v>
      </c>
    </row>
    <row r="98" spans="1:24" x14ac:dyDescent="0.15">
      <c r="A98" s="115">
        <v>25</v>
      </c>
      <c r="B98" s="194">
        <f t="shared" si="20"/>
        <v>2303576.2526406581</v>
      </c>
      <c r="C98" s="195">
        <f>IF(AND(Main!$B$79="Straight Line",C$72&lt;=depr_length),$B98/depr_length,IF(AND(Main!$B$79="MACRS",C$72&lt;=depr_length+1),$B98*INDEX(MACRS_table,MATCH(C$72,recovery_year,0),MATCH(depr_length,recovery_period,0)),""))</f>
        <v>86384.109474024677</v>
      </c>
      <c r="D98" s="195">
        <f>IF(AND(Main!$B$79="Straight Line",D$72&lt;=depr_length),$B98/depr_length,IF(AND(Main!$B$79="MACRS",D$72&lt;=depr_length+1),$B98*INDEX(MACRS_table,MATCH(D$72,recovery_year,0),MATCH(depr_length,recovery_period,0)),""))</f>
        <v>166295.16967812911</v>
      </c>
      <c r="E98" s="195">
        <f>IF(AND(Main!$B$79="Straight Line",E$72&lt;=depr_length),$B98/depr_length,IF(AND(Main!$B$79="MACRS",E$72&lt;=depr_length+1),$B98*INDEX(MACRS_table,MATCH(E$72,recovery_year,0),MATCH(depr_length,recovery_period,0)),""))</f>
        <v>153809.78638881672</v>
      </c>
      <c r="F98" s="195">
        <f>IF(AND(Main!$B$79="Straight Line",F$72&lt;=depr_length),$B98/depr_length,IF(AND(Main!$B$79="MACRS",F$72&lt;=depr_length+1),$B98*INDEX(MACRS_table,MATCH(F$72,recovery_year,0),MATCH(depr_length,recovery_period,0)),""))</f>
        <v>142291.90512561344</v>
      </c>
      <c r="G98" s="195">
        <f>IF(AND(Main!$B$79="Straight Line",G$72&lt;=depr_length),$B98/depr_length,IF(AND(Main!$B$79="MACRS",G$72&lt;=depr_length+1),$B98*INDEX(MACRS_table,MATCH(G$72,recovery_year,0),MATCH(depr_length,recovery_period,0)),""))</f>
        <v>131603.31131336078</v>
      </c>
      <c r="H98" s="195">
        <f>IF(AND(Main!$B$79="Straight Line",H$72&lt;=depr_length),$B98/depr_length,IF(AND(Main!$B$79="MACRS",H$72&lt;=depr_length+1),$B98*INDEX(MACRS_table,MATCH(H$72,recovery_year,0),MATCH(depr_length,recovery_period,0)),""))</f>
        <v>121744.00495205878</v>
      </c>
      <c r="I98" s="195">
        <f>IF(AND(Main!$B$79="Straight Line",I$72&lt;=depr_length),$B98/depr_length,IF(AND(Main!$B$79="MACRS",I$72&lt;=depr_length+1),$B98*INDEX(MACRS_table,MATCH(I$72,recovery_year,0),MATCH(depr_length,recovery_period,0)),""))</f>
        <v>112598.80722907536</v>
      </c>
      <c r="J98" s="195">
        <f>IF(AND(Main!$B$79="Straight Line",J$72&lt;=depr_length),$B98/depr_length,IF(AND(Main!$B$79="MACRS",J$72&lt;=depr_length+1),$B98*INDEX(MACRS_table,MATCH(J$72,recovery_year,0),MATCH(depr_length,recovery_period,0)),""))</f>
        <v>104167.71814441057</v>
      </c>
      <c r="K98" s="195">
        <f>IF(AND(Main!$B$79="Straight Line",K$72&lt;=depr_length),$B98/depr_length,IF(AND(Main!$B$79="MACRS",K$72&lt;=depr_length+1),$B98*INDEX(MACRS_table,MATCH(K$72,recovery_year,0),MATCH(depr_length,recovery_period,0)),""))</f>
        <v>102785.57239282616</v>
      </c>
      <c r="L98" s="195">
        <f>IF(AND(Main!$B$79="Straight Line",L$72&lt;=depr_length),$B98/depr_length,IF(AND(Main!$B$79="MACRS",L$72&lt;=depr_length+1),$B98*INDEX(MACRS_table,MATCH(L$72,recovery_year,0),MATCH(depr_length,recovery_period,0)),""))</f>
        <v>102762.53663029974</v>
      </c>
      <c r="M98" s="195">
        <f>IF(AND(Main!$B$79="Straight Line",M$72&lt;=depr_length),$B98/depr_length,IF(AND(Main!$B$79="MACRS",M$72&lt;=depr_length+1),$B98*INDEX(MACRS_table,MATCH(M$72,recovery_year,0),MATCH(depr_length,recovery_period,0)),""))</f>
        <v>102785.57239282616</v>
      </c>
      <c r="N98" s="195">
        <f>IF(AND(Main!$B$79="Straight Line",N$72&lt;=depr_length),$B98/depr_length,IF(AND(Main!$B$79="MACRS",N$72&lt;=depr_length+1),$B98*INDEX(MACRS_table,MATCH(N$72,recovery_year,0),MATCH(depr_length,recovery_period,0)),""))</f>
        <v>102762.53663029974</v>
      </c>
      <c r="O98" s="195">
        <f>IF(AND(Main!$B$79="Straight Line",O$72&lt;=depr_length),$B98/depr_length,IF(AND(Main!$B$79="MACRS",O$72&lt;=depr_length+1),$B98*INDEX(MACRS_table,MATCH(O$72,recovery_year,0),MATCH(depr_length,recovery_period,0)),""))</f>
        <v>102785.57239282616</v>
      </c>
      <c r="P98" s="195">
        <f>IF(AND(Main!$B$79="Straight Line",P$72&lt;=depr_length),$B98/depr_length,IF(AND(Main!$B$79="MACRS",P$72&lt;=depr_length+1),$B98*INDEX(MACRS_table,MATCH(P$72,recovery_year,0),MATCH(depr_length,recovery_period,0)),""))</f>
        <v>102762.53663029974</v>
      </c>
      <c r="Q98" s="195">
        <f>IF(AND(Main!$B$79="Straight Line",Q$72&lt;=depr_length),$B98/depr_length,IF(AND(Main!$B$79="MACRS",Q$72&lt;=depr_length+1),$B98*INDEX(MACRS_table,MATCH(Q$72,recovery_year,0),MATCH(depr_length,recovery_period,0)),""))</f>
        <v>102785.57239282616</v>
      </c>
      <c r="R98" s="195">
        <f>IF(AND(Main!$B$79="Straight Line",R$72&lt;=depr_length),$B98/depr_length,IF(AND(Main!$B$79="MACRS",R$72&lt;=depr_length+1),$B98*INDEX(MACRS_table,MATCH(R$72,recovery_year,0),MATCH(depr_length,recovery_period,0)),""))</f>
        <v>102762.53663029974</v>
      </c>
      <c r="S98" s="195">
        <f>IF(AND(Main!$B$79="Straight Line",S$72&lt;=depr_length),$B98/depr_length,IF(AND(Main!$B$79="MACRS",S$72&lt;=depr_length+1),$B98*INDEX(MACRS_table,MATCH(S$72,recovery_year,0),MATCH(depr_length,recovery_period,0)),""))</f>
        <v>102785.57239282616</v>
      </c>
      <c r="T98" s="195">
        <f>IF(AND(Main!$B$79="Straight Line",T$72&lt;=depr_length),$B98/depr_length,IF(AND(Main!$B$79="MACRS",T$72&lt;=depr_length+1),$B98*INDEX(MACRS_table,MATCH(T$72,recovery_year,0),MATCH(depr_length,recovery_period,0)),""))</f>
        <v>102762.53663029974</v>
      </c>
      <c r="U98" s="195">
        <f>IF(AND(Main!$B$79="Straight Line",U$72&lt;=depr_length),$B98/depr_length,IF(AND(Main!$B$79="MACRS",U$72&lt;=depr_length+1),$B98*INDEX(MACRS_table,MATCH(U$72,recovery_year,0),MATCH(depr_length,recovery_period,0)),""))</f>
        <v>102785.57239282616</v>
      </c>
      <c r="V98" s="195">
        <f>IF(AND(Main!$B$79="Straight Line",V$72&lt;=depr_length),$B98/depr_length,IF(AND(Main!$B$79="MACRS",V$72&lt;=depr_length+1),$B98*INDEX(MACRS_table,MATCH(V$72,recovery_year,0),MATCH(depr_length,recovery_period,0)),""))</f>
        <v>102762.53663029974</v>
      </c>
      <c r="W98" s="195">
        <f>IF(AND(Main!$B$79="Straight Line",W$72&lt;=depr_length),$B98/depr_length,IF(AND(Main!$B$79="MACRS",W$72&lt;=depr_length+1),$B98*INDEX(MACRS_table,MATCH(W$72,recovery_year,0),MATCH(depr_length,recovery_period,0)),""))</f>
        <v>51392.786196413079</v>
      </c>
      <c r="X98" s="196" cm="1">
        <f t="array" ref="X98">SUMPRODUCT((ROW($C$73:$W$113)-MIN(ROW(C98:W138))=MIN(COLUMN(C98:W138))-COLUMN($C$73:$W$113))*($C$73:$W$113))</f>
        <v>36783741.641575038</v>
      </c>
    </row>
    <row r="99" spans="1:24" x14ac:dyDescent="0.15">
      <c r="A99" s="115">
        <v>26</v>
      </c>
      <c r="B99" s="194">
        <f t="shared" si="20"/>
        <v>114033493.61716512</v>
      </c>
      <c r="C99" s="195">
        <f>IF(AND(Main!$B$79="Straight Line",C$72&lt;=depr_length),$B99/depr_length,IF(AND(Main!$B$79="MACRS",C$72&lt;=depr_length+1),$B99*INDEX(MACRS_table,MATCH(C$72,recovery_year,0),MATCH(depr_length,recovery_period,0)),""))</f>
        <v>4276256.0106436918</v>
      </c>
      <c r="D99" s="195">
        <f>IF(AND(Main!$B$79="Straight Line",D$72&lt;=depr_length),$B99/depr_length,IF(AND(Main!$B$79="MACRS",D$72&lt;=depr_length+1),$B99*INDEX(MACRS_table,MATCH(D$72,recovery_year,0),MATCH(depr_length,recovery_period,0)),""))</f>
        <v>8232077.9042231506</v>
      </c>
      <c r="E99" s="195">
        <f>IF(AND(Main!$B$79="Straight Line",E$72&lt;=depr_length),$B99/depr_length,IF(AND(Main!$B$79="MACRS",E$72&lt;=depr_length+1),$B99*INDEX(MACRS_table,MATCH(E$72,recovery_year,0),MATCH(depr_length,recovery_period,0)),""))</f>
        <v>7614016.3688181145</v>
      </c>
      <c r="F99" s="195">
        <f>IF(AND(Main!$B$79="Straight Line",F$72&lt;=depr_length),$B99/depr_length,IF(AND(Main!$B$79="MACRS",F$72&lt;=depr_length+1),$B99*INDEX(MACRS_table,MATCH(F$72,recovery_year,0),MATCH(depr_length,recovery_period,0)),""))</f>
        <v>7043848.9007322891</v>
      </c>
      <c r="G99" s="195">
        <f>IF(AND(Main!$B$79="Straight Line",G$72&lt;=depr_length),$B99/depr_length,IF(AND(Main!$B$79="MACRS",G$72&lt;=depr_length+1),$B99*INDEX(MACRS_table,MATCH(G$72,recovery_year,0),MATCH(depr_length,recovery_period,0)),""))</f>
        <v>6514733.4903486436</v>
      </c>
      <c r="H99" s="195">
        <f>IF(AND(Main!$B$79="Straight Line",H$72&lt;=depr_length),$B99/depr_length,IF(AND(Main!$B$79="MACRS",H$72&lt;=depr_length+1),$B99*INDEX(MACRS_table,MATCH(H$72,recovery_year,0),MATCH(depr_length,recovery_period,0)),""))</f>
        <v>6026670.1376671763</v>
      </c>
      <c r="I99" s="195">
        <f>IF(AND(Main!$B$79="Straight Line",I$72&lt;=depr_length),$B99/depr_length,IF(AND(Main!$B$79="MACRS",I$72&lt;=depr_length+1),$B99*INDEX(MACRS_table,MATCH(I$72,recovery_year,0),MATCH(depr_length,recovery_period,0)),""))</f>
        <v>5573957.1680070311</v>
      </c>
      <c r="J99" s="195">
        <f>IF(AND(Main!$B$79="Straight Line",J$72&lt;=depr_length),$B99/depr_length,IF(AND(Main!$B$79="MACRS",J$72&lt;=depr_length+1),$B99*INDEX(MACRS_table,MATCH(J$72,recovery_year,0),MATCH(depr_length,recovery_period,0)),""))</f>
        <v>5156594.581368207</v>
      </c>
      <c r="K99" s="195">
        <f>IF(AND(Main!$B$79="Straight Line",K$72&lt;=depr_length),$B99/depr_length,IF(AND(Main!$B$79="MACRS",K$72&lt;=depr_length+1),$B99*INDEX(MACRS_table,MATCH(K$72,recovery_year,0),MATCH(depr_length,recovery_period,0)),""))</f>
        <v>5088174.4851979073</v>
      </c>
      <c r="L99" s="195">
        <f>IF(AND(Main!$B$79="Straight Line",L$72&lt;=depr_length),$B99/depr_length,IF(AND(Main!$B$79="MACRS",L$72&lt;=depr_length+1),$B99*INDEX(MACRS_table,MATCH(L$72,recovery_year,0),MATCH(depr_length,recovery_period,0)),""))</f>
        <v>5087034.1502617355</v>
      </c>
      <c r="M99" s="195">
        <f>IF(AND(Main!$B$79="Straight Line",M$72&lt;=depr_length),$B99/depr_length,IF(AND(Main!$B$79="MACRS",M$72&lt;=depr_length+1),$B99*INDEX(MACRS_table,MATCH(M$72,recovery_year,0),MATCH(depr_length,recovery_period,0)),""))</f>
        <v>5088174.4851979073</v>
      </c>
      <c r="N99" s="195">
        <f>IF(AND(Main!$B$79="Straight Line",N$72&lt;=depr_length),$B99/depr_length,IF(AND(Main!$B$79="MACRS",N$72&lt;=depr_length+1),$B99*INDEX(MACRS_table,MATCH(N$72,recovery_year,0),MATCH(depr_length,recovery_period,0)),""))</f>
        <v>5087034.1502617355</v>
      </c>
      <c r="O99" s="195">
        <f>IF(AND(Main!$B$79="Straight Line",O$72&lt;=depr_length),$B99/depr_length,IF(AND(Main!$B$79="MACRS",O$72&lt;=depr_length+1),$B99*INDEX(MACRS_table,MATCH(O$72,recovery_year,0),MATCH(depr_length,recovery_period,0)),""))</f>
        <v>5088174.4851979073</v>
      </c>
      <c r="P99" s="195">
        <f>IF(AND(Main!$B$79="Straight Line",P$72&lt;=depr_length),$B99/depr_length,IF(AND(Main!$B$79="MACRS",P$72&lt;=depr_length+1),$B99*INDEX(MACRS_table,MATCH(P$72,recovery_year,0),MATCH(depr_length,recovery_period,0)),""))</f>
        <v>5087034.1502617355</v>
      </c>
      <c r="Q99" s="195">
        <f>IF(AND(Main!$B$79="Straight Line",Q$72&lt;=depr_length),$B99/depr_length,IF(AND(Main!$B$79="MACRS",Q$72&lt;=depr_length+1),$B99*INDEX(MACRS_table,MATCH(Q$72,recovery_year,0),MATCH(depr_length,recovery_period,0)),""))</f>
        <v>5088174.4851979073</v>
      </c>
      <c r="R99" s="195">
        <f>IF(AND(Main!$B$79="Straight Line",R$72&lt;=depr_length),$B99/depr_length,IF(AND(Main!$B$79="MACRS",R$72&lt;=depr_length+1),$B99*INDEX(MACRS_table,MATCH(R$72,recovery_year,0),MATCH(depr_length,recovery_period,0)),""))</f>
        <v>5087034.1502617355</v>
      </c>
      <c r="S99" s="195">
        <f>IF(AND(Main!$B$79="Straight Line",S$72&lt;=depr_length),$B99/depr_length,IF(AND(Main!$B$79="MACRS",S$72&lt;=depr_length+1),$B99*INDEX(MACRS_table,MATCH(S$72,recovery_year,0),MATCH(depr_length,recovery_period,0)),""))</f>
        <v>5088174.4851979073</v>
      </c>
      <c r="T99" s="195">
        <f>IF(AND(Main!$B$79="Straight Line",T$72&lt;=depr_length),$B99/depr_length,IF(AND(Main!$B$79="MACRS",T$72&lt;=depr_length+1),$B99*INDEX(MACRS_table,MATCH(T$72,recovery_year,0),MATCH(depr_length,recovery_period,0)),""))</f>
        <v>5087034.1502617355</v>
      </c>
      <c r="U99" s="195">
        <f>IF(AND(Main!$B$79="Straight Line",U$72&lt;=depr_length),$B99/depr_length,IF(AND(Main!$B$79="MACRS",U$72&lt;=depr_length+1),$B99*INDEX(MACRS_table,MATCH(U$72,recovery_year,0),MATCH(depr_length,recovery_period,0)),""))</f>
        <v>5088174.4851979073</v>
      </c>
      <c r="V99" s="195">
        <f>IF(AND(Main!$B$79="Straight Line",V$72&lt;=depr_length),$B99/depr_length,IF(AND(Main!$B$79="MACRS",V$72&lt;=depr_length+1),$B99*INDEX(MACRS_table,MATCH(V$72,recovery_year,0),MATCH(depr_length,recovery_period,0)),""))</f>
        <v>5087034.1502617355</v>
      </c>
      <c r="W99" s="195">
        <f>IF(AND(Main!$B$79="Straight Line",W$72&lt;=depr_length),$B99/depr_length,IF(AND(Main!$B$79="MACRS",W$72&lt;=depr_length+1),$B99*INDEX(MACRS_table,MATCH(W$72,recovery_year,0),MATCH(depr_length,recovery_period,0)),""))</f>
        <v>2544087.2425989537</v>
      </c>
      <c r="X99" s="196" cm="1">
        <f t="array" ref="X99">SUMPRODUCT((ROW($C$73:$W$113)-MIN(ROW(C99:W139))=MIN(COLUMN(C99:W139))-COLUMN($C$73:$W$113))*($C$73:$W$113))</f>
        <v>38057116.871713333</v>
      </c>
    </row>
    <row r="100" spans="1:24" x14ac:dyDescent="0.15">
      <c r="A100" s="115">
        <v>27</v>
      </c>
      <c r="B100" s="194">
        <f t="shared" si="20"/>
        <v>2391943.7412682059</v>
      </c>
      <c r="C100" s="195">
        <f>IF(AND(Main!$B$79="Straight Line",C$72&lt;=depr_length),$B100/depr_length,IF(AND(Main!$B$79="MACRS",C$72&lt;=depr_length+1),$B100*INDEX(MACRS_table,MATCH(C$72,recovery_year,0),MATCH(depr_length,recovery_period,0)),""))</f>
        <v>89697.890297557722</v>
      </c>
      <c r="D100" s="195">
        <f>IF(AND(Main!$B$79="Straight Line",D$72&lt;=depr_length),$B100/depr_length,IF(AND(Main!$B$79="MACRS",D$72&lt;=depr_length+1),$B100*INDEX(MACRS_table,MATCH(D$72,recovery_year,0),MATCH(depr_length,recovery_period,0)),""))</f>
        <v>172674.41868215179</v>
      </c>
      <c r="E100" s="195">
        <f>IF(AND(Main!$B$79="Straight Line",E$72&lt;=depr_length),$B100/depr_length,IF(AND(Main!$B$79="MACRS",E$72&lt;=depr_length+1),$B100*INDEX(MACRS_table,MATCH(E$72,recovery_year,0),MATCH(depr_length,recovery_period,0)),""))</f>
        <v>159710.0836044781</v>
      </c>
      <c r="F100" s="195">
        <f>IF(AND(Main!$B$79="Straight Line",F$72&lt;=depr_length),$B100/depr_length,IF(AND(Main!$B$79="MACRS",F$72&lt;=depr_length+1),$B100*INDEX(MACRS_table,MATCH(F$72,recovery_year,0),MATCH(depr_length,recovery_period,0)),""))</f>
        <v>147750.36489813708</v>
      </c>
      <c r="G100" s="195">
        <f>IF(AND(Main!$B$79="Straight Line",G$72&lt;=depr_length),$B100/depr_length,IF(AND(Main!$B$79="MACRS",G$72&lt;=depr_length+1),$B100*INDEX(MACRS_table,MATCH(G$72,recovery_year,0),MATCH(depr_length,recovery_period,0)),""))</f>
        <v>136651.7459386526</v>
      </c>
      <c r="H100" s="195">
        <f>IF(AND(Main!$B$79="Straight Line",H$72&lt;=depr_length),$B100/depr_length,IF(AND(Main!$B$79="MACRS",H$72&lt;=depr_length+1),$B100*INDEX(MACRS_table,MATCH(H$72,recovery_year,0),MATCH(depr_length,recovery_period,0)),""))</f>
        <v>126414.22672602469</v>
      </c>
      <c r="I100" s="195">
        <f>IF(AND(Main!$B$79="Straight Line",I$72&lt;=depr_length),$B100/depr_length,IF(AND(Main!$B$79="MACRS",I$72&lt;=depr_length+1),$B100*INDEX(MACRS_table,MATCH(I$72,recovery_year,0),MATCH(depr_length,recovery_period,0)),""))</f>
        <v>116918.21007318991</v>
      </c>
      <c r="J100" s="195">
        <f>IF(AND(Main!$B$79="Straight Line",J$72&lt;=depr_length),$B100/depr_length,IF(AND(Main!$B$79="MACRS",J$72&lt;=depr_length+1),$B100*INDEX(MACRS_table,MATCH(J$72,recovery_year,0),MATCH(depr_length,recovery_period,0)),""))</f>
        <v>108163.69598014827</v>
      </c>
      <c r="K100" s="195">
        <f>IF(AND(Main!$B$79="Straight Line",K$72&lt;=depr_length),$B100/depr_length,IF(AND(Main!$B$79="MACRS",K$72&lt;=depr_length+1),$B100*INDEX(MACRS_table,MATCH(K$72,recovery_year,0),MATCH(depr_length,recovery_period,0)),""))</f>
        <v>106728.52973538735</v>
      </c>
      <c r="L100" s="195">
        <f>IF(AND(Main!$B$79="Straight Line",L$72&lt;=depr_length),$B100/depr_length,IF(AND(Main!$B$79="MACRS",L$72&lt;=depr_length+1),$B100*INDEX(MACRS_table,MATCH(L$72,recovery_year,0),MATCH(depr_length,recovery_period,0)),""))</f>
        <v>106704.61029797466</v>
      </c>
      <c r="M100" s="195">
        <f>IF(AND(Main!$B$79="Straight Line",M$72&lt;=depr_length),$B100/depr_length,IF(AND(Main!$B$79="MACRS",M$72&lt;=depr_length+1),$B100*INDEX(MACRS_table,MATCH(M$72,recovery_year,0),MATCH(depr_length,recovery_period,0)),""))</f>
        <v>106728.52973538735</v>
      </c>
      <c r="N100" s="195">
        <f>IF(AND(Main!$B$79="Straight Line",N$72&lt;=depr_length),$B100/depr_length,IF(AND(Main!$B$79="MACRS",N$72&lt;=depr_length+1),$B100*INDEX(MACRS_table,MATCH(N$72,recovery_year,0),MATCH(depr_length,recovery_period,0)),""))</f>
        <v>106704.61029797466</v>
      </c>
      <c r="O100" s="195">
        <f>IF(AND(Main!$B$79="Straight Line",O$72&lt;=depr_length),$B100/depr_length,IF(AND(Main!$B$79="MACRS",O$72&lt;=depr_length+1),$B100*INDEX(MACRS_table,MATCH(O$72,recovery_year,0),MATCH(depr_length,recovery_period,0)),""))</f>
        <v>106728.52973538735</v>
      </c>
      <c r="P100" s="195">
        <f>IF(AND(Main!$B$79="Straight Line",P$72&lt;=depr_length),$B100/depr_length,IF(AND(Main!$B$79="MACRS",P$72&lt;=depr_length+1),$B100*INDEX(MACRS_table,MATCH(P$72,recovery_year,0),MATCH(depr_length,recovery_period,0)),""))</f>
        <v>106704.61029797466</v>
      </c>
      <c r="Q100" s="195">
        <f>IF(AND(Main!$B$79="Straight Line",Q$72&lt;=depr_length),$B100/depr_length,IF(AND(Main!$B$79="MACRS",Q$72&lt;=depr_length+1),$B100*INDEX(MACRS_table,MATCH(Q$72,recovery_year,0),MATCH(depr_length,recovery_period,0)),""))</f>
        <v>106728.52973538735</v>
      </c>
      <c r="R100" s="195">
        <f>IF(AND(Main!$B$79="Straight Line",R$72&lt;=depr_length),$B100/depr_length,IF(AND(Main!$B$79="MACRS",R$72&lt;=depr_length+1),$B100*INDEX(MACRS_table,MATCH(R$72,recovery_year,0),MATCH(depr_length,recovery_period,0)),""))</f>
        <v>106704.61029797466</v>
      </c>
      <c r="S100" s="195">
        <f>IF(AND(Main!$B$79="Straight Line",S$72&lt;=depr_length),$B100/depr_length,IF(AND(Main!$B$79="MACRS",S$72&lt;=depr_length+1),$B100*INDEX(MACRS_table,MATCH(S$72,recovery_year,0),MATCH(depr_length,recovery_period,0)),""))</f>
        <v>106728.52973538735</v>
      </c>
      <c r="T100" s="195">
        <f>IF(AND(Main!$B$79="Straight Line",T$72&lt;=depr_length),$B100/depr_length,IF(AND(Main!$B$79="MACRS",T$72&lt;=depr_length+1),$B100*INDEX(MACRS_table,MATCH(T$72,recovery_year,0),MATCH(depr_length,recovery_period,0)),""))</f>
        <v>106704.61029797466</v>
      </c>
      <c r="U100" s="195">
        <f>IF(AND(Main!$B$79="Straight Line",U$72&lt;=depr_length),$B100/depr_length,IF(AND(Main!$B$79="MACRS",U$72&lt;=depr_length+1),$B100*INDEX(MACRS_table,MATCH(U$72,recovery_year,0),MATCH(depr_length,recovery_period,0)),""))</f>
        <v>106728.52973538735</v>
      </c>
      <c r="V100" s="195">
        <f>IF(AND(Main!$B$79="Straight Line",V$72&lt;=depr_length),$B100/depr_length,IF(AND(Main!$B$79="MACRS",V$72&lt;=depr_length+1),$B100*INDEX(MACRS_table,MATCH(V$72,recovery_year,0),MATCH(depr_length,recovery_period,0)),""))</f>
        <v>106704.61029797466</v>
      </c>
      <c r="W100" s="195">
        <f>IF(AND(Main!$B$79="Straight Line",W$72&lt;=depr_length),$B100/depr_length,IF(AND(Main!$B$79="MACRS",W$72&lt;=depr_length+1),$B100*INDEX(MACRS_table,MATCH(W$72,recovery_year,0),MATCH(depr_length,recovery_period,0)),""))</f>
        <v>53364.264867693673</v>
      </c>
      <c r="X100" s="196" cm="1">
        <f t="array" ref="X100">SUMPRODUCT((ROW($C$73:$W$113)-MIN(ROW(C100:W140))=MIN(COLUMN(C100:W140))-COLUMN($C$73:$W$113))*($C$73:$W$113))</f>
        <v>39109441.193485297</v>
      </c>
    </row>
    <row r="101" spans="1:24" x14ac:dyDescent="0.15">
      <c r="A101" s="115">
        <v>28</v>
      </c>
      <c r="B101" s="194">
        <f t="shared" si="20"/>
        <v>2437390.6723523019</v>
      </c>
      <c r="C101" s="195">
        <f>IF(AND(Main!$B$79="Straight Line",C$72&lt;=depr_length),$B101/depr_length,IF(AND(Main!$B$79="MACRS",C$72&lt;=depr_length+1),$B101*INDEX(MACRS_table,MATCH(C$72,recovery_year,0),MATCH(depr_length,recovery_period,0)),""))</f>
        <v>91402.150213211324</v>
      </c>
      <c r="D101" s="195">
        <f>IF(AND(Main!$B$79="Straight Line",D$72&lt;=depr_length),$B101/depr_length,IF(AND(Main!$B$79="MACRS",D$72&lt;=depr_length+1),$B101*INDEX(MACRS_table,MATCH(D$72,recovery_year,0),MATCH(depr_length,recovery_period,0)),""))</f>
        <v>175955.23263711267</v>
      </c>
      <c r="E101" s="195">
        <f>IF(AND(Main!$B$79="Straight Line",E$72&lt;=depr_length),$B101/depr_length,IF(AND(Main!$B$79="MACRS",E$72&lt;=depr_length+1),$B101*INDEX(MACRS_table,MATCH(E$72,recovery_year,0),MATCH(depr_length,recovery_period,0)),""))</f>
        <v>162744.57519296318</v>
      </c>
      <c r="F101" s="195">
        <f>IF(AND(Main!$B$79="Straight Line",F$72&lt;=depr_length),$B101/depr_length,IF(AND(Main!$B$79="MACRS",F$72&lt;=depr_length+1),$B101*INDEX(MACRS_table,MATCH(F$72,recovery_year,0),MATCH(depr_length,recovery_period,0)),""))</f>
        <v>150557.62183120169</v>
      </c>
      <c r="G101" s="195">
        <f>IF(AND(Main!$B$79="Straight Line",G$72&lt;=depr_length),$B101/depr_length,IF(AND(Main!$B$79="MACRS",G$72&lt;=depr_length+1),$B101*INDEX(MACRS_table,MATCH(G$72,recovery_year,0),MATCH(depr_length,recovery_period,0)),""))</f>
        <v>139248.12911148701</v>
      </c>
      <c r="H101" s="195">
        <f>IF(AND(Main!$B$79="Straight Line",H$72&lt;=depr_length),$B101/depr_length,IF(AND(Main!$B$79="MACRS",H$72&lt;=depr_length+1),$B101*INDEX(MACRS_table,MATCH(H$72,recovery_year,0),MATCH(depr_length,recovery_period,0)),""))</f>
        <v>128816.09703381915</v>
      </c>
      <c r="I101" s="195">
        <f>IF(AND(Main!$B$79="Straight Line",I$72&lt;=depr_length),$B101/depr_length,IF(AND(Main!$B$79="MACRS",I$72&lt;=depr_length+1),$B101*INDEX(MACRS_table,MATCH(I$72,recovery_year,0),MATCH(depr_length,recovery_period,0)),""))</f>
        <v>119139.65606458051</v>
      </c>
      <c r="J101" s="195">
        <f>IF(AND(Main!$B$79="Straight Line",J$72&lt;=depr_length),$B101/depr_length,IF(AND(Main!$B$79="MACRS",J$72&lt;=depr_length+1),$B101*INDEX(MACRS_table,MATCH(J$72,recovery_year,0),MATCH(depr_length,recovery_period,0)),""))</f>
        <v>110218.80620377111</v>
      </c>
      <c r="K101" s="195">
        <f>IF(AND(Main!$B$79="Straight Line",K$72&lt;=depr_length),$B101/depr_length,IF(AND(Main!$B$79="MACRS",K$72&lt;=depr_length+1),$B101*INDEX(MACRS_table,MATCH(K$72,recovery_year,0),MATCH(depr_length,recovery_period,0)),""))</f>
        <v>108756.37180035972</v>
      </c>
      <c r="L101" s="195">
        <f>IF(AND(Main!$B$79="Straight Line",L$72&lt;=depr_length),$B101/depr_length,IF(AND(Main!$B$79="MACRS",L$72&lt;=depr_length+1),$B101*INDEX(MACRS_table,MATCH(L$72,recovery_year,0),MATCH(depr_length,recovery_period,0)),""))</f>
        <v>108731.99789363617</v>
      </c>
      <c r="M101" s="195">
        <f>IF(AND(Main!$B$79="Straight Line",M$72&lt;=depr_length),$B101/depr_length,IF(AND(Main!$B$79="MACRS",M$72&lt;=depr_length+1),$B101*INDEX(MACRS_table,MATCH(M$72,recovery_year,0),MATCH(depr_length,recovery_period,0)),""))</f>
        <v>108756.37180035972</v>
      </c>
      <c r="N101" s="195">
        <f>IF(AND(Main!$B$79="Straight Line",N$72&lt;=depr_length),$B101/depr_length,IF(AND(Main!$B$79="MACRS",N$72&lt;=depr_length+1),$B101*INDEX(MACRS_table,MATCH(N$72,recovery_year,0),MATCH(depr_length,recovery_period,0)),""))</f>
        <v>108731.99789363617</v>
      </c>
      <c r="O101" s="195">
        <f>IF(AND(Main!$B$79="Straight Line",O$72&lt;=depr_length),$B101/depr_length,IF(AND(Main!$B$79="MACRS",O$72&lt;=depr_length+1),$B101*INDEX(MACRS_table,MATCH(O$72,recovery_year,0),MATCH(depr_length,recovery_period,0)),""))</f>
        <v>108756.37180035972</v>
      </c>
      <c r="P101" s="195">
        <f>IF(AND(Main!$B$79="Straight Line",P$72&lt;=depr_length),$B101/depr_length,IF(AND(Main!$B$79="MACRS",P$72&lt;=depr_length+1),$B101*INDEX(MACRS_table,MATCH(P$72,recovery_year,0),MATCH(depr_length,recovery_period,0)),""))</f>
        <v>108731.99789363617</v>
      </c>
      <c r="Q101" s="195">
        <f>IF(AND(Main!$B$79="Straight Line",Q$72&lt;=depr_length),$B101/depr_length,IF(AND(Main!$B$79="MACRS",Q$72&lt;=depr_length+1),$B101*INDEX(MACRS_table,MATCH(Q$72,recovery_year,0),MATCH(depr_length,recovery_period,0)),""))</f>
        <v>108756.37180035972</v>
      </c>
      <c r="R101" s="195">
        <f>IF(AND(Main!$B$79="Straight Line",R$72&lt;=depr_length),$B101/depr_length,IF(AND(Main!$B$79="MACRS",R$72&lt;=depr_length+1),$B101*INDEX(MACRS_table,MATCH(R$72,recovery_year,0),MATCH(depr_length,recovery_period,0)),""))</f>
        <v>108731.99789363617</v>
      </c>
      <c r="S101" s="195">
        <f>IF(AND(Main!$B$79="Straight Line",S$72&lt;=depr_length),$B101/depr_length,IF(AND(Main!$B$79="MACRS",S$72&lt;=depr_length+1),$B101*INDEX(MACRS_table,MATCH(S$72,recovery_year,0),MATCH(depr_length,recovery_period,0)),""))</f>
        <v>108756.37180035972</v>
      </c>
      <c r="T101" s="195">
        <f>IF(AND(Main!$B$79="Straight Line",T$72&lt;=depr_length),$B101/depr_length,IF(AND(Main!$B$79="MACRS",T$72&lt;=depr_length+1),$B101*INDEX(MACRS_table,MATCH(T$72,recovery_year,0),MATCH(depr_length,recovery_period,0)),""))</f>
        <v>108731.99789363617</v>
      </c>
      <c r="U101" s="195">
        <f>IF(AND(Main!$B$79="Straight Line",U$72&lt;=depr_length),$B101/depr_length,IF(AND(Main!$B$79="MACRS",U$72&lt;=depr_length+1),$B101*INDEX(MACRS_table,MATCH(U$72,recovery_year,0),MATCH(depr_length,recovery_period,0)),""))</f>
        <v>108756.37180035972</v>
      </c>
      <c r="V101" s="195">
        <f>IF(AND(Main!$B$79="Straight Line",V$72&lt;=depr_length),$B101/depr_length,IF(AND(Main!$B$79="MACRS",V$72&lt;=depr_length+1),$B101*INDEX(MACRS_table,MATCH(V$72,recovery_year,0),MATCH(depr_length,recovery_period,0)),""))</f>
        <v>108731.99789363617</v>
      </c>
      <c r="W101" s="195">
        <f>IF(AND(Main!$B$79="Straight Line",W$72&lt;=depr_length),$B101/depr_length,IF(AND(Main!$B$79="MACRS",W$72&lt;=depr_length+1),$B101*INDEX(MACRS_table,MATCH(W$72,recovery_year,0),MATCH(depr_length,recovery_period,0)),""))</f>
        <v>54378.185900179858</v>
      </c>
      <c r="X101" s="196" cm="1">
        <f t="array" ref="X101">SUMPRODUCT((ROW($C$73:$W$113)-MIN(ROW(C101:W141))=MIN(COLUMN(C101:W141))-COLUMN($C$73:$W$113))*($C$73:$W$113))</f>
        <v>37479767.970564499</v>
      </c>
    </row>
    <row r="102" spans="1:24" x14ac:dyDescent="0.15">
      <c r="A102" s="115">
        <v>29</v>
      </c>
      <c r="B102" s="194">
        <f t="shared" si="20"/>
        <v>2483701.0951269949</v>
      </c>
      <c r="C102" s="195">
        <f>IF(AND(Main!$B$79="Straight Line",C$72&lt;=depr_length),$B102/depr_length,IF(AND(Main!$B$79="MACRS",C$72&lt;=depr_length+1),$B102*INDEX(MACRS_table,MATCH(C$72,recovery_year,0),MATCH(depr_length,recovery_period,0)),""))</f>
        <v>93138.791067262311</v>
      </c>
      <c r="D102" s="195">
        <f>IF(AND(Main!$B$79="Straight Line",D$72&lt;=depr_length),$B102/depr_length,IF(AND(Main!$B$79="MACRS",D$72&lt;=depr_length+1),$B102*INDEX(MACRS_table,MATCH(D$72,recovery_year,0),MATCH(depr_length,recovery_period,0)),""))</f>
        <v>179298.38205721776</v>
      </c>
      <c r="E102" s="195">
        <f>IF(AND(Main!$B$79="Straight Line",E$72&lt;=depr_length),$B102/depr_length,IF(AND(Main!$B$79="MACRS",E$72&lt;=depr_length+1),$B102*INDEX(MACRS_table,MATCH(E$72,recovery_year,0),MATCH(depr_length,recovery_period,0)),""))</f>
        <v>165836.72212162943</v>
      </c>
      <c r="F102" s="195">
        <f>IF(AND(Main!$B$79="Straight Line",F$72&lt;=depr_length),$B102/depr_length,IF(AND(Main!$B$79="MACRS",F$72&lt;=depr_length+1),$B102*INDEX(MACRS_table,MATCH(F$72,recovery_year,0),MATCH(depr_length,recovery_period,0)),""))</f>
        <v>153418.21664599446</v>
      </c>
      <c r="G102" s="195">
        <f>IF(AND(Main!$B$79="Straight Line",G$72&lt;=depr_length),$B102/depr_length,IF(AND(Main!$B$79="MACRS",G$72&lt;=depr_length+1),$B102*INDEX(MACRS_table,MATCH(G$72,recovery_year,0),MATCH(depr_length,recovery_period,0)),""))</f>
        <v>141893.84356460522</v>
      </c>
      <c r="H102" s="195">
        <f>IF(AND(Main!$B$79="Straight Line",H$72&lt;=depr_length),$B102/depr_length,IF(AND(Main!$B$79="MACRS",H$72&lt;=depr_length+1),$B102*INDEX(MACRS_table,MATCH(H$72,recovery_year,0),MATCH(depr_length,recovery_period,0)),""))</f>
        <v>131263.60287746167</v>
      </c>
      <c r="I102" s="195">
        <f>IF(AND(Main!$B$79="Straight Line",I$72&lt;=depr_length),$B102/depr_length,IF(AND(Main!$B$79="MACRS",I$72&lt;=depr_length+1),$B102*INDEX(MACRS_table,MATCH(I$72,recovery_year,0),MATCH(depr_length,recovery_period,0)),""))</f>
        <v>121403.30952980751</v>
      </c>
      <c r="J102" s="195">
        <f>IF(AND(Main!$B$79="Straight Line",J$72&lt;=depr_length),$B102/depr_length,IF(AND(Main!$B$79="MACRS",J$72&lt;=depr_length+1),$B102*INDEX(MACRS_table,MATCH(J$72,recovery_year,0),MATCH(depr_length,recovery_period,0)),""))</f>
        <v>112312.96352164271</v>
      </c>
      <c r="K102" s="195">
        <f>IF(AND(Main!$B$79="Straight Line",K$72&lt;=depr_length),$B102/depr_length,IF(AND(Main!$B$79="MACRS",K$72&lt;=depr_length+1),$B102*INDEX(MACRS_table,MATCH(K$72,recovery_year,0),MATCH(depr_length,recovery_period,0)),""))</f>
        <v>110822.74286456651</v>
      </c>
      <c r="L102" s="195">
        <f>IF(AND(Main!$B$79="Straight Line",L$72&lt;=depr_length),$B102/depr_length,IF(AND(Main!$B$79="MACRS",L$72&lt;=depr_length+1),$B102*INDEX(MACRS_table,MATCH(L$72,recovery_year,0),MATCH(depr_length,recovery_period,0)),""))</f>
        <v>110797.90585361523</v>
      </c>
      <c r="M102" s="195">
        <f>IF(AND(Main!$B$79="Straight Line",M$72&lt;=depr_length),$B102/depr_length,IF(AND(Main!$B$79="MACRS",M$72&lt;=depr_length+1),$B102*INDEX(MACRS_table,MATCH(M$72,recovery_year,0),MATCH(depr_length,recovery_period,0)),""))</f>
        <v>110822.74286456651</v>
      </c>
      <c r="N102" s="195">
        <f>IF(AND(Main!$B$79="Straight Line",N$72&lt;=depr_length),$B102/depr_length,IF(AND(Main!$B$79="MACRS",N$72&lt;=depr_length+1),$B102*INDEX(MACRS_table,MATCH(N$72,recovery_year,0),MATCH(depr_length,recovery_period,0)),""))</f>
        <v>110797.90585361523</v>
      </c>
      <c r="O102" s="195">
        <f>IF(AND(Main!$B$79="Straight Line",O$72&lt;=depr_length),$B102/depr_length,IF(AND(Main!$B$79="MACRS",O$72&lt;=depr_length+1),$B102*INDEX(MACRS_table,MATCH(O$72,recovery_year,0),MATCH(depr_length,recovery_period,0)),""))</f>
        <v>110822.74286456651</v>
      </c>
      <c r="P102" s="195">
        <f>IF(AND(Main!$B$79="Straight Line",P$72&lt;=depr_length),$B102/depr_length,IF(AND(Main!$B$79="MACRS",P$72&lt;=depr_length+1),$B102*INDEX(MACRS_table,MATCH(P$72,recovery_year,0),MATCH(depr_length,recovery_period,0)),""))</f>
        <v>110797.90585361523</v>
      </c>
      <c r="Q102" s="195">
        <f>IF(AND(Main!$B$79="Straight Line",Q$72&lt;=depr_length),$B102/depr_length,IF(AND(Main!$B$79="MACRS",Q$72&lt;=depr_length+1),$B102*INDEX(MACRS_table,MATCH(Q$72,recovery_year,0),MATCH(depr_length,recovery_period,0)),""))</f>
        <v>110822.74286456651</v>
      </c>
      <c r="R102" s="195">
        <f>IF(AND(Main!$B$79="Straight Line",R$72&lt;=depr_length),$B102/depr_length,IF(AND(Main!$B$79="MACRS",R$72&lt;=depr_length+1),$B102*INDEX(MACRS_table,MATCH(R$72,recovery_year,0),MATCH(depr_length,recovery_period,0)),""))</f>
        <v>110797.90585361523</v>
      </c>
      <c r="S102" s="195">
        <f>IF(AND(Main!$B$79="Straight Line",S$72&lt;=depr_length),$B102/depr_length,IF(AND(Main!$B$79="MACRS",S$72&lt;=depr_length+1),$B102*INDEX(MACRS_table,MATCH(S$72,recovery_year,0),MATCH(depr_length,recovery_period,0)),""))</f>
        <v>110822.74286456651</v>
      </c>
      <c r="T102" s="195">
        <f>IF(AND(Main!$B$79="Straight Line",T$72&lt;=depr_length),$B102/depr_length,IF(AND(Main!$B$79="MACRS",T$72&lt;=depr_length+1),$B102*INDEX(MACRS_table,MATCH(T$72,recovery_year,0),MATCH(depr_length,recovery_period,0)),""))</f>
        <v>110797.90585361523</v>
      </c>
      <c r="U102" s="195">
        <f>IF(AND(Main!$B$79="Straight Line",U$72&lt;=depr_length),$B102/depr_length,IF(AND(Main!$B$79="MACRS",U$72&lt;=depr_length+1),$B102*INDEX(MACRS_table,MATCH(U$72,recovery_year,0),MATCH(depr_length,recovery_period,0)),""))</f>
        <v>110822.74286456651</v>
      </c>
      <c r="V102" s="195">
        <f>IF(AND(Main!$B$79="Straight Line",V$72&lt;=depr_length),$B102/depr_length,IF(AND(Main!$B$79="MACRS",V$72&lt;=depr_length+1),$B102*INDEX(MACRS_table,MATCH(V$72,recovery_year,0),MATCH(depr_length,recovery_period,0)),""))</f>
        <v>110797.90585361523</v>
      </c>
      <c r="W102" s="195">
        <f>IF(AND(Main!$B$79="Straight Line",W$72&lt;=depr_length),$B102/depr_length,IF(AND(Main!$B$79="MACRS",W$72&lt;=depr_length+1),$B102*INDEX(MACRS_table,MATCH(W$72,recovery_year,0),MATCH(depr_length,recovery_period,0)),""))</f>
        <v>55411.371432283253</v>
      </c>
      <c r="X102" s="196" cm="1">
        <f t="array" ref="X102">SUMPRODUCT((ROW($C$73:$W$113)-MIN(ROW(C102:W142))=MIN(COLUMN(C102:W142))-COLUMN($C$73:$W$113))*($C$73:$W$113))</f>
        <v>36788041.641408242</v>
      </c>
    </row>
    <row r="103" spans="1:24" x14ac:dyDescent="0.15">
      <c r="A103" s="115">
        <v>30</v>
      </c>
      <c r="B103" s="194">
        <f t="shared" si="20"/>
        <v>2530891.4159344076</v>
      </c>
      <c r="C103" s="195">
        <f>IF(AND(Main!$B$79="Straight Line",C$72&lt;=depr_length),$B103/depr_length,IF(AND(Main!$B$79="MACRS",C$72&lt;=depr_length+1),$B103*INDEX(MACRS_table,MATCH(C$72,recovery_year,0),MATCH(depr_length,recovery_period,0)),""))</f>
        <v>94908.42809754028</v>
      </c>
      <c r="D103" s="195">
        <f>IF(AND(Main!$B$79="Straight Line",D$72&lt;=depr_length),$B103/depr_length,IF(AND(Main!$B$79="MACRS",D$72&lt;=depr_length+1),$B103*INDEX(MACRS_table,MATCH(D$72,recovery_year,0),MATCH(depr_length,recovery_period,0)),""))</f>
        <v>182705.05131630489</v>
      </c>
      <c r="E103" s="195">
        <f>IF(AND(Main!$B$79="Straight Line",E$72&lt;=depr_length),$B103/depr_length,IF(AND(Main!$B$79="MACRS",E$72&lt;=depr_length+1),$B103*INDEX(MACRS_table,MATCH(E$72,recovery_year,0),MATCH(depr_length,recovery_period,0)),""))</f>
        <v>168987.61984194038</v>
      </c>
      <c r="F103" s="195">
        <f>IF(AND(Main!$B$79="Straight Line",F$72&lt;=depr_length),$B103/depr_length,IF(AND(Main!$B$79="MACRS",F$72&lt;=depr_length+1),$B103*INDEX(MACRS_table,MATCH(F$72,recovery_year,0),MATCH(depr_length,recovery_period,0)),""))</f>
        <v>156333.16276226836</v>
      </c>
      <c r="G103" s="195">
        <f>IF(AND(Main!$B$79="Straight Line",G$72&lt;=depr_length),$B103/depr_length,IF(AND(Main!$B$79="MACRS",G$72&lt;=depr_length+1),$B103*INDEX(MACRS_table,MATCH(G$72,recovery_year,0),MATCH(depr_length,recovery_period,0)),""))</f>
        <v>144589.82659233271</v>
      </c>
      <c r="H103" s="195">
        <f>IF(AND(Main!$B$79="Straight Line",H$72&lt;=depr_length),$B103/depr_length,IF(AND(Main!$B$79="MACRS",H$72&lt;=depr_length+1),$B103*INDEX(MACRS_table,MATCH(H$72,recovery_year,0),MATCH(depr_length,recovery_period,0)),""))</f>
        <v>133757.61133213344</v>
      </c>
      <c r="I103" s="195">
        <f>IF(AND(Main!$B$79="Straight Line",I$72&lt;=depr_length),$B103/depr_length,IF(AND(Main!$B$79="MACRS",I$72&lt;=depr_length+1),$B103*INDEX(MACRS_table,MATCH(I$72,recovery_year,0),MATCH(depr_length,recovery_period,0)),""))</f>
        <v>123709.97241087384</v>
      </c>
      <c r="J103" s="195">
        <f>IF(AND(Main!$B$79="Straight Line",J$72&lt;=depr_length),$B103/depr_length,IF(AND(Main!$B$79="MACRS",J$72&lt;=depr_length+1),$B103*INDEX(MACRS_table,MATCH(J$72,recovery_year,0),MATCH(depr_length,recovery_period,0)),""))</f>
        <v>114446.90982855392</v>
      </c>
      <c r="K103" s="195">
        <f>IF(AND(Main!$B$79="Straight Line",K$72&lt;=depr_length),$B103/depr_length,IF(AND(Main!$B$79="MACRS",K$72&lt;=depr_length+1),$B103*INDEX(MACRS_table,MATCH(K$72,recovery_year,0),MATCH(depr_length,recovery_period,0)),""))</f>
        <v>112928.37497899326</v>
      </c>
      <c r="L103" s="195">
        <f>IF(AND(Main!$B$79="Straight Line",L$72&lt;=depr_length),$B103/depr_length,IF(AND(Main!$B$79="MACRS",L$72&lt;=depr_length+1),$B103*INDEX(MACRS_table,MATCH(L$72,recovery_year,0),MATCH(depr_length,recovery_period,0)),""))</f>
        <v>112903.06606483391</v>
      </c>
      <c r="M103" s="195">
        <f>IF(AND(Main!$B$79="Straight Line",M$72&lt;=depr_length),$B103/depr_length,IF(AND(Main!$B$79="MACRS",M$72&lt;=depr_length+1),$B103*INDEX(MACRS_table,MATCH(M$72,recovery_year,0),MATCH(depr_length,recovery_period,0)),""))</f>
        <v>112928.37497899326</v>
      </c>
      <c r="N103" s="195">
        <f>IF(AND(Main!$B$79="Straight Line",N$72&lt;=depr_length),$B103/depr_length,IF(AND(Main!$B$79="MACRS",N$72&lt;=depr_length+1),$B103*INDEX(MACRS_table,MATCH(N$72,recovery_year,0),MATCH(depr_length,recovery_period,0)),""))</f>
        <v>112903.06606483391</v>
      </c>
      <c r="O103" s="195">
        <f>IF(AND(Main!$B$79="Straight Line",O$72&lt;=depr_length),$B103/depr_length,IF(AND(Main!$B$79="MACRS",O$72&lt;=depr_length+1),$B103*INDEX(MACRS_table,MATCH(O$72,recovery_year,0),MATCH(depr_length,recovery_period,0)),""))</f>
        <v>112928.37497899326</v>
      </c>
      <c r="P103" s="195">
        <f>IF(AND(Main!$B$79="Straight Line",P$72&lt;=depr_length),$B103/depr_length,IF(AND(Main!$B$79="MACRS",P$72&lt;=depr_length+1),$B103*INDEX(MACRS_table,MATCH(P$72,recovery_year,0),MATCH(depr_length,recovery_period,0)),""))</f>
        <v>112903.06606483391</v>
      </c>
      <c r="Q103" s="195">
        <f>IF(AND(Main!$B$79="Straight Line",Q$72&lt;=depr_length),$B103/depr_length,IF(AND(Main!$B$79="MACRS",Q$72&lt;=depr_length+1),$B103*INDEX(MACRS_table,MATCH(Q$72,recovery_year,0),MATCH(depr_length,recovery_period,0)),""))</f>
        <v>112928.37497899326</v>
      </c>
      <c r="R103" s="195">
        <f>IF(AND(Main!$B$79="Straight Line",R$72&lt;=depr_length),$B103/depr_length,IF(AND(Main!$B$79="MACRS",R$72&lt;=depr_length+1),$B103*INDEX(MACRS_table,MATCH(R$72,recovery_year,0),MATCH(depr_length,recovery_period,0)),""))</f>
        <v>112903.06606483391</v>
      </c>
      <c r="S103" s="195">
        <f>IF(AND(Main!$B$79="Straight Line",S$72&lt;=depr_length),$B103/depr_length,IF(AND(Main!$B$79="MACRS",S$72&lt;=depr_length+1),$B103*INDEX(MACRS_table,MATCH(S$72,recovery_year,0),MATCH(depr_length,recovery_period,0)),""))</f>
        <v>112928.37497899326</v>
      </c>
      <c r="T103" s="195">
        <f>IF(AND(Main!$B$79="Straight Line",T$72&lt;=depr_length),$B103/depr_length,IF(AND(Main!$B$79="MACRS",T$72&lt;=depr_length+1),$B103*INDEX(MACRS_table,MATCH(T$72,recovery_year,0),MATCH(depr_length,recovery_period,0)),""))</f>
        <v>112903.06606483391</v>
      </c>
      <c r="U103" s="195">
        <f>IF(AND(Main!$B$79="Straight Line",U$72&lt;=depr_length),$B103/depr_length,IF(AND(Main!$B$79="MACRS",U$72&lt;=depr_length+1),$B103*INDEX(MACRS_table,MATCH(U$72,recovery_year,0),MATCH(depr_length,recovery_period,0)),""))</f>
        <v>112928.37497899326</v>
      </c>
      <c r="V103" s="195">
        <f>IF(AND(Main!$B$79="Straight Line",V$72&lt;=depr_length),$B103/depr_length,IF(AND(Main!$B$79="MACRS",V$72&lt;=depr_length+1),$B103*INDEX(MACRS_table,MATCH(V$72,recovery_year,0),MATCH(depr_length,recovery_period,0)),""))</f>
        <v>112903.06606483391</v>
      </c>
      <c r="W103" s="195">
        <f>IF(AND(Main!$B$79="Straight Line",W$72&lt;=depr_length),$B103/depr_length,IF(AND(Main!$B$79="MACRS",W$72&lt;=depr_length+1),$B103*INDEX(MACRS_table,MATCH(W$72,recovery_year,0),MATCH(depr_length,recovery_period,0)),""))</f>
        <v>56464.187489496631</v>
      </c>
      <c r="X103" s="196" cm="1">
        <f t="array" ref="X103">SUMPRODUCT((ROW($C$73:$W$113)-MIN(ROW(E93:Y133))=MIN(COLUMN(E93:Y133))-COLUMN($C$73:$W$113))*($C$73:$W$113))</f>
        <v>41437256.313409448</v>
      </c>
    </row>
    <row r="104" spans="1:24" x14ac:dyDescent="0.15">
      <c r="A104" s="115">
        <v>31</v>
      </c>
      <c r="B104" s="194">
        <f t="shared" si="20"/>
        <v>352618414.2781471</v>
      </c>
      <c r="C104" s="195">
        <f>IF(AND(Main!$B$79="Straight Line",C$72&lt;=depr_length),$B104/depr_length,IF(AND(Main!$B$79="MACRS",C$72&lt;=depr_length+1),$B104*INDEX(MACRS_table,MATCH(C$72,recovery_year,0),MATCH(depr_length,recovery_period,0)),""))</f>
        <v>13223190.535430515</v>
      </c>
      <c r="D104" s="195">
        <f>IF(AND(Main!$B$79="Straight Line",D$72&lt;=depr_length),$B104/depr_length,IF(AND(Main!$B$79="MACRS",D$72&lt;=depr_length+1),$B104*INDEX(MACRS_table,MATCH(D$72,recovery_year,0),MATCH(depr_length,recovery_period,0)),""))</f>
        <v>25455523.326739442</v>
      </c>
      <c r="E104" s="195">
        <f>IF(AND(Main!$B$79="Straight Line",E$72&lt;=depr_length),$B104/depr_length,IF(AND(Main!$B$79="MACRS",E$72&lt;=depr_length+1),$B104*INDEX(MACRS_table,MATCH(E$72,recovery_year,0),MATCH(depr_length,recovery_period,0)),""))</f>
        <v>23544331.521351881</v>
      </c>
      <c r="F104" s="195">
        <f>IF(AND(Main!$B$79="Straight Line",F$72&lt;=depr_length),$B104/depr_length,IF(AND(Main!$B$79="MACRS",F$72&lt;=depr_length+1),$B104*INDEX(MACRS_table,MATCH(F$72,recovery_year,0),MATCH(depr_length,recovery_period,0)),""))</f>
        <v>21781239.449961144</v>
      </c>
      <c r="G104" s="195">
        <f>IF(AND(Main!$B$79="Straight Line",G$72&lt;=depr_length),$B104/depr_length,IF(AND(Main!$B$79="MACRS",G$72&lt;=depr_length+1),$B104*INDEX(MACRS_table,MATCH(G$72,recovery_year,0),MATCH(depr_length,recovery_period,0)),""))</f>
        <v>20145090.007710543</v>
      </c>
      <c r="H104" s="195">
        <f>IF(AND(Main!$B$79="Straight Line",H$72&lt;=depr_length),$B104/depr_length,IF(AND(Main!$B$79="MACRS",H$72&lt;=depr_length+1),$B104*INDEX(MACRS_table,MATCH(H$72,recovery_year,0),MATCH(depr_length,recovery_period,0)),""))</f>
        <v>18635883.194600075</v>
      </c>
      <c r="I104" s="195">
        <f>IF(AND(Main!$B$79="Straight Line",I$72&lt;=depr_length),$B104/depr_length,IF(AND(Main!$B$79="MACRS",I$72&lt;=depr_length+1),$B104*INDEX(MACRS_table,MATCH(I$72,recovery_year,0),MATCH(depr_length,recovery_period,0)),""))</f>
        <v>17235988.089915831</v>
      </c>
      <c r="J104" s="195">
        <f>IF(AND(Main!$B$79="Straight Line",J$72&lt;=depr_length),$B104/depr_length,IF(AND(Main!$B$79="MACRS",J$72&lt;=depr_length+1),$B104*INDEX(MACRS_table,MATCH(J$72,recovery_year,0),MATCH(depr_length,recovery_period,0)),""))</f>
        <v>15945404.693657814</v>
      </c>
      <c r="K104" s="195">
        <f>IF(AND(Main!$B$79="Straight Line",K$72&lt;=depr_length),$B104/depr_length,IF(AND(Main!$B$79="MACRS",K$72&lt;=depr_length+1),$B104*INDEX(MACRS_table,MATCH(K$72,recovery_year,0),MATCH(depr_length,recovery_period,0)),""))</f>
        <v>15733833.645090923</v>
      </c>
      <c r="L104" s="195">
        <f>IF(AND(Main!$B$79="Straight Line",L$72&lt;=depr_length),$B104/depr_length,IF(AND(Main!$B$79="MACRS",L$72&lt;=depr_length+1),$B104*INDEX(MACRS_table,MATCH(L$72,recovery_year,0),MATCH(depr_length,recovery_period,0)),""))</f>
        <v>15730307.460948141</v>
      </c>
      <c r="M104" s="195">
        <f>IF(AND(Main!$B$79="Straight Line",M$72&lt;=depr_length),$B104/depr_length,IF(AND(Main!$B$79="MACRS",M$72&lt;=depr_length+1),$B104*INDEX(MACRS_table,MATCH(M$72,recovery_year,0),MATCH(depr_length,recovery_period,0)),""))</f>
        <v>15733833.645090923</v>
      </c>
      <c r="N104" s="195">
        <f>IF(AND(Main!$B$79="Straight Line",N$72&lt;=depr_length),$B104/depr_length,IF(AND(Main!$B$79="MACRS",N$72&lt;=depr_length+1),$B104*INDEX(MACRS_table,MATCH(N$72,recovery_year,0),MATCH(depr_length,recovery_period,0)),""))</f>
        <v>15730307.460948141</v>
      </c>
      <c r="O104" s="195">
        <f>IF(AND(Main!$B$79="Straight Line",O$72&lt;=depr_length),$B104/depr_length,IF(AND(Main!$B$79="MACRS",O$72&lt;=depr_length+1),$B104*INDEX(MACRS_table,MATCH(O$72,recovery_year,0),MATCH(depr_length,recovery_period,0)),""))</f>
        <v>15733833.645090923</v>
      </c>
      <c r="P104" s="195">
        <f>IF(AND(Main!$B$79="Straight Line",P$72&lt;=depr_length),$B104/depr_length,IF(AND(Main!$B$79="MACRS",P$72&lt;=depr_length+1),$B104*INDEX(MACRS_table,MATCH(P$72,recovery_year,0),MATCH(depr_length,recovery_period,0)),""))</f>
        <v>15730307.460948141</v>
      </c>
      <c r="Q104" s="195">
        <f>IF(AND(Main!$B$79="Straight Line",Q$72&lt;=depr_length),$B104/depr_length,IF(AND(Main!$B$79="MACRS",Q$72&lt;=depr_length+1),$B104*INDEX(MACRS_table,MATCH(Q$72,recovery_year,0),MATCH(depr_length,recovery_period,0)),""))</f>
        <v>15733833.645090923</v>
      </c>
      <c r="R104" s="195">
        <f>IF(AND(Main!$B$79="Straight Line",R$72&lt;=depr_length),$B104/depr_length,IF(AND(Main!$B$79="MACRS",R$72&lt;=depr_length+1),$B104*INDEX(MACRS_table,MATCH(R$72,recovery_year,0),MATCH(depr_length,recovery_period,0)),""))</f>
        <v>15730307.460948141</v>
      </c>
      <c r="S104" s="195">
        <f>IF(AND(Main!$B$79="Straight Line",S$72&lt;=depr_length),$B104/depr_length,IF(AND(Main!$B$79="MACRS",S$72&lt;=depr_length+1),$B104*INDEX(MACRS_table,MATCH(S$72,recovery_year,0),MATCH(depr_length,recovery_period,0)),""))</f>
        <v>15733833.645090923</v>
      </c>
      <c r="T104" s="195">
        <f>IF(AND(Main!$B$79="Straight Line",T$72&lt;=depr_length),$B104/depr_length,IF(AND(Main!$B$79="MACRS",T$72&lt;=depr_length+1),$B104*INDEX(MACRS_table,MATCH(T$72,recovery_year,0),MATCH(depr_length,recovery_period,0)),""))</f>
        <v>15730307.460948141</v>
      </c>
      <c r="U104" s="195">
        <f>IF(AND(Main!$B$79="Straight Line",U$72&lt;=depr_length),$B104/depr_length,IF(AND(Main!$B$79="MACRS",U$72&lt;=depr_length+1),$B104*INDEX(MACRS_table,MATCH(U$72,recovery_year,0),MATCH(depr_length,recovery_period,0)),""))</f>
        <v>15733833.645090923</v>
      </c>
      <c r="V104" s="195">
        <f>IF(AND(Main!$B$79="Straight Line",V$72&lt;=depr_length),$B104/depr_length,IF(AND(Main!$B$79="MACRS",V$72&lt;=depr_length+1),$B104*INDEX(MACRS_table,MATCH(V$72,recovery_year,0),MATCH(depr_length,recovery_period,0)),""))</f>
        <v>15730307.460948141</v>
      </c>
      <c r="W104" s="195">
        <f>IF(AND(Main!$B$79="Straight Line",W$72&lt;=depr_length),$B104/depr_length,IF(AND(Main!$B$79="MACRS",W$72&lt;=depr_length+1),$B104*INDEX(MACRS_table,MATCH(W$72,recovery_year,0),MATCH(depr_length,recovery_period,0)),""))</f>
        <v>7866916.8225454614</v>
      </c>
      <c r="X104" s="196" cm="1">
        <f t="array" ref="X104">SUMPRODUCT((ROW($C$73:$W$113)-MIN(ROW(E94:Y134))=MIN(COLUMN(E94:Y134))-COLUMN($C$73:$W$113))*($C$73:$W$113))</f>
        <v>39563564.812216714</v>
      </c>
    </row>
    <row r="105" spans="1:24" x14ac:dyDescent="0.15">
      <c r="A105" s="115">
        <v>32</v>
      </c>
      <c r="B105" s="194">
        <f t="shared" si="20"/>
        <v>2627978.9415410678</v>
      </c>
      <c r="C105" s="195">
        <f>IF(AND(Main!$B$79="Straight Line",C$72&lt;=depr_length),$B105/depr_length,IF(AND(Main!$B$79="MACRS",C$72&lt;=depr_length+1),$B105*INDEX(MACRS_table,MATCH(C$72,recovery_year,0),MATCH(depr_length,recovery_period,0)),""))</f>
        <v>98549.210307790039</v>
      </c>
      <c r="D105" s="195">
        <f>IF(AND(Main!$B$79="Straight Line",D$72&lt;=depr_length),$B105/depr_length,IF(AND(Main!$B$79="MACRS",D$72&lt;=depr_length+1),$B105*INDEX(MACRS_table,MATCH(D$72,recovery_year,0),MATCH(depr_length,recovery_period,0)),""))</f>
        <v>189713.7997898497</v>
      </c>
      <c r="E105" s="195">
        <f>IF(AND(Main!$B$79="Straight Line",E$72&lt;=depr_length),$B105/depr_length,IF(AND(Main!$B$79="MACRS",E$72&lt;=depr_length+1),$B105*INDEX(MACRS_table,MATCH(E$72,recovery_year,0),MATCH(depr_length,recovery_period,0)),""))</f>
        <v>175470.15392669709</v>
      </c>
      <c r="F105" s="195">
        <f>IF(AND(Main!$B$79="Straight Line",F$72&lt;=depr_length),$B105/depr_length,IF(AND(Main!$B$79="MACRS",F$72&lt;=depr_length+1),$B105*INDEX(MACRS_table,MATCH(F$72,recovery_year,0),MATCH(depr_length,recovery_period,0)),""))</f>
        <v>162330.25921899176</v>
      </c>
      <c r="G105" s="195">
        <f>IF(AND(Main!$B$79="Straight Line",G$72&lt;=depr_length),$B105/depr_length,IF(AND(Main!$B$79="MACRS",G$72&lt;=depr_length+1),$B105*INDEX(MACRS_table,MATCH(G$72,recovery_year,0),MATCH(depr_length,recovery_period,0)),""))</f>
        <v>150136.43693024121</v>
      </c>
      <c r="H105" s="195">
        <f>IF(AND(Main!$B$79="Straight Line",H$72&lt;=depr_length),$B105/depr_length,IF(AND(Main!$B$79="MACRS",H$72&lt;=depr_length+1),$B105*INDEX(MACRS_table,MATCH(H$72,recovery_year,0),MATCH(depr_length,recovery_period,0)),""))</f>
        <v>138888.68706044543</v>
      </c>
      <c r="I105" s="195">
        <f>IF(AND(Main!$B$79="Straight Line",I$72&lt;=depr_length),$B105/depr_length,IF(AND(Main!$B$79="MACRS",I$72&lt;=depr_length+1),$B105*INDEX(MACRS_table,MATCH(I$72,recovery_year,0),MATCH(depr_length,recovery_period,0)),""))</f>
        <v>128455.6106625274</v>
      </c>
      <c r="J105" s="195">
        <f>IF(AND(Main!$B$79="Straight Line",J$72&lt;=depr_length),$B105/depr_length,IF(AND(Main!$B$79="MACRS",J$72&lt;=depr_length+1),$B105*INDEX(MACRS_table,MATCH(J$72,recovery_year,0),MATCH(depr_length,recovery_period,0)),""))</f>
        <v>118837.20773648709</v>
      </c>
      <c r="K105" s="195">
        <f>IF(AND(Main!$B$79="Straight Line",K$72&lt;=depr_length),$B105/depr_length,IF(AND(Main!$B$79="MACRS",K$72&lt;=depr_length+1),$B105*INDEX(MACRS_table,MATCH(K$72,recovery_year,0),MATCH(depr_length,recovery_period,0)),""))</f>
        <v>117260.42037156245</v>
      </c>
      <c r="L105" s="195">
        <f>IF(AND(Main!$B$79="Straight Line",L$72&lt;=depr_length),$B105/depr_length,IF(AND(Main!$B$79="MACRS",L$72&lt;=depr_length+1),$B105*INDEX(MACRS_table,MATCH(L$72,recovery_year,0),MATCH(depr_length,recovery_period,0)),""))</f>
        <v>117234.14058214703</v>
      </c>
      <c r="M105" s="195">
        <f>IF(AND(Main!$B$79="Straight Line",M$72&lt;=depr_length),$B105/depr_length,IF(AND(Main!$B$79="MACRS",M$72&lt;=depr_length+1),$B105*INDEX(MACRS_table,MATCH(M$72,recovery_year,0),MATCH(depr_length,recovery_period,0)),""))</f>
        <v>117260.42037156245</v>
      </c>
      <c r="N105" s="195">
        <f>IF(AND(Main!$B$79="Straight Line",N$72&lt;=depr_length),$B105/depr_length,IF(AND(Main!$B$79="MACRS",N$72&lt;=depr_length+1),$B105*INDEX(MACRS_table,MATCH(N$72,recovery_year,0),MATCH(depr_length,recovery_period,0)),""))</f>
        <v>117234.14058214703</v>
      </c>
      <c r="O105" s="195">
        <f>IF(AND(Main!$B$79="Straight Line",O$72&lt;=depr_length),$B105/depr_length,IF(AND(Main!$B$79="MACRS",O$72&lt;=depr_length+1),$B105*INDEX(MACRS_table,MATCH(O$72,recovery_year,0),MATCH(depr_length,recovery_period,0)),""))</f>
        <v>117260.42037156245</v>
      </c>
      <c r="P105" s="195">
        <f>IF(AND(Main!$B$79="Straight Line",P$72&lt;=depr_length),$B105/depr_length,IF(AND(Main!$B$79="MACRS",P$72&lt;=depr_length+1),$B105*INDEX(MACRS_table,MATCH(P$72,recovery_year,0),MATCH(depr_length,recovery_period,0)),""))</f>
        <v>117234.14058214703</v>
      </c>
      <c r="Q105" s="195">
        <f>IF(AND(Main!$B$79="Straight Line",Q$72&lt;=depr_length),$B105/depr_length,IF(AND(Main!$B$79="MACRS",Q$72&lt;=depr_length+1),$B105*INDEX(MACRS_table,MATCH(Q$72,recovery_year,0),MATCH(depr_length,recovery_period,0)),""))</f>
        <v>117260.42037156245</v>
      </c>
      <c r="R105" s="195">
        <f>IF(AND(Main!$B$79="Straight Line",R$72&lt;=depr_length),$B105/depr_length,IF(AND(Main!$B$79="MACRS",R$72&lt;=depr_length+1),$B105*INDEX(MACRS_table,MATCH(R$72,recovery_year,0),MATCH(depr_length,recovery_period,0)),""))</f>
        <v>117234.14058214703</v>
      </c>
      <c r="S105" s="195">
        <f>IF(AND(Main!$B$79="Straight Line",S$72&lt;=depr_length),$B105/depr_length,IF(AND(Main!$B$79="MACRS",S$72&lt;=depr_length+1),$B105*INDEX(MACRS_table,MATCH(S$72,recovery_year,0),MATCH(depr_length,recovery_period,0)),""))</f>
        <v>117260.42037156245</v>
      </c>
      <c r="T105" s="195">
        <f>IF(AND(Main!$B$79="Straight Line",T$72&lt;=depr_length),$B105/depr_length,IF(AND(Main!$B$79="MACRS",T$72&lt;=depr_length+1),$B105*INDEX(MACRS_table,MATCH(T$72,recovery_year,0),MATCH(depr_length,recovery_period,0)),""))</f>
        <v>117234.14058214703</v>
      </c>
      <c r="U105" s="195">
        <f>IF(AND(Main!$B$79="Straight Line",U$72&lt;=depr_length),$B105/depr_length,IF(AND(Main!$B$79="MACRS",U$72&lt;=depr_length+1),$B105*INDEX(MACRS_table,MATCH(U$72,recovery_year,0),MATCH(depr_length,recovery_period,0)),""))</f>
        <v>117260.42037156245</v>
      </c>
      <c r="V105" s="195">
        <f>IF(AND(Main!$B$79="Straight Line",V$72&lt;=depr_length),$B105/depr_length,IF(AND(Main!$B$79="MACRS",V$72&lt;=depr_length+1),$B105*INDEX(MACRS_table,MATCH(V$72,recovery_year,0),MATCH(depr_length,recovery_period,0)),""))</f>
        <v>117234.14058214703</v>
      </c>
      <c r="W105" s="195">
        <f>IF(AND(Main!$B$79="Straight Line",W$72&lt;=depr_length),$B105/depr_length,IF(AND(Main!$B$79="MACRS",W$72&lt;=depr_length+1),$B105*INDEX(MACRS_table,MATCH(W$72,recovery_year,0),MATCH(depr_length,recovery_period,0)),""))</f>
        <v>58630.210185781223</v>
      </c>
      <c r="X105" s="196" cm="1">
        <f t="array" ref="X105">SUMPRODUCT((ROW($C$73:$W$113)-MIN(ROW(E95:Y135))=MIN(COLUMN(E95:Y135))-COLUMN($C$73:$W$113))*($C$73:$W$113))</f>
        <v>38092186.264443256</v>
      </c>
    </row>
    <row r="106" spans="1:24" x14ac:dyDescent="0.15">
      <c r="A106" s="115">
        <v>33</v>
      </c>
      <c r="B106" s="194">
        <f t="shared" si="20"/>
        <v>2677910.5414303481</v>
      </c>
      <c r="C106" s="195">
        <f>IF(AND(Main!$B$79="Straight Line",C$72&lt;=depr_length),$B106/depr_length,IF(AND(Main!$B$79="MACRS",C$72&lt;=depr_length+1),$B106*INDEX(MACRS_table,MATCH(C$72,recovery_year,0),MATCH(depr_length,recovery_period,0)),""))</f>
        <v>100421.64530363806</v>
      </c>
      <c r="D106" s="195">
        <f>IF(AND(Main!$B$79="Straight Line",D$72&lt;=depr_length),$B106/depr_length,IF(AND(Main!$B$79="MACRS",D$72&lt;=depr_length+1),$B106*INDEX(MACRS_table,MATCH(D$72,recovery_year,0),MATCH(depr_length,recovery_period,0)),""))</f>
        <v>193318.36198585684</v>
      </c>
      <c r="E106" s="195">
        <f>IF(AND(Main!$B$79="Straight Line",E$72&lt;=depr_length),$B106/depr_length,IF(AND(Main!$B$79="MACRS",E$72&lt;=depr_length+1),$B106*INDEX(MACRS_table,MATCH(E$72,recovery_year,0),MATCH(depr_length,recovery_period,0)),""))</f>
        <v>178804.08685130434</v>
      </c>
      <c r="F106" s="195">
        <f>IF(AND(Main!$B$79="Straight Line",F$72&lt;=depr_length),$B106/depr_length,IF(AND(Main!$B$79="MACRS",F$72&lt;=depr_length+1),$B106*INDEX(MACRS_table,MATCH(F$72,recovery_year,0),MATCH(depr_length,recovery_period,0)),""))</f>
        <v>165414.5341441526</v>
      </c>
      <c r="G106" s="195">
        <f>IF(AND(Main!$B$79="Straight Line",G$72&lt;=depr_length),$B106/depr_length,IF(AND(Main!$B$79="MACRS",G$72&lt;=depr_length+1),$B106*INDEX(MACRS_table,MATCH(G$72,recovery_year,0),MATCH(depr_length,recovery_period,0)),""))</f>
        <v>152989.02923191577</v>
      </c>
      <c r="H106" s="195">
        <f>IF(AND(Main!$B$79="Straight Line",H$72&lt;=depr_length),$B106/depr_length,IF(AND(Main!$B$79="MACRS",H$72&lt;=depr_length+1),$B106*INDEX(MACRS_table,MATCH(H$72,recovery_year,0),MATCH(depr_length,recovery_period,0)),""))</f>
        <v>141527.5721145939</v>
      </c>
      <c r="I106" s="195">
        <f>IF(AND(Main!$B$79="Straight Line",I$72&lt;=depr_length),$B106/depr_length,IF(AND(Main!$B$79="MACRS",I$72&lt;=depr_length+1),$B106*INDEX(MACRS_table,MATCH(I$72,recovery_year,0),MATCH(depr_length,recovery_period,0)),""))</f>
        <v>130896.26726511541</v>
      </c>
      <c r="J106" s="195">
        <f>IF(AND(Main!$B$79="Straight Line",J$72&lt;=depr_length),$B106/depr_length,IF(AND(Main!$B$79="MACRS",J$72&lt;=depr_length+1),$B106*INDEX(MACRS_table,MATCH(J$72,recovery_year,0),MATCH(depr_length,recovery_period,0)),""))</f>
        <v>121095.11468348035</v>
      </c>
      <c r="K106" s="195">
        <f>IF(AND(Main!$B$79="Straight Line",K$72&lt;=depr_length),$B106/depr_length,IF(AND(Main!$B$79="MACRS",K$72&lt;=depr_length+1),$B106*INDEX(MACRS_table,MATCH(K$72,recovery_year,0),MATCH(depr_length,recovery_period,0)),""))</f>
        <v>119488.36835862213</v>
      </c>
      <c r="L106" s="195">
        <f>IF(AND(Main!$B$79="Straight Line",L$72&lt;=depr_length),$B106/depr_length,IF(AND(Main!$B$79="MACRS",L$72&lt;=depr_length+1),$B106*INDEX(MACRS_table,MATCH(L$72,recovery_year,0),MATCH(depr_length,recovery_period,0)),""))</f>
        <v>119461.58925320781</v>
      </c>
      <c r="M106" s="195">
        <f>IF(AND(Main!$B$79="Straight Line",M$72&lt;=depr_length),$B106/depr_length,IF(AND(Main!$B$79="MACRS",M$72&lt;=depr_length+1),$B106*INDEX(MACRS_table,MATCH(M$72,recovery_year,0),MATCH(depr_length,recovery_period,0)),""))</f>
        <v>119488.36835862213</v>
      </c>
      <c r="N106" s="195">
        <f>IF(AND(Main!$B$79="Straight Line",N$72&lt;=depr_length),$B106/depr_length,IF(AND(Main!$B$79="MACRS",N$72&lt;=depr_length+1),$B106*INDEX(MACRS_table,MATCH(N$72,recovery_year,0),MATCH(depr_length,recovery_period,0)),""))</f>
        <v>119461.58925320781</v>
      </c>
      <c r="O106" s="195">
        <f>IF(AND(Main!$B$79="Straight Line",O$72&lt;=depr_length),$B106/depr_length,IF(AND(Main!$B$79="MACRS",O$72&lt;=depr_length+1),$B106*INDEX(MACRS_table,MATCH(O$72,recovery_year,0),MATCH(depr_length,recovery_period,0)),""))</f>
        <v>119488.36835862213</v>
      </c>
      <c r="P106" s="195">
        <f>IF(AND(Main!$B$79="Straight Line",P$72&lt;=depr_length),$B106/depr_length,IF(AND(Main!$B$79="MACRS",P$72&lt;=depr_length+1),$B106*INDEX(MACRS_table,MATCH(P$72,recovery_year,0),MATCH(depr_length,recovery_period,0)),""))</f>
        <v>119461.58925320781</v>
      </c>
      <c r="Q106" s="195">
        <f>IF(AND(Main!$B$79="Straight Line",Q$72&lt;=depr_length),$B106/depr_length,IF(AND(Main!$B$79="MACRS",Q$72&lt;=depr_length+1),$B106*INDEX(MACRS_table,MATCH(Q$72,recovery_year,0),MATCH(depr_length,recovery_period,0)),""))</f>
        <v>119488.36835862213</v>
      </c>
      <c r="R106" s="195">
        <f>IF(AND(Main!$B$79="Straight Line",R$72&lt;=depr_length),$B106/depr_length,IF(AND(Main!$B$79="MACRS",R$72&lt;=depr_length+1),$B106*INDEX(MACRS_table,MATCH(R$72,recovery_year,0),MATCH(depr_length,recovery_period,0)),""))</f>
        <v>119461.58925320781</v>
      </c>
      <c r="S106" s="195">
        <f>IF(AND(Main!$B$79="Straight Line",S$72&lt;=depr_length),$B106/depr_length,IF(AND(Main!$B$79="MACRS",S$72&lt;=depr_length+1),$B106*INDEX(MACRS_table,MATCH(S$72,recovery_year,0),MATCH(depr_length,recovery_period,0)),""))</f>
        <v>119488.36835862213</v>
      </c>
      <c r="T106" s="195">
        <f>IF(AND(Main!$B$79="Straight Line",T$72&lt;=depr_length),$B106/depr_length,IF(AND(Main!$B$79="MACRS",T$72&lt;=depr_length+1),$B106*INDEX(MACRS_table,MATCH(T$72,recovery_year,0),MATCH(depr_length,recovery_period,0)),""))</f>
        <v>119461.58925320781</v>
      </c>
      <c r="U106" s="195">
        <f>IF(AND(Main!$B$79="Straight Line",U$72&lt;=depr_length),$B106/depr_length,IF(AND(Main!$B$79="MACRS",U$72&lt;=depr_length+1),$B106*INDEX(MACRS_table,MATCH(U$72,recovery_year,0),MATCH(depr_length,recovery_period,0)),""))</f>
        <v>119488.36835862213</v>
      </c>
      <c r="V106" s="195">
        <f>IF(AND(Main!$B$79="Straight Line",V$72&lt;=depr_length),$B106/depr_length,IF(AND(Main!$B$79="MACRS",V$72&lt;=depr_length+1),$B106*INDEX(MACRS_table,MATCH(V$72,recovery_year,0),MATCH(depr_length,recovery_period,0)),""))</f>
        <v>119461.58925320781</v>
      </c>
      <c r="W106" s="195">
        <f>IF(AND(Main!$B$79="Straight Line",W$72&lt;=depr_length),$B106/depr_length,IF(AND(Main!$B$79="MACRS",W$72&lt;=depr_length+1),$B106*INDEX(MACRS_table,MATCH(W$72,recovery_year,0),MATCH(depr_length,recovery_period,0)),""))</f>
        <v>59744.184179311065</v>
      </c>
      <c r="X106" s="196" cm="1">
        <f t="array" ref="X106">SUMPRODUCT((ROW($C$73:$W$113)-MIN(ROW(E96:Y136))=MIN(COLUMN(E96:Y136))-COLUMN($C$73:$W$113))*($C$73:$W$113))</f>
        <v>36783741.641575038</v>
      </c>
    </row>
    <row r="107" spans="1:24" x14ac:dyDescent="0.15">
      <c r="A107" s="115">
        <v>34</v>
      </c>
      <c r="B107" s="194">
        <f t="shared" si="20"/>
        <v>2728790.8417175245</v>
      </c>
      <c r="C107" s="195">
        <f>IF(AND(Main!$B$79="Straight Line",C$72&lt;=depr_length),$B107/depr_length,IF(AND(Main!$B$79="MACRS",C$72&lt;=depr_length+1),$B107*INDEX(MACRS_table,MATCH(C$72,recovery_year,0),MATCH(depr_length,recovery_period,0)),""))</f>
        <v>102329.65656440717</v>
      </c>
      <c r="D107" s="195">
        <f>IF(AND(Main!$B$79="Straight Line",D$72&lt;=depr_length),$B107/depr_length,IF(AND(Main!$B$79="MACRS",D$72&lt;=depr_length+1),$B107*INDEX(MACRS_table,MATCH(D$72,recovery_year,0),MATCH(depr_length,recovery_period,0)),""))</f>
        <v>196991.4108635881</v>
      </c>
      <c r="E107" s="195">
        <f>IF(AND(Main!$B$79="Straight Line",E$72&lt;=depr_length),$B107/depr_length,IF(AND(Main!$B$79="MACRS",E$72&lt;=depr_length+1),$B107*INDEX(MACRS_table,MATCH(E$72,recovery_year,0),MATCH(depr_length,recovery_period,0)),""))</f>
        <v>182201.36450147911</v>
      </c>
      <c r="F107" s="195">
        <f>IF(AND(Main!$B$79="Straight Line",F$72&lt;=depr_length),$B107/depr_length,IF(AND(Main!$B$79="MACRS",F$72&lt;=depr_length+1),$B107*INDEX(MACRS_table,MATCH(F$72,recovery_year,0),MATCH(depr_length,recovery_period,0)),""))</f>
        <v>168557.41029289149</v>
      </c>
      <c r="G107" s="195">
        <f>IF(AND(Main!$B$79="Straight Line",G$72&lt;=depr_length),$B107/depr_length,IF(AND(Main!$B$79="MACRS",G$72&lt;=depr_length+1),$B107*INDEX(MACRS_table,MATCH(G$72,recovery_year,0),MATCH(depr_length,recovery_period,0)),""))</f>
        <v>155895.82078732218</v>
      </c>
      <c r="H107" s="195">
        <f>IF(AND(Main!$B$79="Straight Line",H$72&lt;=depr_length),$B107/depr_length,IF(AND(Main!$B$79="MACRS",H$72&lt;=depr_length+1),$B107*INDEX(MACRS_table,MATCH(H$72,recovery_year,0),MATCH(depr_length,recovery_period,0)),""))</f>
        <v>144216.59598477118</v>
      </c>
      <c r="I107" s="195">
        <f>IF(AND(Main!$B$79="Straight Line",I$72&lt;=depr_length),$B107/depr_length,IF(AND(Main!$B$79="MACRS",I$72&lt;=depr_length+1),$B107*INDEX(MACRS_table,MATCH(I$72,recovery_year,0),MATCH(depr_length,recovery_period,0)),""))</f>
        <v>133383.29634315259</v>
      </c>
      <c r="J107" s="195">
        <f>IF(AND(Main!$B$79="Straight Line",J$72&lt;=depr_length),$B107/depr_length,IF(AND(Main!$B$79="MACRS",J$72&lt;=depr_length+1),$B107*INDEX(MACRS_table,MATCH(J$72,recovery_year,0),MATCH(depr_length,recovery_period,0)),""))</f>
        <v>123395.92186246646</v>
      </c>
      <c r="K107" s="195">
        <f>IF(AND(Main!$B$79="Straight Line",K$72&lt;=depr_length),$B107/depr_length,IF(AND(Main!$B$79="MACRS",K$72&lt;=depr_length+1),$B107*INDEX(MACRS_table,MATCH(K$72,recovery_year,0),MATCH(depr_length,recovery_period,0)),""))</f>
        <v>121758.64735743594</v>
      </c>
      <c r="L107" s="195">
        <f>IF(AND(Main!$B$79="Straight Line",L$72&lt;=depr_length),$B107/depr_length,IF(AND(Main!$B$79="MACRS",L$72&lt;=depr_length+1),$B107*INDEX(MACRS_table,MATCH(L$72,recovery_year,0),MATCH(depr_length,recovery_period,0)),""))</f>
        <v>121731.35944901875</v>
      </c>
      <c r="M107" s="195">
        <f>IF(AND(Main!$B$79="Straight Line",M$72&lt;=depr_length),$B107/depr_length,IF(AND(Main!$B$79="MACRS",M$72&lt;=depr_length+1),$B107*INDEX(MACRS_table,MATCH(M$72,recovery_year,0),MATCH(depr_length,recovery_period,0)),""))</f>
        <v>121758.64735743594</v>
      </c>
      <c r="N107" s="195">
        <f>IF(AND(Main!$B$79="Straight Line",N$72&lt;=depr_length),$B107/depr_length,IF(AND(Main!$B$79="MACRS",N$72&lt;=depr_length+1),$B107*INDEX(MACRS_table,MATCH(N$72,recovery_year,0),MATCH(depr_length,recovery_period,0)),""))</f>
        <v>121731.35944901875</v>
      </c>
      <c r="O107" s="195">
        <f>IF(AND(Main!$B$79="Straight Line",O$72&lt;=depr_length),$B107/depr_length,IF(AND(Main!$B$79="MACRS",O$72&lt;=depr_length+1),$B107*INDEX(MACRS_table,MATCH(O$72,recovery_year,0),MATCH(depr_length,recovery_period,0)),""))</f>
        <v>121758.64735743594</v>
      </c>
      <c r="P107" s="195">
        <f>IF(AND(Main!$B$79="Straight Line",P$72&lt;=depr_length),$B107/depr_length,IF(AND(Main!$B$79="MACRS",P$72&lt;=depr_length+1),$B107*INDEX(MACRS_table,MATCH(P$72,recovery_year,0),MATCH(depr_length,recovery_period,0)),""))</f>
        <v>121731.35944901875</v>
      </c>
      <c r="Q107" s="195">
        <f>IF(AND(Main!$B$79="Straight Line",Q$72&lt;=depr_length),$B107/depr_length,IF(AND(Main!$B$79="MACRS",Q$72&lt;=depr_length+1),$B107*INDEX(MACRS_table,MATCH(Q$72,recovery_year,0),MATCH(depr_length,recovery_period,0)),""))</f>
        <v>121758.64735743594</v>
      </c>
      <c r="R107" s="195">
        <f>IF(AND(Main!$B$79="Straight Line",R$72&lt;=depr_length),$B107/depr_length,IF(AND(Main!$B$79="MACRS",R$72&lt;=depr_length+1),$B107*INDEX(MACRS_table,MATCH(R$72,recovery_year,0),MATCH(depr_length,recovery_period,0)),""))</f>
        <v>121731.35944901875</v>
      </c>
      <c r="S107" s="195">
        <f>IF(AND(Main!$B$79="Straight Line",S$72&lt;=depr_length),$B107/depr_length,IF(AND(Main!$B$79="MACRS",S$72&lt;=depr_length+1),$B107*INDEX(MACRS_table,MATCH(S$72,recovery_year,0),MATCH(depr_length,recovery_period,0)),""))</f>
        <v>121758.64735743594</v>
      </c>
      <c r="T107" s="195">
        <f>IF(AND(Main!$B$79="Straight Line",T$72&lt;=depr_length),$B107/depr_length,IF(AND(Main!$B$79="MACRS",T$72&lt;=depr_length+1),$B107*INDEX(MACRS_table,MATCH(T$72,recovery_year,0),MATCH(depr_length,recovery_period,0)),""))</f>
        <v>121731.35944901875</v>
      </c>
      <c r="U107" s="195">
        <f>IF(AND(Main!$B$79="Straight Line",U$72&lt;=depr_length),$B107/depr_length,IF(AND(Main!$B$79="MACRS",U$72&lt;=depr_length+1),$B107*INDEX(MACRS_table,MATCH(U$72,recovery_year,0),MATCH(depr_length,recovery_period,0)),""))</f>
        <v>121758.64735743594</v>
      </c>
      <c r="V107" s="195">
        <f>IF(AND(Main!$B$79="Straight Line",V$72&lt;=depr_length),$B107/depr_length,IF(AND(Main!$B$79="MACRS",V$72&lt;=depr_length+1),$B107*INDEX(MACRS_table,MATCH(V$72,recovery_year,0),MATCH(depr_length,recovery_period,0)),""))</f>
        <v>121731.35944901875</v>
      </c>
      <c r="W107" s="195">
        <f>IF(AND(Main!$B$79="Straight Line",W$72&lt;=depr_length),$B107/depr_length,IF(AND(Main!$B$79="MACRS",W$72&lt;=depr_length+1),$B107*INDEX(MACRS_table,MATCH(W$72,recovery_year,0),MATCH(depr_length,recovery_period,0)),""))</f>
        <v>60879.32367871797</v>
      </c>
      <c r="X107" s="196" cm="1">
        <f t="array" ref="X107">SUMPRODUCT((ROW($C$73:$W$113)-MIN(ROW(E97:Y137))=MIN(COLUMN(E97:Y137))-COLUMN($C$73:$W$113))*($C$73:$W$113))</f>
        <v>38057116.871713333</v>
      </c>
    </row>
    <row r="108" spans="1:24" x14ac:dyDescent="0.15">
      <c r="A108" s="115">
        <v>35</v>
      </c>
      <c r="B108" s="194">
        <f t="shared" si="20"/>
        <v>2780637.8677101573</v>
      </c>
      <c r="C108" s="195">
        <f>IF(AND(Main!$B$79="Straight Line",C$72&lt;=depr_length),$B108/depr_length,IF(AND(Main!$B$79="MACRS",C$72&lt;=depr_length+1),$B108*INDEX(MACRS_table,MATCH(C$72,recovery_year,0),MATCH(depr_length,recovery_period,0)),""))</f>
        <v>104273.9200391309</v>
      </c>
      <c r="D108" s="195">
        <f>IF(AND(Main!$B$79="Straight Line",D$72&lt;=depr_length),$B108/depr_length,IF(AND(Main!$B$79="MACRS",D$72&lt;=depr_length+1),$B108*INDEX(MACRS_table,MATCH(D$72,recovery_year,0),MATCH(depr_length,recovery_period,0)),""))</f>
        <v>200734.24766999626</v>
      </c>
      <c r="E108" s="195">
        <f>IF(AND(Main!$B$79="Straight Line",E$72&lt;=depr_length),$B108/depr_length,IF(AND(Main!$B$79="MACRS",E$72&lt;=depr_length+1),$B108*INDEX(MACRS_table,MATCH(E$72,recovery_year,0),MATCH(depr_length,recovery_period,0)),""))</f>
        <v>185663.19042700718</v>
      </c>
      <c r="F108" s="195">
        <f>IF(AND(Main!$B$79="Straight Line",F$72&lt;=depr_length),$B108/depr_length,IF(AND(Main!$B$79="MACRS",F$72&lt;=depr_length+1),$B108*INDEX(MACRS_table,MATCH(F$72,recovery_year,0),MATCH(depr_length,recovery_period,0)),""))</f>
        <v>171760.00108845643</v>
      </c>
      <c r="G108" s="195">
        <f>IF(AND(Main!$B$79="Straight Line",G$72&lt;=depr_length),$B108/depr_length,IF(AND(Main!$B$79="MACRS",G$72&lt;=depr_length+1),$B108*INDEX(MACRS_table,MATCH(G$72,recovery_year,0),MATCH(depr_length,recovery_period,0)),""))</f>
        <v>158857.84138228127</v>
      </c>
      <c r="H108" s="195">
        <f>IF(AND(Main!$B$79="Straight Line",H$72&lt;=depr_length),$B108/depr_length,IF(AND(Main!$B$79="MACRS",H$72&lt;=depr_length+1),$B108*INDEX(MACRS_table,MATCH(H$72,recovery_year,0),MATCH(depr_length,recovery_period,0)),""))</f>
        <v>146956.71130848181</v>
      </c>
      <c r="I108" s="195">
        <f>IF(AND(Main!$B$79="Straight Line",I$72&lt;=depr_length),$B108/depr_length,IF(AND(Main!$B$79="MACRS",I$72&lt;=depr_length+1),$B108*INDEX(MACRS_table,MATCH(I$72,recovery_year,0),MATCH(depr_length,recovery_period,0)),""))</f>
        <v>135917.5789736725</v>
      </c>
      <c r="J108" s="195">
        <f>IF(AND(Main!$B$79="Straight Line",J$72&lt;=depr_length),$B108/depr_length,IF(AND(Main!$B$79="MACRS",J$72&lt;=depr_length+1),$B108*INDEX(MACRS_table,MATCH(J$72,recovery_year,0),MATCH(depr_length,recovery_period,0)),""))</f>
        <v>125740.44437785332</v>
      </c>
      <c r="K108" s="195">
        <f>IF(AND(Main!$B$79="Straight Line",K$72&lt;=depr_length),$B108/depr_length,IF(AND(Main!$B$79="MACRS",K$72&lt;=depr_length+1),$B108*INDEX(MACRS_table,MATCH(K$72,recovery_year,0),MATCH(depr_length,recovery_period,0)),""))</f>
        <v>124072.06165722721</v>
      </c>
      <c r="L108" s="195">
        <f>IF(AND(Main!$B$79="Straight Line",L$72&lt;=depr_length),$B108/depr_length,IF(AND(Main!$B$79="MACRS",L$72&lt;=depr_length+1),$B108*INDEX(MACRS_table,MATCH(L$72,recovery_year,0),MATCH(depr_length,recovery_period,0)),""))</f>
        <v>124044.2552785501</v>
      </c>
      <c r="M108" s="195">
        <f>IF(AND(Main!$B$79="Straight Line",M$72&lt;=depr_length),$B108/depr_length,IF(AND(Main!$B$79="MACRS",M$72&lt;=depr_length+1),$B108*INDEX(MACRS_table,MATCH(M$72,recovery_year,0),MATCH(depr_length,recovery_period,0)),""))</f>
        <v>124072.06165722721</v>
      </c>
      <c r="N108" s="195">
        <f>IF(AND(Main!$B$79="Straight Line",N$72&lt;=depr_length),$B108/depr_length,IF(AND(Main!$B$79="MACRS",N$72&lt;=depr_length+1),$B108*INDEX(MACRS_table,MATCH(N$72,recovery_year,0),MATCH(depr_length,recovery_period,0)),""))</f>
        <v>124044.2552785501</v>
      </c>
      <c r="O108" s="195">
        <f>IF(AND(Main!$B$79="Straight Line",O$72&lt;=depr_length),$B108/depr_length,IF(AND(Main!$B$79="MACRS",O$72&lt;=depr_length+1),$B108*INDEX(MACRS_table,MATCH(O$72,recovery_year,0),MATCH(depr_length,recovery_period,0)),""))</f>
        <v>124072.06165722721</v>
      </c>
      <c r="P108" s="195">
        <f>IF(AND(Main!$B$79="Straight Line",P$72&lt;=depr_length),$B108/depr_length,IF(AND(Main!$B$79="MACRS",P$72&lt;=depr_length+1),$B108*INDEX(MACRS_table,MATCH(P$72,recovery_year,0),MATCH(depr_length,recovery_period,0)),""))</f>
        <v>124044.2552785501</v>
      </c>
      <c r="Q108" s="195">
        <f>IF(AND(Main!$B$79="Straight Line",Q$72&lt;=depr_length),$B108/depr_length,IF(AND(Main!$B$79="MACRS",Q$72&lt;=depr_length+1),$B108*INDEX(MACRS_table,MATCH(Q$72,recovery_year,0),MATCH(depr_length,recovery_period,0)),""))</f>
        <v>124072.06165722721</v>
      </c>
      <c r="R108" s="195">
        <f>IF(AND(Main!$B$79="Straight Line",R$72&lt;=depr_length),$B108/depr_length,IF(AND(Main!$B$79="MACRS",R$72&lt;=depr_length+1),$B108*INDEX(MACRS_table,MATCH(R$72,recovery_year,0),MATCH(depr_length,recovery_period,0)),""))</f>
        <v>124044.2552785501</v>
      </c>
      <c r="S108" s="195">
        <f>IF(AND(Main!$B$79="Straight Line",S$72&lt;=depr_length),$B108/depr_length,IF(AND(Main!$B$79="MACRS",S$72&lt;=depr_length+1),$B108*INDEX(MACRS_table,MATCH(S$72,recovery_year,0),MATCH(depr_length,recovery_period,0)),""))</f>
        <v>124072.06165722721</v>
      </c>
      <c r="T108" s="195">
        <f>IF(AND(Main!$B$79="Straight Line",T$72&lt;=depr_length),$B108/depr_length,IF(AND(Main!$B$79="MACRS",T$72&lt;=depr_length+1),$B108*INDEX(MACRS_table,MATCH(T$72,recovery_year,0),MATCH(depr_length,recovery_period,0)),""))</f>
        <v>124044.2552785501</v>
      </c>
      <c r="U108" s="195">
        <f>IF(AND(Main!$B$79="Straight Line",U$72&lt;=depr_length),$B108/depr_length,IF(AND(Main!$B$79="MACRS",U$72&lt;=depr_length+1),$B108*INDEX(MACRS_table,MATCH(U$72,recovery_year,0),MATCH(depr_length,recovery_period,0)),""))</f>
        <v>124072.06165722721</v>
      </c>
      <c r="V108" s="195">
        <f>IF(AND(Main!$B$79="Straight Line",V$72&lt;=depr_length),$B108/depr_length,IF(AND(Main!$B$79="MACRS",V$72&lt;=depr_length+1),$B108*INDEX(MACRS_table,MATCH(V$72,recovery_year,0),MATCH(depr_length,recovery_period,0)),""))</f>
        <v>124044.2552785501</v>
      </c>
      <c r="W108" s="195">
        <f>IF(AND(Main!$B$79="Straight Line",W$72&lt;=depr_length),$B108/depr_length,IF(AND(Main!$B$79="MACRS",W$72&lt;=depr_length+1),$B108*INDEX(MACRS_table,MATCH(W$72,recovery_year,0),MATCH(depr_length,recovery_period,0)),""))</f>
        <v>62036.030828613606</v>
      </c>
      <c r="X108" s="196" cm="1">
        <f t="array" ref="X108">SUMPRODUCT((ROW($C$73:$W$113)-MIN(ROW(E98:Y138))=MIN(COLUMN(E98:Y138))-COLUMN($C$73:$W$113))*($C$73:$W$113))</f>
        <v>39109441.193485297</v>
      </c>
    </row>
    <row r="109" spans="1:24" x14ac:dyDescent="0.15">
      <c r="A109" s="115">
        <v>36</v>
      </c>
      <c r="B109" s="194">
        <f t="shared" si="20"/>
        <v>137649383.29073715</v>
      </c>
      <c r="C109" s="195">
        <f>IF(AND(Main!$B$79="Straight Line",C$72&lt;=depr_length),$B109/depr_length,IF(AND(Main!$B$79="MACRS",C$72&lt;=depr_length+1),$B109*INDEX(MACRS_table,MATCH(C$72,recovery_year,0),MATCH(depr_length,recovery_period,0)),""))</f>
        <v>5161851.873402643</v>
      </c>
      <c r="D109" s="195">
        <f>IF(AND(Main!$B$79="Straight Line",D$72&lt;=depr_length),$B109/depr_length,IF(AND(Main!$B$79="MACRS",D$72&lt;=depr_length+1),$B109*INDEX(MACRS_table,MATCH(D$72,recovery_year,0),MATCH(depr_length,recovery_period,0)),""))</f>
        <v>9936908.9797583148</v>
      </c>
      <c r="E109" s="195">
        <f>IF(AND(Main!$B$79="Straight Line",E$72&lt;=depr_length),$B109/depr_length,IF(AND(Main!$B$79="MACRS",E$72&lt;=depr_length+1),$B109*INDEX(MACRS_table,MATCH(E$72,recovery_year,0),MATCH(depr_length,recovery_period,0)),""))</f>
        <v>9190849.3223225195</v>
      </c>
      <c r="F109" s="195">
        <f>IF(AND(Main!$B$79="Straight Line",F$72&lt;=depr_length),$B109/depr_length,IF(AND(Main!$B$79="MACRS",F$72&lt;=depr_length+1),$B109*INDEX(MACRS_table,MATCH(F$72,recovery_year,0),MATCH(depr_length,recovery_period,0)),""))</f>
        <v>8502602.4058688339</v>
      </c>
      <c r="G109" s="195">
        <f>IF(AND(Main!$B$79="Straight Line",G$72&lt;=depr_length),$B109/depr_length,IF(AND(Main!$B$79="MACRS",G$72&lt;=depr_length+1),$B109*INDEX(MACRS_table,MATCH(G$72,recovery_year,0),MATCH(depr_length,recovery_period,0)),""))</f>
        <v>7863909.267399814</v>
      </c>
      <c r="H109" s="195">
        <f>IF(AND(Main!$B$79="Straight Line",H$72&lt;=depr_length),$B109/depr_length,IF(AND(Main!$B$79="MACRS",H$72&lt;=depr_length+1),$B109*INDEX(MACRS_table,MATCH(H$72,recovery_year,0),MATCH(depr_length,recovery_period,0)),""))</f>
        <v>7274769.9069154589</v>
      </c>
      <c r="I109" s="195">
        <f>IF(AND(Main!$B$79="Straight Line",I$72&lt;=depr_length),$B109/depr_length,IF(AND(Main!$B$79="MACRS",I$72&lt;=depr_length+1),$B109*INDEX(MACRS_table,MATCH(I$72,recovery_year,0),MATCH(depr_length,recovery_period,0)),""))</f>
        <v>6728301.8552512322</v>
      </c>
      <c r="J109" s="195">
        <f>IF(AND(Main!$B$79="Straight Line",J$72&lt;=depr_length),$B109/depr_length,IF(AND(Main!$B$79="MACRS",J$72&lt;=depr_length+1),$B109*INDEX(MACRS_table,MATCH(J$72,recovery_year,0),MATCH(depr_length,recovery_period,0)),""))</f>
        <v>6224505.1124071348</v>
      </c>
      <c r="K109" s="195">
        <f>IF(AND(Main!$B$79="Straight Line",K$72&lt;=depr_length),$B109/depr_length,IF(AND(Main!$B$79="MACRS",K$72&lt;=depr_length+1),$B109*INDEX(MACRS_table,MATCH(K$72,recovery_year,0),MATCH(depr_length,recovery_period,0)),""))</f>
        <v>6141915.4824326914</v>
      </c>
      <c r="L109" s="195">
        <f>IF(AND(Main!$B$79="Straight Line",L$72&lt;=depr_length),$B109/depr_length,IF(AND(Main!$B$79="MACRS",L$72&lt;=depr_length+1),$B109*INDEX(MACRS_table,MATCH(L$72,recovery_year,0),MATCH(depr_length,recovery_period,0)),""))</f>
        <v>6140538.9885997837</v>
      </c>
      <c r="M109" s="195">
        <f>IF(AND(Main!$B$79="Straight Line",M$72&lt;=depr_length),$B109/depr_length,IF(AND(Main!$B$79="MACRS",M$72&lt;=depr_length+1),$B109*INDEX(MACRS_table,MATCH(M$72,recovery_year,0),MATCH(depr_length,recovery_period,0)),""))</f>
        <v>6141915.4824326914</v>
      </c>
      <c r="N109" s="195">
        <f>IF(AND(Main!$B$79="Straight Line",N$72&lt;=depr_length),$B109/depr_length,IF(AND(Main!$B$79="MACRS",N$72&lt;=depr_length+1),$B109*INDEX(MACRS_table,MATCH(N$72,recovery_year,0),MATCH(depr_length,recovery_period,0)),""))</f>
        <v>6140538.9885997837</v>
      </c>
      <c r="O109" s="195">
        <f>IF(AND(Main!$B$79="Straight Line",O$72&lt;=depr_length),$B109/depr_length,IF(AND(Main!$B$79="MACRS",O$72&lt;=depr_length+1),$B109*INDEX(MACRS_table,MATCH(O$72,recovery_year,0),MATCH(depr_length,recovery_period,0)),""))</f>
        <v>6141915.4824326914</v>
      </c>
      <c r="P109" s="195">
        <f>IF(AND(Main!$B$79="Straight Line",P$72&lt;=depr_length),$B109/depr_length,IF(AND(Main!$B$79="MACRS",P$72&lt;=depr_length+1),$B109*INDEX(MACRS_table,MATCH(P$72,recovery_year,0),MATCH(depr_length,recovery_period,0)),""))</f>
        <v>6140538.9885997837</v>
      </c>
      <c r="Q109" s="195">
        <f>IF(AND(Main!$B$79="Straight Line",Q$72&lt;=depr_length),$B109/depr_length,IF(AND(Main!$B$79="MACRS",Q$72&lt;=depr_length+1),$B109*INDEX(MACRS_table,MATCH(Q$72,recovery_year,0),MATCH(depr_length,recovery_period,0)),""))</f>
        <v>6141915.4824326914</v>
      </c>
      <c r="R109" s="195">
        <f>IF(AND(Main!$B$79="Straight Line",R$72&lt;=depr_length),$B109/depr_length,IF(AND(Main!$B$79="MACRS",R$72&lt;=depr_length+1),$B109*INDEX(MACRS_table,MATCH(R$72,recovery_year,0),MATCH(depr_length,recovery_period,0)),""))</f>
        <v>6140538.9885997837</v>
      </c>
      <c r="S109" s="195">
        <f>IF(AND(Main!$B$79="Straight Line",S$72&lt;=depr_length),$B109/depr_length,IF(AND(Main!$B$79="MACRS",S$72&lt;=depr_length+1),$B109*INDEX(MACRS_table,MATCH(S$72,recovery_year,0),MATCH(depr_length,recovery_period,0)),""))</f>
        <v>6141915.4824326914</v>
      </c>
      <c r="T109" s="195">
        <f>IF(AND(Main!$B$79="Straight Line",T$72&lt;=depr_length),$B109/depr_length,IF(AND(Main!$B$79="MACRS",T$72&lt;=depr_length+1),$B109*INDEX(MACRS_table,MATCH(T$72,recovery_year,0),MATCH(depr_length,recovery_period,0)),""))</f>
        <v>6140538.9885997837</v>
      </c>
      <c r="U109" s="195">
        <f>IF(AND(Main!$B$79="Straight Line",U$72&lt;=depr_length),$B109/depr_length,IF(AND(Main!$B$79="MACRS",U$72&lt;=depr_length+1),$B109*INDEX(MACRS_table,MATCH(U$72,recovery_year,0),MATCH(depr_length,recovery_period,0)),""))</f>
        <v>6141915.4824326914</v>
      </c>
      <c r="V109" s="195">
        <f>IF(AND(Main!$B$79="Straight Line",V$72&lt;=depr_length),$B109/depr_length,IF(AND(Main!$B$79="MACRS",V$72&lt;=depr_length+1),$B109*INDEX(MACRS_table,MATCH(V$72,recovery_year,0),MATCH(depr_length,recovery_period,0)),""))</f>
        <v>6140538.9885997837</v>
      </c>
      <c r="W109" s="195">
        <f>IF(AND(Main!$B$79="Straight Line",W$72&lt;=depr_length),$B109/depr_length,IF(AND(Main!$B$79="MACRS",W$72&lt;=depr_length+1),$B109*INDEX(MACRS_table,MATCH(W$72,recovery_year,0),MATCH(depr_length,recovery_period,0)),""))</f>
        <v>3070957.7412163457</v>
      </c>
      <c r="X109" s="196" cm="1">
        <f t="array" ref="X109">SUMPRODUCT((ROW($C$73:$W$113)-MIN(ROW(E99:Y139))=MIN(COLUMN(E99:Y139))-COLUMN($C$73:$W$113))*($C$73:$W$113))</f>
        <v>37479767.970564499</v>
      </c>
    </row>
    <row r="110" spans="1:24" x14ac:dyDescent="0.15">
      <c r="A110" s="115">
        <v>37</v>
      </c>
      <c r="B110" s="194">
        <f t="shared" si="20"/>
        <v>2887305.9169533867</v>
      </c>
      <c r="C110" s="195">
        <f>IF(AND(Main!$B$79="Straight Line",C$72&lt;=depr_length),$B110/depr_length,IF(AND(Main!$B$79="MACRS",C$72&lt;=depr_length+1),$B110*INDEX(MACRS_table,MATCH(C$72,recovery_year,0),MATCH(depr_length,recovery_period,0)),""))</f>
        <v>108273.97188575201</v>
      </c>
      <c r="D110" s="195">
        <f>IF(AND(Main!$B$79="Straight Line",D$72&lt;=depr_length),$B110/depr_length,IF(AND(Main!$B$79="MACRS",D$72&lt;=depr_length+1),$B110*INDEX(MACRS_table,MATCH(D$72,recovery_year,0),MATCH(depr_length,recovery_period,0)),""))</f>
        <v>208434.61414486499</v>
      </c>
      <c r="E110" s="195">
        <f>IF(AND(Main!$B$79="Straight Line",E$72&lt;=depr_length),$B110/depr_length,IF(AND(Main!$B$79="MACRS",E$72&lt;=depr_length+1),$B110*INDEX(MACRS_table,MATCH(E$72,recovery_year,0),MATCH(depr_length,recovery_period,0)),""))</f>
        <v>192785.41607497763</v>
      </c>
      <c r="F110" s="195">
        <f>IF(AND(Main!$B$79="Straight Line",F$72&lt;=depr_length),$B110/depr_length,IF(AND(Main!$B$79="MACRS",F$72&lt;=depr_length+1),$B110*INDEX(MACRS_table,MATCH(F$72,recovery_year,0),MATCH(depr_length,recovery_period,0)),""))</f>
        <v>178348.88649021069</v>
      </c>
      <c r="G110" s="195">
        <f>IF(AND(Main!$B$79="Straight Line",G$72&lt;=depr_length),$B110/depr_length,IF(AND(Main!$B$79="MACRS",G$72&lt;=depr_length+1),$B110*INDEX(MACRS_table,MATCH(G$72,recovery_year,0),MATCH(depr_length,recovery_period,0)),""))</f>
        <v>164951.78703554699</v>
      </c>
      <c r="H110" s="195">
        <f>IF(AND(Main!$B$79="Straight Line",H$72&lt;=depr_length),$B110/depr_length,IF(AND(Main!$B$79="MACRS",H$72&lt;=depr_length+1),$B110*INDEX(MACRS_table,MATCH(H$72,recovery_year,0),MATCH(depr_length,recovery_period,0)),""))</f>
        <v>152594.11771098649</v>
      </c>
      <c r="I110" s="195">
        <f>IF(AND(Main!$B$79="Straight Line",I$72&lt;=depr_length),$B110/depr_length,IF(AND(Main!$B$79="MACRS",I$72&lt;=depr_length+1),$B110*INDEX(MACRS_table,MATCH(I$72,recovery_year,0),MATCH(depr_length,recovery_period,0)),""))</f>
        <v>141131.51322068155</v>
      </c>
      <c r="J110" s="195">
        <f>IF(AND(Main!$B$79="Straight Line",J$72&lt;=depr_length),$B110/depr_length,IF(AND(Main!$B$79="MACRS",J$72&lt;=depr_length+1),$B110*INDEX(MACRS_table,MATCH(J$72,recovery_year,0),MATCH(depr_length,recovery_period,0)),""))</f>
        <v>130563.97356463216</v>
      </c>
      <c r="K110" s="195">
        <f>IF(AND(Main!$B$79="Straight Line",K$72&lt;=depr_length),$B110/depr_length,IF(AND(Main!$B$79="MACRS",K$72&lt;=depr_length+1),$B110*INDEX(MACRS_table,MATCH(K$72,recovery_year,0),MATCH(depr_length,recovery_period,0)),""))</f>
        <v>128831.59001446012</v>
      </c>
      <c r="L110" s="195">
        <f>IF(AND(Main!$B$79="Straight Line",L$72&lt;=depr_length),$B110/depr_length,IF(AND(Main!$B$79="MACRS",L$72&lt;=depr_length+1),$B110*INDEX(MACRS_table,MATCH(L$72,recovery_year,0),MATCH(depr_length,recovery_period,0)),""))</f>
        <v>128802.71695529057</v>
      </c>
      <c r="M110" s="195">
        <f>IF(AND(Main!$B$79="Straight Line",M$72&lt;=depr_length),$B110/depr_length,IF(AND(Main!$B$79="MACRS",M$72&lt;=depr_length+1),$B110*INDEX(MACRS_table,MATCH(M$72,recovery_year,0),MATCH(depr_length,recovery_period,0)),""))</f>
        <v>128831.59001446012</v>
      </c>
      <c r="N110" s="195">
        <f>IF(AND(Main!$B$79="Straight Line",N$72&lt;=depr_length),$B110/depr_length,IF(AND(Main!$B$79="MACRS",N$72&lt;=depr_length+1),$B110*INDEX(MACRS_table,MATCH(N$72,recovery_year,0),MATCH(depr_length,recovery_period,0)),""))</f>
        <v>128802.71695529057</v>
      </c>
      <c r="O110" s="195">
        <f>IF(AND(Main!$B$79="Straight Line",O$72&lt;=depr_length),$B110/depr_length,IF(AND(Main!$B$79="MACRS",O$72&lt;=depr_length+1),$B110*INDEX(MACRS_table,MATCH(O$72,recovery_year,0),MATCH(depr_length,recovery_period,0)),""))</f>
        <v>128831.59001446012</v>
      </c>
      <c r="P110" s="195">
        <f>IF(AND(Main!$B$79="Straight Line",P$72&lt;=depr_length),$B110/depr_length,IF(AND(Main!$B$79="MACRS",P$72&lt;=depr_length+1),$B110*INDEX(MACRS_table,MATCH(P$72,recovery_year,0),MATCH(depr_length,recovery_period,0)),""))</f>
        <v>128802.71695529057</v>
      </c>
      <c r="Q110" s="195">
        <f>IF(AND(Main!$B$79="Straight Line",Q$72&lt;=depr_length),$B110/depr_length,IF(AND(Main!$B$79="MACRS",Q$72&lt;=depr_length+1),$B110*INDEX(MACRS_table,MATCH(Q$72,recovery_year,0),MATCH(depr_length,recovery_period,0)),""))</f>
        <v>128831.59001446012</v>
      </c>
      <c r="R110" s="195">
        <f>IF(AND(Main!$B$79="Straight Line",R$72&lt;=depr_length),$B110/depr_length,IF(AND(Main!$B$79="MACRS",R$72&lt;=depr_length+1),$B110*INDEX(MACRS_table,MATCH(R$72,recovery_year,0),MATCH(depr_length,recovery_period,0)),""))</f>
        <v>128802.71695529057</v>
      </c>
      <c r="S110" s="195">
        <f>IF(AND(Main!$B$79="Straight Line",S$72&lt;=depr_length),$B110/depr_length,IF(AND(Main!$B$79="MACRS",S$72&lt;=depr_length+1),$B110*INDEX(MACRS_table,MATCH(S$72,recovery_year,0),MATCH(depr_length,recovery_period,0)),""))</f>
        <v>128831.59001446012</v>
      </c>
      <c r="T110" s="195">
        <f>IF(AND(Main!$B$79="Straight Line",T$72&lt;=depr_length),$B110/depr_length,IF(AND(Main!$B$79="MACRS",T$72&lt;=depr_length+1),$B110*INDEX(MACRS_table,MATCH(T$72,recovery_year,0),MATCH(depr_length,recovery_period,0)),""))</f>
        <v>128802.71695529057</v>
      </c>
      <c r="U110" s="195">
        <f>IF(AND(Main!$B$79="Straight Line",U$72&lt;=depr_length),$B110/depr_length,IF(AND(Main!$B$79="MACRS",U$72&lt;=depr_length+1),$B110*INDEX(MACRS_table,MATCH(U$72,recovery_year,0),MATCH(depr_length,recovery_period,0)),""))</f>
        <v>128831.59001446012</v>
      </c>
      <c r="V110" s="195">
        <f>IF(AND(Main!$B$79="Straight Line",V$72&lt;=depr_length),$B110/depr_length,IF(AND(Main!$B$79="MACRS",V$72&lt;=depr_length+1),$B110*INDEX(MACRS_table,MATCH(V$72,recovery_year,0),MATCH(depr_length,recovery_period,0)),""))</f>
        <v>128802.71695529057</v>
      </c>
      <c r="W110" s="195">
        <f>IF(AND(Main!$B$79="Straight Line",W$72&lt;=depr_length),$B110/depr_length,IF(AND(Main!$B$79="MACRS",W$72&lt;=depr_length+1),$B110*INDEX(MACRS_table,MATCH(W$72,recovery_year,0),MATCH(depr_length,recovery_period,0)),""))</f>
        <v>64415.795007230059</v>
      </c>
      <c r="X110" s="196" cm="1">
        <f t="array" ref="X110">SUMPRODUCT((ROW($C$73:$W$113)-MIN(ROW(E100:Y140))=MIN(COLUMN(E100:Y140))-COLUMN($C$73:$W$113))*($C$73:$W$113))</f>
        <v>36788041.641408242</v>
      </c>
    </row>
    <row r="111" spans="1:24" x14ac:dyDescent="0.15">
      <c r="A111" s="115">
        <v>38</v>
      </c>
      <c r="B111" s="194">
        <f t="shared" si="20"/>
        <v>2942164.7293755002</v>
      </c>
      <c r="C111" s="195">
        <f>IF(AND(Main!$B$79="Straight Line",C$72&lt;=depr_length),$B111/depr_length,IF(AND(Main!$B$79="MACRS",C$72&lt;=depr_length+1),$B111*INDEX(MACRS_table,MATCH(C$72,recovery_year,0),MATCH(depr_length,recovery_period,0)),""))</f>
        <v>110331.17735158125</v>
      </c>
      <c r="D111" s="195">
        <f>IF(AND(Main!$B$79="Straight Line",D$72&lt;=depr_length),$B111/depr_length,IF(AND(Main!$B$79="MACRS",D$72&lt;=depr_length+1),$B111*INDEX(MACRS_table,MATCH(D$72,recovery_year,0),MATCH(depr_length,recovery_period,0)),""))</f>
        <v>212394.87181361738</v>
      </c>
      <c r="E111" s="195">
        <f>IF(AND(Main!$B$79="Straight Line",E$72&lt;=depr_length),$B111/depr_length,IF(AND(Main!$B$79="MACRS",E$72&lt;=depr_length+1),$B111*INDEX(MACRS_table,MATCH(E$72,recovery_year,0),MATCH(depr_length,recovery_period,0)),""))</f>
        <v>196448.33898040213</v>
      </c>
      <c r="F111" s="195">
        <f>IF(AND(Main!$B$79="Straight Line",F$72&lt;=depr_length),$B111/depr_length,IF(AND(Main!$B$79="MACRS",F$72&lt;=depr_length+1),$B111*INDEX(MACRS_table,MATCH(F$72,recovery_year,0),MATCH(depr_length,recovery_period,0)),""))</f>
        <v>181737.51533352464</v>
      </c>
      <c r="G111" s="195">
        <f>IF(AND(Main!$B$79="Straight Line",G$72&lt;=depr_length),$B111/depr_length,IF(AND(Main!$B$79="MACRS",G$72&lt;=depr_length+1),$B111*INDEX(MACRS_table,MATCH(G$72,recovery_year,0),MATCH(depr_length,recovery_period,0)),""))</f>
        <v>168085.87098922234</v>
      </c>
      <c r="H111" s="195">
        <f>IF(AND(Main!$B$79="Straight Line",H$72&lt;=depr_length),$B111/depr_length,IF(AND(Main!$B$79="MACRS",H$72&lt;=depr_length+1),$B111*INDEX(MACRS_table,MATCH(H$72,recovery_year,0),MATCH(depr_length,recovery_period,0)),""))</f>
        <v>155493.40594749519</v>
      </c>
      <c r="I111" s="195">
        <f>IF(AND(Main!$B$79="Straight Line",I$72&lt;=depr_length),$B111/depr_length,IF(AND(Main!$B$79="MACRS",I$72&lt;=depr_length+1),$B111*INDEX(MACRS_table,MATCH(I$72,recovery_year,0),MATCH(depr_length,recovery_period,0)),""))</f>
        <v>143813.01197187445</v>
      </c>
      <c r="J111" s="195">
        <f>IF(AND(Main!$B$79="Straight Line",J$72&lt;=depr_length),$B111/depr_length,IF(AND(Main!$B$79="MACRS",J$72&lt;=depr_length+1),$B111*INDEX(MACRS_table,MATCH(J$72,recovery_year,0),MATCH(depr_length,recovery_period,0)),""))</f>
        <v>133044.68906236012</v>
      </c>
      <c r="K111" s="195">
        <f>IF(AND(Main!$B$79="Straight Line",K$72&lt;=depr_length),$B111/depr_length,IF(AND(Main!$B$79="MACRS",K$72&lt;=depr_length+1),$B111*INDEX(MACRS_table,MATCH(K$72,recovery_year,0),MATCH(depr_length,recovery_period,0)),""))</f>
        <v>131279.39022473482</v>
      </c>
      <c r="L111" s="195">
        <f>IF(AND(Main!$B$79="Straight Line",L$72&lt;=depr_length),$B111/depr_length,IF(AND(Main!$B$79="MACRS",L$72&lt;=depr_length+1),$B111*INDEX(MACRS_table,MATCH(L$72,recovery_year,0),MATCH(depr_length,recovery_period,0)),""))</f>
        <v>131249.96857744106</v>
      </c>
      <c r="M111" s="195">
        <f>IF(AND(Main!$B$79="Straight Line",M$72&lt;=depr_length),$B111/depr_length,IF(AND(Main!$B$79="MACRS",M$72&lt;=depr_length+1),$B111*INDEX(MACRS_table,MATCH(M$72,recovery_year,0),MATCH(depr_length,recovery_period,0)),""))</f>
        <v>131279.39022473482</v>
      </c>
      <c r="N111" s="195">
        <f>IF(AND(Main!$B$79="Straight Line",N$72&lt;=depr_length),$B111/depr_length,IF(AND(Main!$B$79="MACRS",N$72&lt;=depr_length+1),$B111*INDEX(MACRS_table,MATCH(N$72,recovery_year,0),MATCH(depr_length,recovery_period,0)),""))</f>
        <v>131249.96857744106</v>
      </c>
      <c r="O111" s="195">
        <f>IF(AND(Main!$B$79="Straight Line",O$72&lt;=depr_length),$B111/depr_length,IF(AND(Main!$B$79="MACRS",O$72&lt;=depr_length+1),$B111*INDEX(MACRS_table,MATCH(O$72,recovery_year,0),MATCH(depr_length,recovery_period,0)),""))</f>
        <v>131279.39022473482</v>
      </c>
      <c r="P111" s="195">
        <f>IF(AND(Main!$B$79="Straight Line",P$72&lt;=depr_length),$B111/depr_length,IF(AND(Main!$B$79="MACRS",P$72&lt;=depr_length+1),$B111*INDEX(MACRS_table,MATCH(P$72,recovery_year,0),MATCH(depr_length,recovery_period,0)),""))</f>
        <v>131249.96857744106</v>
      </c>
      <c r="Q111" s="195">
        <f>IF(AND(Main!$B$79="Straight Line",Q$72&lt;=depr_length),$B111/depr_length,IF(AND(Main!$B$79="MACRS",Q$72&lt;=depr_length+1),$B111*INDEX(MACRS_table,MATCH(Q$72,recovery_year,0),MATCH(depr_length,recovery_period,0)),""))</f>
        <v>131279.39022473482</v>
      </c>
      <c r="R111" s="195">
        <f>IF(AND(Main!$B$79="Straight Line",R$72&lt;=depr_length),$B111/depr_length,IF(AND(Main!$B$79="MACRS",R$72&lt;=depr_length+1),$B111*INDEX(MACRS_table,MATCH(R$72,recovery_year,0),MATCH(depr_length,recovery_period,0)),""))</f>
        <v>131249.96857744106</v>
      </c>
      <c r="S111" s="195">
        <f>IF(AND(Main!$B$79="Straight Line",S$72&lt;=depr_length),$B111/depr_length,IF(AND(Main!$B$79="MACRS",S$72&lt;=depr_length+1),$B111*INDEX(MACRS_table,MATCH(S$72,recovery_year,0),MATCH(depr_length,recovery_period,0)),""))</f>
        <v>131279.39022473482</v>
      </c>
      <c r="T111" s="195">
        <f>IF(AND(Main!$B$79="Straight Line",T$72&lt;=depr_length),$B111/depr_length,IF(AND(Main!$B$79="MACRS",T$72&lt;=depr_length+1),$B111*INDEX(MACRS_table,MATCH(T$72,recovery_year,0),MATCH(depr_length,recovery_period,0)),""))</f>
        <v>131249.96857744106</v>
      </c>
      <c r="U111" s="195">
        <f>IF(AND(Main!$B$79="Straight Line",U$72&lt;=depr_length),$B111/depr_length,IF(AND(Main!$B$79="MACRS",U$72&lt;=depr_length+1),$B111*INDEX(MACRS_table,MATCH(U$72,recovery_year,0),MATCH(depr_length,recovery_period,0)),""))</f>
        <v>131279.39022473482</v>
      </c>
      <c r="V111" s="195">
        <f>IF(AND(Main!$B$79="Straight Line",V$72&lt;=depr_length),$B111/depr_length,IF(AND(Main!$B$79="MACRS",V$72&lt;=depr_length+1),$B111*INDEX(MACRS_table,MATCH(V$72,recovery_year,0),MATCH(depr_length,recovery_period,0)),""))</f>
        <v>131249.96857744106</v>
      </c>
      <c r="W111" s="195">
        <f>IF(AND(Main!$B$79="Straight Line",W$72&lt;=depr_length),$B111/depr_length,IF(AND(Main!$B$79="MACRS",W$72&lt;=depr_length+1),$B111*INDEX(MACRS_table,MATCH(W$72,recovery_year,0),MATCH(depr_length,recovery_period,0)),""))</f>
        <v>65639.695112367408</v>
      </c>
      <c r="X111" s="196" cm="1">
        <f t="array" ref="X111">SUMPRODUCT((ROW($C$73:$W$113)-MIN(ROW(E101:Y141))=MIN(COLUMN(E101:Y141))-COLUMN($C$73:$W$113))*($C$73:$W$113))</f>
        <v>36305404.290426739</v>
      </c>
    </row>
    <row r="112" spans="1:24" x14ac:dyDescent="0.15">
      <c r="A112" s="115">
        <v>39</v>
      </c>
      <c r="B112" s="194">
        <f t="shared" si="20"/>
        <v>2998065.859233635</v>
      </c>
      <c r="C112" s="195">
        <f>IF(AND(Main!$B$79="Straight Line",C$72&lt;=depr_length),$B112/depr_length,IF(AND(Main!$B$79="MACRS",C$72&lt;=depr_length+1),$B112*INDEX(MACRS_table,MATCH(C$72,recovery_year,0),MATCH(depr_length,recovery_period,0)),""))</f>
        <v>112427.46972126131</v>
      </c>
      <c r="D112" s="195">
        <f>IF(AND(Main!$B$79="Straight Line",D$72&lt;=depr_length),$B112/depr_length,IF(AND(Main!$B$79="MACRS",D$72&lt;=depr_length+1),$B112*INDEX(MACRS_table,MATCH(D$72,recovery_year,0),MATCH(depr_length,recovery_period,0)),""))</f>
        <v>216430.37437807611</v>
      </c>
      <c r="E112" s="195">
        <f>IF(AND(Main!$B$79="Straight Line",E$72&lt;=depr_length),$B112/depr_length,IF(AND(Main!$B$79="MACRS",E$72&lt;=depr_length+1),$B112*INDEX(MACRS_table,MATCH(E$72,recovery_year,0),MATCH(depr_length,recovery_period,0)),""))</f>
        <v>200180.8574210298</v>
      </c>
      <c r="F112" s="195">
        <f>IF(AND(Main!$B$79="Straight Line",F$72&lt;=depr_length),$B112/depr_length,IF(AND(Main!$B$79="MACRS",F$72&lt;=depr_length+1),$B112*INDEX(MACRS_table,MATCH(F$72,recovery_year,0),MATCH(depr_length,recovery_period,0)),""))</f>
        <v>185190.52812486162</v>
      </c>
      <c r="G112" s="195">
        <f>IF(AND(Main!$B$79="Straight Line",G$72&lt;=depr_length),$B112/depr_length,IF(AND(Main!$B$79="MACRS",G$72&lt;=depr_length+1),$B112*INDEX(MACRS_table,MATCH(G$72,recovery_year,0),MATCH(depr_length,recovery_period,0)),""))</f>
        <v>171279.50253801758</v>
      </c>
      <c r="H112" s="195">
        <f>IF(AND(Main!$B$79="Straight Line",H$72&lt;=depr_length),$B112/depr_length,IF(AND(Main!$B$79="MACRS",H$72&lt;=depr_length+1),$B112*INDEX(MACRS_table,MATCH(H$72,recovery_year,0),MATCH(depr_length,recovery_period,0)),""))</f>
        <v>158447.78066049761</v>
      </c>
      <c r="I112" s="195">
        <f>IF(AND(Main!$B$79="Straight Line",I$72&lt;=depr_length),$B112/depr_length,IF(AND(Main!$B$79="MACRS",I$72&lt;=depr_length+1),$B112*INDEX(MACRS_table,MATCH(I$72,recovery_year,0),MATCH(depr_length,recovery_period,0)),""))</f>
        <v>146545.45919934008</v>
      </c>
      <c r="J112" s="195">
        <f>IF(AND(Main!$B$79="Straight Line",J$72&lt;=depr_length),$B112/depr_length,IF(AND(Main!$B$79="MACRS",J$72&lt;=depr_length+1),$B112*INDEX(MACRS_table,MATCH(J$72,recovery_year,0),MATCH(depr_length,recovery_period,0)),""))</f>
        <v>135572.53815454498</v>
      </c>
      <c r="K112" s="195">
        <f>IF(AND(Main!$B$79="Straight Line",K$72&lt;=depr_length),$B112/depr_length,IF(AND(Main!$B$79="MACRS",K$72&lt;=depr_length+1),$B112*INDEX(MACRS_table,MATCH(K$72,recovery_year,0),MATCH(depr_length,recovery_period,0)),""))</f>
        <v>133773.69863900478</v>
      </c>
      <c r="L112" s="195">
        <f>IF(AND(Main!$B$79="Straight Line",L$72&lt;=depr_length),$B112/depr_length,IF(AND(Main!$B$79="MACRS",L$72&lt;=depr_length+1),$B112*INDEX(MACRS_table,MATCH(L$72,recovery_year,0),MATCH(depr_length,recovery_period,0)),""))</f>
        <v>133743.71798041245</v>
      </c>
      <c r="M112" s="195">
        <f>IF(AND(Main!$B$79="Straight Line",M$72&lt;=depr_length),$B112/depr_length,IF(AND(Main!$B$79="MACRS",M$72&lt;=depr_length+1),$B112*INDEX(MACRS_table,MATCH(M$72,recovery_year,0),MATCH(depr_length,recovery_period,0)),""))</f>
        <v>133773.69863900478</v>
      </c>
      <c r="N112" s="195">
        <f>IF(AND(Main!$B$79="Straight Line",N$72&lt;=depr_length),$B112/depr_length,IF(AND(Main!$B$79="MACRS",N$72&lt;=depr_length+1),$B112*INDEX(MACRS_table,MATCH(N$72,recovery_year,0),MATCH(depr_length,recovery_period,0)),""))</f>
        <v>133743.71798041245</v>
      </c>
      <c r="O112" s="195">
        <f>IF(AND(Main!$B$79="Straight Line",O$72&lt;=depr_length),$B112/depr_length,IF(AND(Main!$B$79="MACRS",O$72&lt;=depr_length+1),$B112*INDEX(MACRS_table,MATCH(O$72,recovery_year,0),MATCH(depr_length,recovery_period,0)),""))</f>
        <v>133773.69863900478</v>
      </c>
      <c r="P112" s="195">
        <f>IF(AND(Main!$B$79="Straight Line",P$72&lt;=depr_length),$B112/depr_length,IF(AND(Main!$B$79="MACRS",P$72&lt;=depr_length+1),$B112*INDEX(MACRS_table,MATCH(P$72,recovery_year,0),MATCH(depr_length,recovery_period,0)),""))</f>
        <v>133743.71798041245</v>
      </c>
      <c r="Q112" s="195">
        <f>IF(AND(Main!$B$79="Straight Line",Q$72&lt;=depr_length),$B112/depr_length,IF(AND(Main!$B$79="MACRS",Q$72&lt;=depr_length+1),$B112*INDEX(MACRS_table,MATCH(Q$72,recovery_year,0),MATCH(depr_length,recovery_period,0)),""))</f>
        <v>133773.69863900478</v>
      </c>
      <c r="R112" s="195">
        <f>IF(AND(Main!$B$79="Straight Line",R$72&lt;=depr_length),$B112/depr_length,IF(AND(Main!$B$79="MACRS",R$72&lt;=depr_length+1),$B112*INDEX(MACRS_table,MATCH(R$72,recovery_year,0),MATCH(depr_length,recovery_period,0)),""))</f>
        <v>133743.71798041245</v>
      </c>
      <c r="S112" s="195">
        <f>IF(AND(Main!$B$79="Straight Line",S$72&lt;=depr_length),$B112/depr_length,IF(AND(Main!$B$79="MACRS",S$72&lt;=depr_length+1),$B112*INDEX(MACRS_table,MATCH(S$72,recovery_year,0),MATCH(depr_length,recovery_period,0)),""))</f>
        <v>133773.69863900478</v>
      </c>
      <c r="T112" s="195">
        <f>IF(AND(Main!$B$79="Straight Line",T$72&lt;=depr_length),$B112/depr_length,IF(AND(Main!$B$79="MACRS",T$72&lt;=depr_length+1),$B112*INDEX(MACRS_table,MATCH(T$72,recovery_year,0),MATCH(depr_length,recovery_period,0)),""))</f>
        <v>133743.71798041245</v>
      </c>
      <c r="U112" s="195">
        <f>IF(AND(Main!$B$79="Straight Line",U$72&lt;=depr_length),$B112/depr_length,IF(AND(Main!$B$79="MACRS",U$72&lt;=depr_length+1),$B112*INDEX(MACRS_table,MATCH(U$72,recovery_year,0),MATCH(depr_length,recovery_period,0)),""))</f>
        <v>133773.69863900478</v>
      </c>
      <c r="V112" s="195">
        <f>IF(AND(Main!$B$79="Straight Line",V$72&lt;=depr_length),$B112/depr_length,IF(AND(Main!$B$79="MACRS",V$72&lt;=depr_length+1),$B112*INDEX(MACRS_table,MATCH(V$72,recovery_year,0),MATCH(depr_length,recovery_period,0)),""))</f>
        <v>133743.71798041245</v>
      </c>
      <c r="W112" s="195">
        <f>IF(AND(Main!$B$79="Straight Line",W$72&lt;=depr_length),$B112/depr_length,IF(AND(Main!$B$79="MACRS",W$72&lt;=depr_length+1),$B112*INDEX(MACRS_table,MATCH(W$72,recovery_year,0),MATCH(depr_length,recovery_period,0)),""))</f>
        <v>66886.849319502391</v>
      </c>
      <c r="X112" s="196" cm="1">
        <f t="array" ref="X112">SUMPRODUCT((ROW($C$73:$W$113)-MIN(ROW(E102:Y142))=MIN(COLUMN(E102:Y142))-COLUMN($C$73:$W$113))*($C$73:$W$113))</f>
        <v>43639359.961583667</v>
      </c>
    </row>
    <row r="113" spans="1:24" x14ac:dyDescent="0.15">
      <c r="A113" s="115">
        <v>40</v>
      </c>
      <c r="B113" s="194">
        <f t="shared" si="20"/>
        <v>3055029.1105590742</v>
      </c>
      <c r="C113" s="195">
        <f>IF(AND(Main!$B$79="Straight Line",C$72&lt;=depr_length),$B113/depr_length,IF(AND(Main!$B$79="MACRS",C$72&lt;=depr_length+1),$B113*INDEX(MACRS_table,MATCH(C$72,recovery_year,0),MATCH(depr_length,recovery_period,0)),""))</f>
        <v>114563.59164596528</v>
      </c>
      <c r="D113" s="195">
        <f>IF(AND(Main!$B$79="Straight Line",D$72&lt;=depr_length),$B113/depr_length,IF(AND(Main!$B$79="MACRS",D$72&lt;=depr_length+1),$B113*INDEX(MACRS_table,MATCH(D$72,recovery_year,0),MATCH(depr_length,recovery_period,0)),""))</f>
        <v>220542.55149125957</v>
      </c>
      <c r="E113" s="195">
        <f>IF(AND(Main!$B$79="Straight Line",E$72&lt;=depr_length),$B113/depr_length,IF(AND(Main!$B$79="MACRS",E$72&lt;=depr_length+1),$B113*INDEX(MACRS_table,MATCH(E$72,recovery_year,0),MATCH(depr_length,recovery_period,0)),""))</f>
        <v>203984.29371202938</v>
      </c>
      <c r="F113" s="195">
        <f>IF(AND(Main!$B$79="Straight Line",F$72&lt;=depr_length),$B113/depr_length,IF(AND(Main!$B$79="MACRS",F$72&lt;=depr_length+1),$B113*INDEX(MACRS_table,MATCH(F$72,recovery_year,0),MATCH(depr_length,recovery_period,0)),""))</f>
        <v>188709.148159234</v>
      </c>
      <c r="G113" s="195">
        <f>IF(AND(Main!$B$79="Straight Line",G$72&lt;=depr_length),$B113/depr_length,IF(AND(Main!$B$79="MACRS",G$72&lt;=depr_length+1),$B113*INDEX(MACRS_table,MATCH(G$72,recovery_year,0),MATCH(depr_length,recovery_period,0)),""))</f>
        <v>174533.81308623991</v>
      </c>
      <c r="H113" s="195">
        <f>IF(AND(Main!$B$79="Straight Line",H$72&lt;=depr_length),$B113/depr_length,IF(AND(Main!$B$79="MACRS",H$72&lt;=depr_length+1),$B113*INDEX(MACRS_table,MATCH(H$72,recovery_year,0),MATCH(depr_length,recovery_period,0)),""))</f>
        <v>161458.28849304706</v>
      </c>
      <c r="I113" s="195">
        <f>IF(AND(Main!$B$79="Straight Line",I$72&lt;=depr_length),$B113/depr_length,IF(AND(Main!$B$79="MACRS",I$72&lt;=depr_length+1),$B113*INDEX(MACRS_table,MATCH(I$72,recovery_year,0),MATCH(depr_length,recovery_period,0)),""))</f>
        <v>149329.82292412754</v>
      </c>
      <c r="J113" s="195">
        <f>IF(AND(Main!$B$79="Straight Line",J$72&lt;=depr_length),$B113/depr_length,IF(AND(Main!$B$79="MACRS",J$72&lt;=depr_length+1),$B113*INDEX(MACRS_table,MATCH(J$72,recovery_year,0),MATCH(depr_length,recovery_period,0)),""))</f>
        <v>138148.41637948135</v>
      </c>
      <c r="K113" s="195">
        <f>IF(AND(Main!$B$79="Straight Line",K$72&lt;=depr_length),$B113/depr_length,IF(AND(Main!$B$79="MACRS",K$72&lt;=depr_length+1),$B113*INDEX(MACRS_table,MATCH(K$72,recovery_year,0),MATCH(depr_length,recovery_period,0)),""))</f>
        <v>136315.39891314588</v>
      </c>
      <c r="L113" s="195">
        <f>IF(AND(Main!$B$79="Straight Line",L$72&lt;=depr_length),$B113/depr_length,IF(AND(Main!$B$79="MACRS",L$72&lt;=depr_length+1),$B113*INDEX(MACRS_table,MATCH(L$72,recovery_year,0),MATCH(depr_length,recovery_period,0)),""))</f>
        <v>136284.8486220403</v>
      </c>
      <c r="M113" s="195">
        <f>IF(AND(Main!$B$79="Straight Line",M$72&lt;=depr_length),$B113/depr_length,IF(AND(Main!$B$79="MACRS",M$72&lt;=depr_length+1),$B113*INDEX(MACRS_table,MATCH(M$72,recovery_year,0),MATCH(depr_length,recovery_period,0)),""))</f>
        <v>136315.39891314588</v>
      </c>
      <c r="N113" s="195">
        <f>IF(AND(Main!$B$79="Straight Line",N$72&lt;=depr_length),$B113/depr_length,IF(AND(Main!$B$79="MACRS",N$72&lt;=depr_length+1),$B113*INDEX(MACRS_table,MATCH(N$72,recovery_year,0),MATCH(depr_length,recovery_period,0)),""))</f>
        <v>136284.8486220403</v>
      </c>
      <c r="O113" s="195">
        <f>IF(AND(Main!$B$79="Straight Line",O$72&lt;=depr_length),$B113/depr_length,IF(AND(Main!$B$79="MACRS",O$72&lt;=depr_length+1),$B113*INDEX(MACRS_table,MATCH(O$72,recovery_year,0),MATCH(depr_length,recovery_period,0)),""))</f>
        <v>136315.39891314588</v>
      </c>
      <c r="P113" s="195">
        <f>IF(AND(Main!$B$79="Straight Line",P$72&lt;=depr_length),$B113/depr_length,IF(AND(Main!$B$79="MACRS",P$72&lt;=depr_length+1),$B113*INDEX(MACRS_table,MATCH(P$72,recovery_year,0),MATCH(depr_length,recovery_period,0)),""))</f>
        <v>136284.8486220403</v>
      </c>
      <c r="Q113" s="195">
        <f>IF(AND(Main!$B$79="Straight Line",Q$72&lt;=depr_length),$B113/depr_length,IF(AND(Main!$B$79="MACRS",Q$72&lt;=depr_length+1),$B113*INDEX(MACRS_table,MATCH(Q$72,recovery_year,0),MATCH(depr_length,recovery_period,0)),""))</f>
        <v>136315.39891314588</v>
      </c>
      <c r="R113" s="195">
        <f>IF(AND(Main!$B$79="Straight Line",R$72&lt;=depr_length),$B113/depr_length,IF(AND(Main!$B$79="MACRS",R$72&lt;=depr_length+1),$B113*INDEX(MACRS_table,MATCH(R$72,recovery_year,0),MATCH(depr_length,recovery_period,0)),""))</f>
        <v>136284.8486220403</v>
      </c>
      <c r="S113" s="195">
        <f>IF(AND(Main!$B$79="Straight Line",S$72&lt;=depr_length),$B113/depr_length,IF(AND(Main!$B$79="MACRS",S$72&lt;=depr_length+1),$B113*INDEX(MACRS_table,MATCH(S$72,recovery_year,0),MATCH(depr_length,recovery_period,0)),""))</f>
        <v>136315.39891314588</v>
      </c>
      <c r="T113" s="195">
        <f>IF(AND(Main!$B$79="Straight Line",T$72&lt;=depr_length),$B113/depr_length,IF(AND(Main!$B$79="MACRS",T$72&lt;=depr_length+1),$B113*INDEX(MACRS_table,MATCH(T$72,recovery_year,0),MATCH(depr_length,recovery_period,0)),""))</f>
        <v>136284.8486220403</v>
      </c>
      <c r="U113" s="195">
        <f>IF(AND(Main!$B$79="Straight Line",U$72&lt;=depr_length),$B113/depr_length,IF(AND(Main!$B$79="MACRS",U$72&lt;=depr_length+1),$B113*INDEX(MACRS_table,MATCH(U$72,recovery_year,0),MATCH(depr_length,recovery_period,0)),""))</f>
        <v>136315.39891314588</v>
      </c>
      <c r="V113" s="195">
        <f>IF(AND(Main!$B$79="Straight Line",V$72&lt;=depr_length),$B113/depr_length,IF(AND(Main!$B$79="MACRS",V$72&lt;=depr_length+1),$B113*INDEX(MACRS_table,MATCH(V$72,recovery_year,0),MATCH(depr_length,recovery_period,0)),""))</f>
        <v>136284.8486220403</v>
      </c>
      <c r="W113" s="195">
        <f>IF(AND(Main!$B$79="Straight Line",W$72&lt;=depr_length),$B113/depr_length,IF(AND(Main!$B$79="MACRS",W$72&lt;=depr_length+1),$B113*INDEX(MACRS_table,MATCH(W$72,recovery_year,0),MATCH(depr_length,recovery_period,0)),""))</f>
        <v>68157.69945657294</v>
      </c>
      <c r="X113" s="196" cm="1">
        <f t="array" ref="X113">SUMPRODUCT((ROW($C$73:$W$113)-MIN(ROW(E103:Y143))=MIN(COLUMN(E103:Y143))-COLUMN($C$73:$W$113))*($C$73:$W$113))</f>
        <v>50018749.718832061</v>
      </c>
    </row>
    <row r="114" spans="1:24" x14ac:dyDescent="0.15">
      <c r="A114" s="192"/>
      <c r="B114" s="192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192"/>
      <c r="O114" s="192"/>
      <c r="P114" s="192"/>
      <c r="Q114" s="192"/>
      <c r="R114" s="192"/>
      <c r="S114" s="192"/>
      <c r="T114" s="192"/>
      <c r="U114" s="192"/>
      <c r="V114" s="192"/>
      <c r="W114" s="192"/>
      <c r="X114" s="196" cm="1">
        <f t="array" ref="X114">SUMPRODUCT((ROW($C$73:$W$113)-MIN(ROW(E104:Y144))=MIN(COLUMN(E104:Y144))-COLUMN($C$73:$W$113))*($C$73:$W$113))</f>
        <v>47757024.050037391</v>
      </c>
    </row>
    <row r="115" spans="1:24" x14ac:dyDescent="0.15">
      <c r="A115" s="192"/>
      <c r="B115" s="19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192"/>
      <c r="O115" s="192"/>
      <c r="P115" s="192"/>
      <c r="Q115" s="192"/>
      <c r="R115" s="192"/>
      <c r="S115" s="192"/>
      <c r="T115" s="192"/>
      <c r="U115" s="192"/>
      <c r="V115" s="192"/>
      <c r="W115" s="192"/>
      <c r="X115" s="196" cm="1">
        <f t="array" ref="X115">SUMPRODUCT((ROW($C$73:$W$113)-MIN(ROW(E105:Y145))=MIN(COLUMN(E105:Y145))-COLUMN($C$73:$W$113))*($C$73:$W$113))</f>
        <v>45980928.770801365</v>
      </c>
    </row>
    <row r="116" spans="1:24" x14ac:dyDescent="0.15">
      <c r="A116" s="192"/>
      <c r="B116" s="19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192"/>
      <c r="O116" s="192"/>
      <c r="P116" s="192"/>
      <c r="Q116" s="192"/>
      <c r="R116" s="192"/>
      <c r="S116" s="192"/>
      <c r="T116" s="192"/>
      <c r="U116" s="192"/>
      <c r="V116" s="192"/>
      <c r="W116" s="192"/>
      <c r="X116" s="196" cm="1">
        <f t="array" ref="X116">SUMPRODUCT((ROW($C$73:$W$113)-MIN(ROW(E106:Y146))=MIN(COLUMN(E106:Y146))-COLUMN($C$73:$W$113))*($C$73:$W$113))</f>
        <v>44401510.39384146</v>
      </c>
    </row>
    <row r="117" spans="1:24" x14ac:dyDescent="0.15">
      <c r="A117" s="197"/>
      <c r="B117" s="197"/>
      <c r="C117" s="197"/>
      <c r="D117" s="197"/>
      <c r="E117" s="197"/>
      <c r="F117" s="197"/>
      <c r="G117" s="197"/>
      <c r="H117" s="192"/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192"/>
      <c r="T117" s="192"/>
      <c r="U117" s="192"/>
      <c r="V117" s="192"/>
      <c r="W117" s="192"/>
      <c r="X117" s="196" cm="1">
        <f t="array" ref="X117">SUMPRODUCT((ROW($C$73:$W$113)-MIN(ROW(E107:Y147))=MIN(COLUMN(E107:Y147))-COLUMN($C$73:$W$113))*($C$73:$W$113))</f>
        <v>45938596.644260883</v>
      </c>
    </row>
    <row r="118" spans="1:24" x14ac:dyDescent="0.15">
      <c r="A118" s="197"/>
      <c r="B118" s="197"/>
      <c r="C118" s="197"/>
      <c r="D118" s="197"/>
      <c r="E118" s="197"/>
      <c r="F118" s="197"/>
      <c r="G118" s="197"/>
      <c r="H118" s="192"/>
      <c r="I118" s="192"/>
      <c r="J118" s="192"/>
      <c r="K118" s="192"/>
      <c r="L118" s="192"/>
      <c r="M118" s="192"/>
      <c r="N118" s="192"/>
      <c r="O118" s="192"/>
      <c r="P118" s="192"/>
      <c r="Q118" s="192"/>
      <c r="R118" s="192"/>
      <c r="S118" s="192"/>
      <c r="T118" s="192"/>
      <c r="U118" s="192"/>
      <c r="V118" s="192"/>
      <c r="W118" s="192"/>
      <c r="X118" s="196" cm="1">
        <f t="array" ref="X118">SUMPRODUCT((ROW($C$73:$W$113)-MIN(ROW(E108:Y148))=MIN(COLUMN(E108:Y148))-COLUMN($C$73:$W$113))*($C$73:$W$113))</f>
        <v>47208853.209407039</v>
      </c>
    </row>
    <row r="119" spans="1:24" x14ac:dyDescent="0.15">
      <c r="A119" s="197"/>
      <c r="B119" s="197"/>
      <c r="C119" s="197"/>
      <c r="D119" s="197"/>
      <c r="E119" s="197"/>
      <c r="F119" s="197"/>
      <c r="G119" s="197"/>
      <c r="H119" s="192"/>
      <c r="I119" s="192"/>
      <c r="J119" s="192"/>
      <c r="K119" s="192"/>
      <c r="L119" s="192"/>
      <c r="M119" s="192"/>
      <c r="N119" s="192"/>
      <c r="O119" s="192"/>
      <c r="P119" s="192"/>
      <c r="Q119" s="192"/>
      <c r="R119" s="192"/>
      <c r="S119" s="192"/>
      <c r="T119" s="192"/>
      <c r="U119" s="192"/>
      <c r="V119" s="192"/>
      <c r="W119" s="192"/>
      <c r="X119" s="196" cm="1">
        <f t="array" ref="X119">SUMPRODUCT((ROW($C$73:$W$113)-MIN(ROW(E109:Y149))=MIN(COLUMN(E109:Y149))-COLUMN($C$73:$W$113))*($C$73:$W$113))</f>
        <v>45241681.048098199</v>
      </c>
    </row>
    <row r="120" spans="1:24" x14ac:dyDescent="0.15">
      <c r="A120" s="197"/>
      <c r="B120" s="197"/>
      <c r="C120" s="197"/>
      <c r="D120" s="197"/>
      <c r="E120" s="197"/>
      <c r="F120" s="197"/>
      <c r="G120" s="197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96" cm="1">
        <f t="array" ref="X120">SUMPRODUCT((ROW($C$73:$W$113)-MIN(ROW(E110:Y150))=MIN(COLUMN(E110:Y150))-COLUMN($C$73:$W$113))*($C$73:$W$113))</f>
        <v>44406700.906790026</v>
      </c>
    </row>
    <row r="121" spans="1:24" x14ac:dyDescent="0.15">
      <c r="A121" s="197"/>
      <c r="B121" s="197"/>
      <c r="C121" s="197"/>
      <c r="D121" s="197"/>
      <c r="E121" s="197"/>
      <c r="F121" s="197"/>
      <c r="G121" s="197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96" cm="1">
        <f t="array" ref="X121">SUMPRODUCT((ROW($C$73:$W$113)-MIN(ROW(E111:Y151))=MIN(COLUMN(E111:Y151))-COLUMN($C$73:$W$113))*($C$73:$W$113))</f>
        <v>43824111.251695238</v>
      </c>
    </row>
    <row r="122" spans="1:24" x14ac:dyDescent="0.15">
      <c r="A122" s="197"/>
      <c r="B122" s="197"/>
      <c r="C122" s="197"/>
      <c r="D122" s="197"/>
      <c r="E122" s="197"/>
      <c r="F122" s="197"/>
      <c r="G122" s="197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96" cm="1">
        <f t="array" ref="X122">SUMPRODUCT((ROW($C$73:$W$113)-MIN(ROW(E112:Y152))=MIN(COLUMN(E112:Y152))-COLUMN($C$73:$W$113))*($C$73:$W$113))</f>
        <v>36715238.924735852</v>
      </c>
    </row>
    <row r="123" spans="1:24" x14ac:dyDescent="0.15">
      <c r="A123" s="197"/>
      <c r="B123" s="197"/>
      <c r="C123" s="197"/>
      <c r="D123" s="197"/>
      <c r="E123" s="197"/>
      <c r="F123" s="197"/>
      <c r="G123" s="197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96" cm="1">
        <f t="array" ref="X123">SUMPRODUCT((ROW($C$73:$W$113)-MIN(ROW(E113:Y153))=MIN(COLUMN(E113:Y153))-COLUMN($C$73:$W$113))*($C$73:$W$113))</f>
        <v>29531215.958227426</v>
      </c>
    </row>
    <row r="124" spans="1:24" x14ac:dyDescent="0.15">
      <c r="A124" s="197"/>
      <c r="B124" s="197"/>
      <c r="C124" s="197"/>
      <c r="D124" s="197"/>
      <c r="E124" s="197"/>
      <c r="F124" s="197"/>
      <c r="G124" s="197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96" cm="1">
        <f t="array" ref="X124">SUMPRODUCT((ROW($C$73:$W$113)-MIN(ROW(E114:Y154))=MIN(COLUMN(E114:Y154))-COLUMN($C$73:$W$113))*($C$73:$W$113))</f>
        <v>28876824.912064467</v>
      </c>
    </row>
    <row r="125" spans="1:24" x14ac:dyDescent="0.15">
      <c r="A125" s="197"/>
      <c r="B125" s="197"/>
      <c r="C125" s="197"/>
      <c r="D125" s="197"/>
      <c r="E125" s="197"/>
      <c r="F125" s="197"/>
      <c r="G125" s="197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96" cm="1">
        <f t="array" ref="X125">SUMPRODUCT((ROW($C$73:$W$113)-MIN(ROW(E115:Y155))=MIN(COLUMN(E115:Y155))-COLUMN($C$73:$W$113))*($C$73:$W$113))</f>
        <v>28642665.249808047</v>
      </c>
    </row>
    <row r="126" spans="1:24" x14ac:dyDescent="0.15">
      <c r="A126" s="197"/>
      <c r="B126" s="197"/>
      <c r="C126" s="197"/>
      <c r="D126" s="197"/>
      <c r="E126" s="197"/>
      <c r="F126" s="197"/>
      <c r="G126" s="197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96" cm="1">
        <f t="array" ref="X126">SUMPRODUCT((ROW($C$73:$W$113)-MIN(ROW(E116:Y156))=MIN(COLUMN(E116:Y156))-COLUMN($C$73:$W$113))*($C$73:$W$113))</f>
        <v>28504391.863523506</v>
      </c>
    </row>
    <row r="127" spans="1:24" x14ac:dyDescent="0.15">
      <c r="A127" s="197"/>
      <c r="B127" s="197"/>
      <c r="C127" s="197"/>
      <c r="D127" s="197"/>
      <c r="E127" s="197"/>
      <c r="F127" s="197"/>
      <c r="G127" s="197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96" cm="1">
        <f t="array" ref="X127">SUMPRODUCT((ROW($C$73:$W$113)-MIN(ROW(E117:Y157))=MIN(COLUMN(E117:Y157))-COLUMN($C$73:$W$113))*($C$73:$W$113))</f>
        <v>25883006.829430189</v>
      </c>
    </row>
    <row r="128" spans="1:24" x14ac:dyDescent="0.15">
      <c r="A128" s="197"/>
      <c r="B128" s="197"/>
      <c r="C128" s="197"/>
      <c r="D128" s="197"/>
      <c r="E128" s="197"/>
      <c r="F128" s="197"/>
      <c r="G128" s="197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96" cm="1">
        <f t="array" ref="X128">SUMPRODUCT((ROW($C$73:$W$113)-MIN(ROW(E118:Y158))=MIN(COLUMN(E118:Y158))-COLUMN($C$73:$W$113))*($C$73:$W$113))</f>
        <v>23274724.30903884</v>
      </c>
    </row>
    <row r="129" spans="1:26" x14ac:dyDescent="0.15">
      <c r="A129" s="197"/>
      <c r="B129" s="197"/>
      <c r="C129" s="197"/>
      <c r="D129" s="197"/>
      <c r="E129" s="197"/>
      <c r="F129" s="197"/>
      <c r="G129" s="197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96" cm="1">
        <f t="array" ref="X129">SUMPRODUCT((ROW($C$73:$W$113)-MIN(ROW(E119:Y159))=MIN(COLUMN(E119:Y159))-COLUMN($C$73:$W$113))*($C$73:$W$113))</f>
        <v>23162993.546447959</v>
      </c>
    </row>
    <row r="130" spans="1:26" x14ac:dyDescent="0.15">
      <c r="A130" s="197"/>
      <c r="B130" s="197"/>
      <c r="C130" s="197"/>
      <c r="D130" s="197"/>
      <c r="E130" s="197"/>
      <c r="F130" s="197"/>
      <c r="G130" s="197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96" cm="1">
        <f t="array" ref="X130">SUMPRODUCT((ROW($C$73:$W$113)-MIN(ROW(E120:Y160))=MIN(COLUMN(E120:Y160))-COLUMN($C$73:$W$113))*($C$73:$W$113))</f>
        <v>23055353.107087784</v>
      </c>
    </row>
    <row r="131" spans="1:26" x14ac:dyDescent="0.15">
      <c r="A131" s="197"/>
      <c r="B131" s="197"/>
      <c r="C131" s="197"/>
      <c r="D131" s="197"/>
      <c r="E131" s="197"/>
      <c r="F131" s="197"/>
      <c r="G131" s="197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96" cm="1">
        <f t="array" ref="X131">SUMPRODUCT((ROW($C$73:$W$113)-MIN(ROW(E121:Y162))=MIN(COLUMN(E121:Y162))-COLUMN($C$73:$W$113))*($C$73:$W$113))</f>
        <v>22941353.267204665</v>
      </c>
    </row>
    <row r="132" spans="1:26" x14ac:dyDescent="0.15">
      <c r="A132" s="197"/>
      <c r="B132" s="197"/>
      <c r="C132" s="197"/>
      <c r="D132" s="197"/>
      <c r="E132" s="197"/>
      <c r="F132" s="197"/>
      <c r="G132" s="197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96" cm="1">
        <f t="array" ref="X132">SUMPRODUCT((ROW($C$73:$W$113)-MIN(ROW(E122:Y163))=MIN(COLUMN(E122:Y163))-COLUMN($C$73:$W$113))*($C$73:$W$113))</f>
        <v>15020121.847045207</v>
      </c>
      <c r="Y132" s="158"/>
    </row>
    <row r="133" spans="1:26" x14ac:dyDescent="0.15">
      <c r="A133" s="197"/>
      <c r="B133" s="197"/>
      <c r="C133" s="197"/>
      <c r="D133" s="197"/>
      <c r="E133" s="197"/>
      <c r="F133" s="197"/>
      <c r="G133" s="197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96" cm="1">
        <f t="array" ref="X133">SUMPRODUCT((ROW($C$73:$W$113)-MIN(ROW(E123:Y164))=MIN(COLUMN(E123:Y164))-COLUMN($C$73:$W$113))*($C$73:$W$113))</f>
        <v>7095951.4085812503</v>
      </c>
      <c r="Y133" s="158"/>
      <c r="Z133" s="187"/>
    </row>
    <row r="134" spans="1:26" x14ac:dyDescent="0.15">
      <c r="A134" s="197"/>
      <c r="B134" s="197"/>
      <c r="C134" s="197"/>
      <c r="D134" s="197"/>
      <c r="E134" s="197"/>
      <c r="F134" s="197"/>
      <c r="G134" s="197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96" cm="1">
        <f t="array" ref="X134">SUMPRODUCT((ROW($C$73:$W$113)-MIN(ROW(E124:Y165))=MIN(COLUMN(E124:Y165))-COLUMN($C$73:$W$113))*($C$73:$W$113))</f>
        <v>6976226.6997382864</v>
      </c>
      <c r="Y134" s="158"/>
      <c r="Z134" s="187"/>
    </row>
    <row r="135" spans="1:26" x14ac:dyDescent="0.15"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98"/>
      <c r="X135" s="187"/>
      <c r="Y135" s="158"/>
      <c r="Z135" s="187"/>
    </row>
    <row r="136" spans="1:26" x14ac:dyDescent="0.15"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98"/>
      <c r="X136" s="187"/>
      <c r="Y136" s="158"/>
      <c r="Z136" s="187"/>
    </row>
    <row r="137" spans="1:26" ht="16" x14ac:dyDescent="0.2">
      <c r="A137" s="23" t="s">
        <v>96</v>
      </c>
      <c r="B137" s="23"/>
      <c r="C137" s="199"/>
      <c r="D137" s="199"/>
      <c r="E137" s="199"/>
      <c r="F137" s="199"/>
      <c r="G137" s="199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8"/>
      <c r="X137" s="187"/>
      <c r="Y137" s="158"/>
      <c r="Z137" s="187"/>
    </row>
    <row r="138" spans="1:26" x14ac:dyDescent="0.15">
      <c r="A138" s="199"/>
      <c r="B138" s="200" t="s">
        <v>97</v>
      </c>
      <c r="C138" s="199"/>
      <c r="D138" s="199"/>
      <c r="E138" s="199"/>
      <c r="F138" s="199"/>
      <c r="G138" s="199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8"/>
      <c r="X138" s="187"/>
      <c r="Y138" s="158"/>
      <c r="Z138" s="187"/>
    </row>
    <row r="139" spans="1:26" x14ac:dyDescent="0.15">
      <c r="A139" s="200" t="s">
        <v>98</v>
      </c>
      <c r="B139" s="199">
        <v>3</v>
      </c>
      <c r="C139" s="199">
        <v>5</v>
      </c>
      <c r="D139" s="199">
        <v>7</v>
      </c>
      <c r="E139" s="199">
        <v>10</v>
      </c>
      <c r="F139" s="199">
        <v>15</v>
      </c>
      <c r="G139" s="199">
        <v>20</v>
      </c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8"/>
      <c r="X139" s="187"/>
      <c r="Y139" s="158"/>
      <c r="Z139" s="187"/>
    </row>
    <row r="140" spans="1:26" x14ac:dyDescent="0.15">
      <c r="A140" s="125">
        <v>1</v>
      </c>
      <c r="B140" s="201">
        <v>0.33329999999999999</v>
      </c>
      <c r="C140" s="201">
        <v>0.2</v>
      </c>
      <c r="D140" s="201">
        <v>0.1429</v>
      </c>
      <c r="E140" s="201">
        <v>0.1</v>
      </c>
      <c r="F140" s="201">
        <v>0.05</v>
      </c>
      <c r="G140" s="201">
        <v>3.7499999999999999E-2</v>
      </c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8"/>
      <c r="X140" s="187"/>
      <c r="Y140" s="158"/>
      <c r="Z140" s="187"/>
    </row>
    <row r="141" spans="1:26" x14ac:dyDescent="0.15">
      <c r="A141" s="125">
        <v>2</v>
      </c>
      <c r="B141" s="201">
        <v>0.44450000000000001</v>
      </c>
      <c r="C141" s="201">
        <v>0.32</v>
      </c>
      <c r="D141" s="201">
        <v>0.24490000000000001</v>
      </c>
      <c r="E141" s="201">
        <v>0.18</v>
      </c>
      <c r="F141" s="201">
        <v>9.5000000000000001E-2</v>
      </c>
      <c r="G141" s="201">
        <v>7.2190000000000004E-2</v>
      </c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8"/>
      <c r="X141" s="187"/>
      <c r="Y141" s="158"/>
      <c r="Z141" s="187"/>
    </row>
    <row r="142" spans="1:26" x14ac:dyDescent="0.15">
      <c r="A142" s="125">
        <v>3</v>
      </c>
      <c r="B142" s="201">
        <v>0.14810000000000001</v>
      </c>
      <c r="C142" s="201">
        <v>0.192</v>
      </c>
      <c r="D142" s="201">
        <v>0.1749</v>
      </c>
      <c r="E142" s="201">
        <v>0.14399999999999999</v>
      </c>
      <c r="F142" s="201">
        <v>8.5500000000000007E-2</v>
      </c>
      <c r="G142" s="201">
        <v>6.6769999999999996E-2</v>
      </c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8"/>
      <c r="X142" s="187"/>
      <c r="Y142" s="158"/>
      <c r="Z142" s="187"/>
    </row>
    <row r="143" spans="1:26" x14ac:dyDescent="0.15">
      <c r="A143" s="125">
        <v>4</v>
      </c>
      <c r="B143" s="201">
        <v>7.4099999999999999E-2</v>
      </c>
      <c r="C143" s="201">
        <v>0.1152</v>
      </c>
      <c r="D143" s="201">
        <v>0.1249</v>
      </c>
      <c r="E143" s="201">
        <v>0.1152</v>
      </c>
      <c r="F143" s="201">
        <v>7.6999999999999999E-2</v>
      </c>
      <c r="G143" s="201">
        <v>6.1769999999999999E-2</v>
      </c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8"/>
      <c r="Z143" s="187"/>
    </row>
    <row r="144" spans="1:26" x14ac:dyDescent="0.15">
      <c r="A144" s="125">
        <v>5</v>
      </c>
      <c r="B144" s="201"/>
      <c r="C144" s="201">
        <v>0.1152</v>
      </c>
      <c r="D144" s="201">
        <v>8.9300000000000004E-2</v>
      </c>
      <c r="E144" s="201">
        <v>9.2200000000000004E-2</v>
      </c>
      <c r="F144" s="201">
        <v>6.93E-2</v>
      </c>
      <c r="G144" s="201">
        <v>5.713E-2</v>
      </c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  <c r="Y144" s="158"/>
      <c r="Z144" s="187"/>
    </row>
    <row r="145" spans="1:26" x14ac:dyDescent="0.15">
      <c r="A145" s="125">
        <v>6</v>
      </c>
      <c r="B145" s="201"/>
      <c r="C145" s="201">
        <v>5.7599999999999998E-2</v>
      </c>
      <c r="D145" s="201">
        <v>8.9200000000000002E-2</v>
      </c>
      <c r="E145" s="201">
        <v>7.3700000000000002E-2</v>
      </c>
      <c r="F145" s="201">
        <v>6.2300000000000001E-2</v>
      </c>
      <c r="G145" s="201">
        <v>5.2850000000000001E-2</v>
      </c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8"/>
      <c r="Z145" s="187"/>
    </row>
    <row r="146" spans="1:26" x14ac:dyDescent="0.15">
      <c r="A146" s="125">
        <v>7</v>
      </c>
      <c r="B146" s="201"/>
      <c r="C146" s="201"/>
      <c r="D146" s="201">
        <v>8.9300000000000004E-2</v>
      </c>
      <c r="E146" s="201">
        <v>6.5500000000000003E-2</v>
      </c>
      <c r="F146" s="201">
        <v>5.8999999999999997E-2</v>
      </c>
      <c r="G146" s="201">
        <v>4.888E-2</v>
      </c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  <c r="Y146" s="158"/>
      <c r="Z146" s="187"/>
    </row>
    <row r="147" spans="1:26" x14ac:dyDescent="0.15">
      <c r="A147" s="125">
        <v>8</v>
      </c>
      <c r="B147" s="201"/>
      <c r="C147" s="201"/>
      <c r="D147" s="201">
        <v>4.4600000000000001E-2</v>
      </c>
      <c r="E147" s="201">
        <v>6.5500000000000003E-2</v>
      </c>
      <c r="F147" s="201">
        <v>5.8999999999999997E-2</v>
      </c>
      <c r="G147" s="201">
        <v>4.5220000000000003E-2</v>
      </c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8"/>
      <c r="Z147" s="187"/>
    </row>
    <row r="148" spans="1:26" x14ac:dyDescent="0.15">
      <c r="A148" s="125">
        <v>9</v>
      </c>
      <c r="B148" s="201"/>
      <c r="C148" s="201"/>
      <c r="D148" s="201"/>
      <c r="E148" s="201">
        <v>6.5600000000000006E-2</v>
      </c>
      <c r="F148" s="201">
        <v>5.91E-2</v>
      </c>
      <c r="G148" s="201">
        <v>4.462E-2</v>
      </c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  <c r="Y148" s="158"/>
      <c r="Z148" s="187"/>
    </row>
    <row r="149" spans="1:26" x14ac:dyDescent="0.15">
      <c r="A149" s="125">
        <v>10</v>
      </c>
      <c r="B149" s="201"/>
      <c r="C149" s="201"/>
      <c r="D149" s="201"/>
      <c r="E149" s="201">
        <v>6.5500000000000003E-2</v>
      </c>
      <c r="F149" s="201">
        <v>5.8999999999999997E-2</v>
      </c>
      <c r="G149" s="201">
        <v>4.4609999999999997E-2</v>
      </c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  <c r="Y149" s="158"/>
      <c r="Z149" s="187"/>
    </row>
    <row r="150" spans="1:26" x14ac:dyDescent="0.15">
      <c r="A150" s="125">
        <v>11</v>
      </c>
      <c r="B150" s="201"/>
      <c r="C150" s="201"/>
      <c r="D150" s="201"/>
      <c r="E150" s="201">
        <v>3.2800000000000003E-2</v>
      </c>
      <c r="F150" s="201">
        <v>5.91E-2</v>
      </c>
      <c r="G150" s="201">
        <v>4.462E-2</v>
      </c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  <c r="Y150" s="158"/>
      <c r="Z150" s="187"/>
    </row>
    <row r="151" spans="1:26" x14ac:dyDescent="0.15">
      <c r="A151" s="125">
        <v>12</v>
      </c>
      <c r="B151" s="201"/>
      <c r="C151" s="201"/>
      <c r="D151" s="201"/>
      <c r="E151" s="201"/>
      <c r="F151" s="201">
        <v>5.8999999999999997E-2</v>
      </c>
      <c r="G151" s="201">
        <v>4.4609999999999997E-2</v>
      </c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8"/>
      <c r="Z151" s="187"/>
    </row>
    <row r="152" spans="1:26" x14ac:dyDescent="0.15">
      <c r="A152" s="125">
        <v>13</v>
      </c>
      <c r="B152" s="201"/>
      <c r="C152" s="201"/>
      <c r="D152" s="201"/>
      <c r="E152" s="201"/>
      <c r="F152" s="201">
        <v>5.91E-2</v>
      </c>
      <c r="G152" s="201">
        <v>4.462E-2</v>
      </c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8"/>
      <c r="Z152" s="187"/>
    </row>
    <row r="153" spans="1:26" x14ac:dyDescent="0.15">
      <c r="A153" s="125">
        <v>14</v>
      </c>
      <c r="B153" s="201"/>
      <c r="C153" s="201"/>
      <c r="D153" s="201"/>
      <c r="E153" s="201"/>
      <c r="F153" s="201">
        <v>5.8999999999999997E-2</v>
      </c>
      <c r="G153" s="201">
        <v>4.4609999999999997E-2</v>
      </c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8"/>
      <c r="Z153" s="187"/>
    </row>
    <row r="154" spans="1:26" x14ac:dyDescent="0.15">
      <c r="A154" s="125">
        <v>15</v>
      </c>
      <c r="B154" s="201"/>
      <c r="C154" s="201"/>
      <c r="D154" s="201"/>
      <c r="E154" s="201"/>
      <c r="F154" s="201">
        <v>5.91E-2</v>
      </c>
      <c r="G154" s="201">
        <v>4.462E-2</v>
      </c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8"/>
      <c r="Z154" s="187"/>
    </row>
    <row r="155" spans="1:26" x14ac:dyDescent="0.15">
      <c r="A155" s="125">
        <v>16</v>
      </c>
      <c r="B155" s="201"/>
      <c r="C155" s="201"/>
      <c r="D155" s="201"/>
      <c r="E155" s="201"/>
      <c r="F155" s="201">
        <v>2.9499999999999998E-2</v>
      </c>
      <c r="G155" s="201">
        <v>4.4609999999999997E-2</v>
      </c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8"/>
      <c r="Z155" s="187"/>
    </row>
    <row r="156" spans="1:26" x14ac:dyDescent="0.15">
      <c r="A156" s="125">
        <v>17</v>
      </c>
      <c r="B156" s="201"/>
      <c r="C156" s="201"/>
      <c r="D156" s="201"/>
      <c r="E156" s="201"/>
      <c r="F156" s="201"/>
      <c r="G156" s="201">
        <v>4.462E-2</v>
      </c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8"/>
      <c r="Z156" s="187"/>
    </row>
    <row r="157" spans="1:26" x14ac:dyDescent="0.15">
      <c r="A157" s="125">
        <v>18</v>
      </c>
      <c r="B157" s="201"/>
      <c r="C157" s="201"/>
      <c r="D157" s="201"/>
      <c r="E157" s="201"/>
      <c r="F157" s="201"/>
      <c r="G157" s="201">
        <v>4.4609999999999997E-2</v>
      </c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8"/>
      <c r="Z157" s="187"/>
    </row>
    <row r="158" spans="1:26" x14ac:dyDescent="0.15">
      <c r="A158" s="125">
        <v>19</v>
      </c>
      <c r="B158" s="201"/>
      <c r="C158" s="201"/>
      <c r="D158" s="201"/>
      <c r="E158" s="201"/>
      <c r="F158" s="201"/>
      <c r="G158" s="201">
        <v>4.462E-2</v>
      </c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8"/>
      <c r="Z158" s="187"/>
    </row>
    <row r="159" spans="1:26" x14ac:dyDescent="0.15">
      <c r="A159" s="125">
        <v>20</v>
      </c>
      <c r="B159" s="201"/>
      <c r="C159" s="201"/>
      <c r="D159" s="201"/>
      <c r="E159" s="201"/>
      <c r="F159" s="201"/>
      <c r="G159" s="201">
        <v>4.4609999999999997E-2</v>
      </c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8"/>
      <c r="Z159" s="187"/>
    </row>
    <row r="160" spans="1:26" x14ac:dyDescent="0.15">
      <c r="A160" s="125">
        <v>21</v>
      </c>
      <c r="B160" s="201"/>
      <c r="C160" s="201"/>
      <c r="D160" s="201"/>
      <c r="E160" s="201"/>
      <c r="F160" s="201"/>
      <c r="G160" s="201">
        <v>2.231E-2</v>
      </c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8"/>
      <c r="Z160" s="187"/>
    </row>
    <row r="161" spans="1:29" x14ac:dyDescent="0.15">
      <c r="A161" s="125"/>
      <c r="B161" s="201"/>
      <c r="C161" s="201"/>
      <c r="D161" s="201"/>
      <c r="E161" s="201"/>
      <c r="F161" s="201"/>
      <c r="G161" s="201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8"/>
      <c r="Z161" s="187"/>
    </row>
    <row r="162" spans="1:29" x14ac:dyDescent="0.15">
      <c r="A162" s="130" t="s">
        <v>99</v>
      </c>
      <c r="B162" s="202">
        <f t="shared" ref="B162:G162" si="21">NPV(real_irr,B140:B160)</f>
        <v>0.89307913611350176</v>
      </c>
      <c r="C162" s="202">
        <f t="shared" si="21"/>
        <v>0.85262406707829264</v>
      </c>
      <c r="D162" s="202">
        <f t="shared" si="21"/>
        <v>0.81553818710746073</v>
      </c>
      <c r="E162" s="202">
        <f t="shared" si="21"/>
        <v>0.76488492316790624</v>
      </c>
      <c r="F162" s="202">
        <f t="shared" si="21"/>
        <v>0.65491576635882343</v>
      </c>
      <c r="G162" s="202">
        <f t="shared" si="21"/>
        <v>0.58668676708808321</v>
      </c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8"/>
      <c r="Z162" s="187"/>
    </row>
    <row r="163" spans="1:29" x14ac:dyDescent="0.15">
      <c r="A163" s="130" t="s">
        <v>100</v>
      </c>
      <c r="B163" s="202">
        <f t="shared" ref="B163:G163" si="22">NPV(nominal_irr,B140:B160)</f>
        <v>0.8615177618044183</v>
      </c>
      <c r="C163" s="202">
        <f t="shared" si="22"/>
        <v>0.81104851097083042</v>
      </c>
      <c r="D163" s="202">
        <f t="shared" si="22"/>
        <v>0.76578402636027065</v>
      </c>
      <c r="E163" s="202">
        <f t="shared" si="22"/>
        <v>0.70553718809755184</v>
      </c>
      <c r="F163" s="202">
        <f t="shared" si="22"/>
        <v>0.57919112913161841</v>
      </c>
      <c r="G163" s="202">
        <f t="shared" si="22"/>
        <v>0.50574295307517025</v>
      </c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8"/>
      <c r="Z163" s="187"/>
    </row>
    <row r="164" spans="1:29" x14ac:dyDescent="0.15"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8"/>
      <c r="Z164" s="187"/>
    </row>
    <row r="165" spans="1:29" x14ac:dyDescent="0.15"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8"/>
      <c r="Z165" s="187"/>
    </row>
    <row r="166" spans="1:29" ht="16" x14ac:dyDescent="0.15">
      <c r="A166" s="132" t="s">
        <v>76</v>
      </c>
      <c r="B166" s="374"/>
      <c r="C166" s="374"/>
      <c r="D166" s="374"/>
      <c r="E166" s="374"/>
      <c r="F166" s="374"/>
      <c r="G166" s="374"/>
      <c r="H166" s="410"/>
      <c r="I166" s="410"/>
      <c r="J166" s="410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8"/>
      <c r="Z166" s="187"/>
    </row>
    <row r="167" spans="1:29" ht="16" x14ac:dyDescent="0.15">
      <c r="A167" s="132"/>
      <c r="B167" s="374"/>
      <c r="C167" s="374"/>
      <c r="D167" s="374"/>
      <c r="E167" s="374"/>
      <c r="F167" s="374"/>
      <c r="G167" s="374"/>
      <c r="H167" s="410"/>
      <c r="I167" s="410"/>
      <c r="J167" s="410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8"/>
      <c r="Z167" s="187"/>
    </row>
    <row r="168" spans="1:29" ht="28" x14ac:dyDescent="0.15">
      <c r="A168" s="405" t="s">
        <v>3</v>
      </c>
      <c r="B168" s="405" t="s">
        <v>4</v>
      </c>
      <c r="C168" s="405" t="s">
        <v>5</v>
      </c>
      <c r="D168" s="405" t="s">
        <v>6</v>
      </c>
      <c r="E168" s="408" t="s">
        <v>364</v>
      </c>
      <c r="F168" s="408" t="s">
        <v>365</v>
      </c>
      <c r="G168" s="409" t="s">
        <v>366</v>
      </c>
      <c r="H168" s="408" t="s">
        <v>367</v>
      </c>
      <c r="I168" s="408" t="s">
        <v>368</v>
      </c>
      <c r="J168" s="408" t="s">
        <v>29</v>
      </c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8"/>
      <c r="AC168" s="187"/>
    </row>
    <row r="169" spans="1:29" x14ac:dyDescent="0.15">
      <c r="A169" s="133">
        <f>startup_year-construct_period</f>
        <v>2018</v>
      </c>
      <c r="B169" s="133">
        <v>1</v>
      </c>
      <c r="C169" s="133">
        <v>-1</v>
      </c>
      <c r="D169" s="412">
        <f t="shared" ref="D169:D209" si="23">(1+inflation_rate)^(A169-startup_year)</f>
        <v>0.9813542688910698</v>
      </c>
      <c r="E169" s="411">
        <f>IF((OR(A169&lt;startup_year,C169&gt;anal_period)),0,-D169*Main!$E$139)</f>
        <v>0</v>
      </c>
      <c r="F169" s="411">
        <f>IF((OR(A169&lt;startup_year,C169&gt;anal_period)),0,IF(MOD((C169-startup_time),Main!$C$140)=0,-D169*Main!$E$140,0))</f>
        <v>0</v>
      </c>
      <c r="G169" s="411">
        <f>IF((OR(A169&lt;startup_year,C169&gt;anal_period)),0,IF(MOD((C169-startup_time),Main!$C$141)=0,-D169*Main!$E$141,0))</f>
        <v>0</v>
      </c>
      <c r="H169" s="411">
        <f>IF((OR(A169&lt;startup_year,C169&gt;anal_period)),0,IF(MOD((C169-startup_time),Main!$C$142)=0,-D169*Main!$E$142,0))</f>
        <v>0</v>
      </c>
      <c r="I169" s="411">
        <f>IF((OR(A169&lt;startup_year,C169&gt;anal_period)),0,IF(MOD((C169-startup_time),Main!$C$143)=0,-D169*Main!$E$143,0))</f>
        <v>0</v>
      </c>
      <c r="J169" s="411">
        <f>SUM(E169:I169)</f>
        <v>0</v>
      </c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8"/>
      <c r="AC169" s="187"/>
    </row>
    <row r="170" spans="1:29" x14ac:dyDescent="0.15">
      <c r="A170" s="133">
        <f>startup_year</f>
        <v>2019</v>
      </c>
      <c r="B170" s="133">
        <f>B169+1</f>
        <v>2</v>
      </c>
      <c r="C170" s="133">
        <v>1</v>
      </c>
      <c r="D170" s="412">
        <f t="shared" si="23"/>
        <v>1</v>
      </c>
      <c r="E170" s="411">
        <f>IF((OR(A170&lt;startup_year,C170&gt;anal_period)),0,IF(MOD((C170-startup_time),Main!$C$139)=0,-D170*Main!$E$139,0))</f>
        <v>-1466297.7785849196</v>
      </c>
      <c r="F170" s="411">
        <f>IF((OR(A170&lt;(startup_year+startup_time),C170&gt;anal_period)),0,IF(MOD((C170-startup_time),Main!$C$140)=0,-D170*Main!$E$140,0))</f>
        <v>0</v>
      </c>
      <c r="G170" s="411">
        <f>IF((OR(A170&lt;(startup_year+startup_time),C170&gt;anal_period)),0,IF(MOD((C170-startup_time),Main!$C$141)=0,-D170*Main!$E$141,0))</f>
        <v>0</v>
      </c>
      <c r="H170" s="411">
        <f>IF((OR(A170&lt;(startup_year+startup_time),C170&gt;anal_period)),0,IF(MOD((C170-startup_time),Main!$C$142)=0,-D170*Main!$E$142,0))</f>
        <v>0</v>
      </c>
      <c r="I170" s="411">
        <f>IF((OR(A170&lt;(startup_year+startup_time),C170&gt;anal_period)),0,IF(MOD((C170-startup_time),Main!$C$143)=0,-D170*Main!$E$143,0))</f>
        <v>0</v>
      </c>
      <c r="J170" s="411">
        <f t="shared" ref="J170:J209" si="24">SUM(E170:I170)</f>
        <v>-1466297.7785849196</v>
      </c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8"/>
      <c r="AC170" s="187"/>
    </row>
    <row r="171" spans="1:29" x14ac:dyDescent="0.15">
      <c r="A171" s="133">
        <f t="shared" ref="A171:A209" si="25">A170+1</f>
        <v>2020</v>
      </c>
      <c r="B171" s="133">
        <v>3</v>
      </c>
      <c r="C171" s="133">
        <f t="shared" ref="C171:C209" si="26">C170+1</f>
        <v>2</v>
      </c>
      <c r="D171" s="412">
        <f t="shared" si="23"/>
        <v>1.0189999999999999</v>
      </c>
      <c r="E171" s="411">
        <f>IF((OR(A171&lt;startup_year,C171&gt;anal_period)),0,IF(MOD((C171-startup_time),Main!$C$139)=0,-D171*Main!$E$139,0))</f>
        <v>-1494157.4363780329</v>
      </c>
      <c r="F171" s="411">
        <f>IF((OR(A171&lt;startup_year,C171&gt;anal_period)),0,IF(MOD((C171-startup_time),Main!$C$140)=0,-D171*Main!$E$140,0))</f>
        <v>0</v>
      </c>
      <c r="G171" s="411">
        <f>IF((OR(A171&lt;startup_year,C171&gt;anal_period)),0,IF(MOD((C171-startup_time),Main!$C$141)=0,-D171*Main!$E$141,0))</f>
        <v>0</v>
      </c>
      <c r="H171" s="411">
        <f>IF((OR(A171&lt;startup_year,C171&gt;anal_period)),0,IF(MOD((C171-startup_time),Main!$C$142)=0,-D171*Main!$E$142,0))</f>
        <v>0</v>
      </c>
      <c r="I171" s="411">
        <f>IF((OR(A171&lt;startup_year,C171&gt;anal_period)),0,IF(MOD((C171-startup_time),Main!$C$143)=0,-D171*Main!$E$143,0))</f>
        <v>0</v>
      </c>
      <c r="J171" s="411">
        <f t="shared" si="24"/>
        <v>-1494157.4363780329</v>
      </c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  <c r="Y171" s="157"/>
      <c r="Z171" s="157"/>
      <c r="AA171" s="157"/>
      <c r="AB171" s="158"/>
      <c r="AC171" s="187"/>
    </row>
    <row r="172" spans="1:29" x14ac:dyDescent="0.15">
      <c r="A172" s="133">
        <f t="shared" si="25"/>
        <v>2021</v>
      </c>
      <c r="B172" s="133">
        <v>4</v>
      </c>
      <c r="C172" s="133">
        <f t="shared" si="26"/>
        <v>3</v>
      </c>
      <c r="D172" s="412">
        <f t="shared" si="23"/>
        <v>1.0383609999999999</v>
      </c>
      <c r="E172" s="411">
        <f>IF((OR(A172&lt;startup_year,C172&gt;anal_period)),0,IF(MOD((C172-startup_time),Main!$C$139)=0,-D172*Main!$E$139,0))</f>
        <v>-1522546.4276692155</v>
      </c>
      <c r="F172" s="411">
        <f>IF((OR(A172&lt;startup_year,C172&gt;anal_period)),0,IF(MOD((C172-startup_time),Main!$C$140)=0,-D172*Main!$E$140,0))</f>
        <v>0</v>
      </c>
      <c r="G172" s="411">
        <f>IF((OR(A172&lt;startup_year,C172&gt;anal_period)),0,IF(MOD((C172-startup_time),Main!$C$141)=0,-D172*Main!$E$141,0))</f>
        <v>0</v>
      </c>
      <c r="H172" s="411">
        <f>IF((OR(A172&lt;startup_year,C172&gt;anal_period)),0,IF(MOD((C172-startup_time),Main!$C$142)=0,-D172*Main!$E$142,0))</f>
        <v>0</v>
      </c>
      <c r="I172" s="411">
        <f>IF((OR(A172&lt;startup_year,C172&gt;anal_period)),0,IF(MOD((C172-startup_time),Main!$C$143)=0,-D172*Main!$E$143,0))</f>
        <v>0</v>
      </c>
      <c r="J172" s="411">
        <f t="shared" si="24"/>
        <v>-1522546.4276692155</v>
      </c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8"/>
      <c r="AC172" s="187"/>
    </row>
    <row r="173" spans="1:29" x14ac:dyDescent="0.15">
      <c r="A173" s="133">
        <f t="shared" si="25"/>
        <v>2022</v>
      </c>
      <c r="B173" s="133">
        <v>5</v>
      </c>
      <c r="C173" s="133">
        <f t="shared" si="26"/>
        <v>4</v>
      </c>
      <c r="D173" s="412">
        <f t="shared" si="23"/>
        <v>1.0580898589999999</v>
      </c>
      <c r="E173" s="411">
        <f>IF((OR(A173&lt;startup_year,C173&gt;anal_period)),0,IF(MOD((C173-startup_time),Main!$C$139)=0,-D173*Main!$E$139,0))</f>
        <v>-1551474.8097949307</v>
      </c>
      <c r="F173" s="411">
        <f>IF((OR(A173&lt;startup_year,C173&gt;anal_period)),0,IF(MOD((C173-startup_time),Main!$C$140)=0,-D173*Main!$E$140,0))</f>
        <v>0</v>
      </c>
      <c r="G173" s="411">
        <f>IF((OR(A173&lt;startup_year,C173&gt;anal_period)),0,IF(MOD((C173-startup_time),Main!$C$141)=0,-D173*Main!$E$141,0))</f>
        <v>0</v>
      </c>
      <c r="H173" s="411">
        <f>IF((OR(A173&lt;startup_year,C173&gt;anal_period)),0,IF(MOD((C173-startup_time),Main!$C$142)=0,-D173*Main!$E$142,0))</f>
        <v>0</v>
      </c>
      <c r="I173" s="411">
        <f>IF((OR(A173&lt;startup_year,C173&gt;anal_period)),0,IF(MOD((C173-startup_time),Main!$C$143)=0,-D173*Main!$E$143,0))</f>
        <v>0</v>
      </c>
      <c r="J173" s="411">
        <f t="shared" si="24"/>
        <v>-1551474.8097949307</v>
      </c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157"/>
      <c r="Y173" s="157"/>
      <c r="Z173" s="157"/>
      <c r="AA173" s="157"/>
      <c r="AB173" s="158"/>
      <c r="AC173" s="187"/>
    </row>
    <row r="174" spans="1:29" x14ac:dyDescent="0.15">
      <c r="A174" s="133">
        <f t="shared" si="25"/>
        <v>2023</v>
      </c>
      <c r="B174" s="133">
        <v>6</v>
      </c>
      <c r="C174" s="133">
        <f t="shared" si="26"/>
        <v>5</v>
      </c>
      <c r="D174" s="412">
        <f t="shared" si="23"/>
        <v>1.0781935663209998</v>
      </c>
      <c r="E174" s="411">
        <f>IF((OR(A174&lt;startup_year,C174&gt;anal_period)),0,IF(MOD((C174-startup_time),Main!$C$139)=0,-D174*Main!$E$139,0))</f>
        <v>-1580952.8311810342</v>
      </c>
      <c r="F174" s="411">
        <f>IF((OR(A174&lt;startup_year,C174&gt;anal_period)),0,IF(MOD((C174-startup_time),Main!$C$140)=0,-D174*Main!$E$140,0))</f>
        <v>0</v>
      </c>
      <c r="G174" s="411">
        <f>IF((OR(A174&lt;startup_year,C174&gt;anal_period)),0,IF(MOD((C174-startup_time),Main!$C$141)=0,-D174*Main!$E$141,0))</f>
        <v>0</v>
      </c>
      <c r="H174" s="411">
        <f>IF((OR(A174&lt;startup_year,C174&gt;anal_period)),0,IF(MOD((C174-startup_time),Main!$C$142)=0,-D174*Main!$E$142,0))</f>
        <v>0</v>
      </c>
      <c r="I174" s="411">
        <f>IF((OR(A174&lt;startup_year,C174&gt;anal_period)),0,IF(MOD((C174-startup_time),Main!$C$143)=0,-D174*Main!$E$143,0))</f>
        <v>0</v>
      </c>
      <c r="J174" s="411">
        <f t="shared" si="24"/>
        <v>-1580952.8311810342</v>
      </c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157"/>
      <c r="Y174" s="157"/>
      <c r="Z174" s="157"/>
      <c r="AA174" s="157"/>
      <c r="AB174" s="158"/>
      <c r="AC174" s="187"/>
    </row>
    <row r="175" spans="1:29" x14ac:dyDescent="0.15">
      <c r="A175" s="133">
        <f t="shared" si="25"/>
        <v>2024</v>
      </c>
      <c r="B175" s="133">
        <v>7</v>
      </c>
      <c r="C175" s="133">
        <f t="shared" si="26"/>
        <v>6</v>
      </c>
      <c r="D175" s="412">
        <f t="shared" si="23"/>
        <v>1.0986792440810986</v>
      </c>
      <c r="E175" s="411">
        <f>IF((OR(A175&lt;startup_year,C175&gt;anal_period)),0,IF(MOD((C175-startup_time),Main!$C$139)=0,-D175*Main!$E$139,0))</f>
        <v>-1610990.9349734737</v>
      </c>
      <c r="F175" s="411">
        <f>IF((OR(A175&lt;startup_year,C175&gt;anal_period)),0,IF(MOD((C175-startup_time),Main!$C$140)=0,-D175*Main!$E$140,0))</f>
        <v>-34800131.858501285</v>
      </c>
      <c r="G175" s="411">
        <f>IF((OR(A175&lt;startup_year,C175&gt;anal_period)),0,IF(MOD((C175-startup_time),Main!$C$141)=0,-D175*Main!$E$141,0))</f>
        <v>-15601497.836547675</v>
      </c>
      <c r="H175" s="411">
        <f>IF((OR(A175&lt;startup_year,C175&gt;anal_period)),0,IF(MOD((C175-startup_time),Main!$C$142)=0,-D175*Main!$E$142,0))</f>
        <v>-26248984.288355868</v>
      </c>
      <c r="I175" s="411">
        <f>IF((OR(A175&lt;startup_year,C175&gt;anal_period)),0,IF(MOD((C175-startup_time),Main!$C$143)=0,-D175*Main!$E$143,0))</f>
        <v>0</v>
      </c>
      <c r="J175" s="411">
        <f t="shared" si="24"/>
        <v>-78261604.918378294</v>
      </c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8"/>
      <c r="AC175" s="187"/>
    </row>
    <row r="176" spans="1:29" x14ac:dyDescent="0.15">
      <c r="A176" s="133">
        <f t="shared" si="25"/>
        <v>2025</v>
      </c>
      <c r="B176" s="133">
        <v>8</v>
      </c>
      <c r="C176" s="133">
        <f t="shared" si="26"/>
        <v>7</v>
      </c>
      <c r="D176" s="412">
        <f t="shared" si="23"/>
        <v>1.1195541497186396</v>
      </c>
      <c r="E176" s="411">
        <f>IF((OR(A176&lt;startup_year,C176&gt;anal_period)),0,IF(MOD((C176-startup_time),Main!$C$139)=0,-D176*Main!$E$139,0))</f>
        <v>-1641599.7627379699</v>
      </c>
      <c r="F176" s="411">
        <f>IF((OR(A176&lt;startup_year,C176&gt;anal_period)),0,IF(MOD((C176-startup_time),Main!$C$140)=0,-D176*Main!$E$140,0))</f>
        <v>0</v>
      </c>
      <c r="G176" s="411">
        <f>IF((OR(A176&lt;startup_year,C176&gt;anal_period)),0,IF(MOD((C176-startup_time),Main!$C$141)=0,-D176*Main!$E$141,0))</f>
        <v>0</v>
      </c>
      <c r="H176" s="411">
        <f>IF((OR(A176&lt;startup_year,C176&gt;anal_period)),0,IF(MOD((C176-startup_time),Main!$C$142)=0,-D176*Main!$E$142,0))</f>
        <v>0</v>
      </c>
      <c r="I176" s="411">
        <f>IF((OR(A176&lt;startup_year,C176&gt;anal_period)),0,IF(MOD((C176-startup_time),Main!$C$143)=0,-D176*Main!$E$143,0))</f>
        <v>0</v>
      </c>
      <c r="J176" s="411">
        <f t="shared" si="24"/>
        <v>-1641599.7627379699</v>
      </c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158"/>
      <c r="AC176" s="187"/>
    </row>
    <row r="177" spans="1:29" x14ac:dyDescent="0.15">
      <c r="A177" s="133">
        <f t="shared" si="25"/>
        <v>2026</v>
      </c>
      <c r="B177" s="133">
        <v>9</v>
      </c>
      <c r="C177" s="133">
        <f t="shared" si="26"/>
        <v>8</v>
      </c>
      <c r="D177" s="412">
        <f t="shared" si="23"/>
        <v>1.1408256785632938</v>
      </c>
      <c r="E177" s="411">
        <f>IF((OR(A177&lt;startup_year,C177&gt;anal_period)),0,IF(MOD((C177-startup_time),Main!$C$139)=0,-D177*Main!$E$139,0))</f>
        <v>-1672790.1582299911</v>
      </c>
      <c r="F177" s="411">
        <f>IF((OR(A177&lt;startup_year,C177&gt;anal_period)),0,IF(MOD((C177-startup_time),Main!$C$140)=0,-D177*Main!$E$140,0))</f>
        <v>0</v>
      </c>
      <c r="G177" s="411">
        <f>IF((OR(A177&lt;startup_year,C177&gt;anal_period)),0,IF(MOD((C177-startup_time),Main!$C$141)=0,-D177*Main!$E$141,0))</f>
        <v>0</v>
      </c>
      <c r="H177" s="411">
        <f>IF((OR(A177&lt;startup_year,C177&gt;anal_period)),0,IF(MOD((C177-startup_time),Main!$C$142)=0,-D177*Main!$E$142,0))</f>
        <v>0</v>
      </c>
      <c r="I177" s="411">
        <f>IF((OR(A177&lt;startup_year,C177&gt;anal_period)),0,IF(MOD((C177-startup_time),Main!$C$143)=0,-D177*Main!$E$143,0))</f>
        <v>0</v>
      </c>
      <c r="J177" s="411">
        <f t="shared" si="24"/>
        <v>-1672790.1582299911</v>
      </c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  <c r="Y177" s="157"/>
      <c r="Z177" s="157"/>
      <c r="AA177" s="157"/>
      <c r="AB177" s="158"/>
      <c r="AC177" s="187"/>
    </row>
    <row r="178" spans="1:29" x14ac:dyDescent="0.15">
      <c r="A178" s="133">
        <f t="shared" si="25"/>
        <v>2027</v>
      </c>
      <c r="B178" s="133">
        <v>10</v>
      </c>
      <c r="C178" s="133">
        <f t="shared" si="26"/>
        <v>9</v>
      </c>
      <c r="D178" s="412">
        <f t="shared" si="23"/>
        <v>1.1625013664559962</v>
      </c>
      <c r="E178" s="411">
        <f>IF((OR(A178&lt;startup_year,C178&gt;anal_period)),0,IF(MOD((C178-startup_time),Main!$C$139)=0,-D178*Main!$E$139,0))</f>
        <v>-1704573.1712363609</v>
      </c>
      <c r="F178" s="411">
        <f>IF((OR(A178&lt;startup_year,C178&gt;anal_period)),0,IF(MOD((C178-startup_time),Main!$C$140)=0,-D178*Main!$E$140,0))</f>
        <v>0</v>
      </c>
      <c r="G178" s="411">
        <f>IF((OR(A178&lt;startup_year,C178&gt;anal_period)),0,IF(MOD((C178-startup_time),Main!$C$141)=0,-D178*Main!$E$141,0))</f>
        <v>0</v>
      </c>
      <c r="H178" s="411">
        <f>IF((OR(A178&lt;startup_year,C178&gt;anal_period)),0,IF(MOD((C178-startup_time),Main!$C$142)=0,-D178*Main!$E$142,0))</f>
        <v>0</v>
      </c>
      <c r="I178" s="411">
        <f>IF((OR(A178&lt;startup_year,C178&gt;anal_period)),0,IF(MOD((C178-startup_time),Main!$C$143)=0,-D178*Main!$E$143,0))</f>
        <v>0</v>
      </c>
      <c r="J178" s="411">
        <f t="shared" si="24"/>
        <v>-1704573.1712363609</v>
      </c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8"/>
      <c r="AC178" s="187"/>
    </row>
    <row r="179" spans="1:29" x14ac:dyDescent="0.15">
      <c r="A179" s="133">
        <f t="shared" si="25"/>
        <v>2028</v>
      </c>
      <c r="B179" s="133">
        <v>11</v>
      </c>
      <c r="C179" s="133">
        <f t="shared" si="26"/>
        <v>10</v>
      </c>
      <c r="D179" s="412">
        <f t="shared" si="23"/>
        <v>1.1845888924186601</v>
      </c>
      <c r="E179" s="411">
        <f>IF((OR(A179&lt;startup_year,C179&gt;anal_period)),0,IF(MOD((C179-startup_time),Main!$C$139)=0,-D179*Main!$E$139,0))</f>
        <v>-1736960.0614898517</v>
      </c>
      <c r="F179" s="411">
        <f>IF((OR(A179&lt;startup_year,C179&gt;anal_period)),0,IF(MOD((C179-startup_time),Main!$C$140)=0,-D179*Main!$E$140,0))</f>
        <v>0</v>
      </c>
      <c r="G179" s="411">
        <f>IF((OR(A179&lt;startup_year,C179&gt;anal_period)),0,IF(MOD((C179-startup_time),Main!$C$141)=0,-D179*Main!$E$141,0))</f>
        <v>0</v>
      </c>
      <c r="H179" s="411">
        <f>IF((OR(A179&lt;startup_year,C179&gt;anal_period)),0,IF(MOD((C179-startup_time),Main!$C$142)=0,-D179*Main!$E$142,0))</f>
        <v>0</v>
      </c>
      <c r="I179" s="411">
        <f>IF((OR(A179&lt;startup_year,C179&gt;anal_period)),0,IF(MOD((C179-startup_time),Main!$C$143)=0,-D179*Main!$E$143,0))</f>
        <v>0</v>
      </c>
      <c r="J179" s="411">
        <f t="shared" si="24"/>
        <v>-1736960.0614898517</v>
      </c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8"/>
      <c r="AC179" s="187"/>
    </row>
    <row r="180" spans="1:29" x14ac:dyDescent="0.15">
      <c r="A180" s="133">
        <f t="shared" si="25"/>
        <v>2029</v>
      </c>
      <c r="B180" s="133">
        <v>12</v>
      </c>
      <c r="C180" s="133">
        <f t="shared" si="26"/>
        <v>11</v>
      </c>
      <c r="D180" s="412">
        <f t="shared" si="23"/>
        <v>1.2070960813746145</v>
      </c>
      <c r="E180" s="411">
        <f>IF((OR(A180&lt;startup_year,C180&gt;anal_period)),0,IF(MOD((C180-startup_time),Main!$C$139)=0,-D180*Main!$E$139,0))</f>
        <v>-1769962.3026581586</v>
      </c>
      <c r="F180" s="411">
        <f>IF((OR(A180&lt;startup_year,C180&gt;anal_period)),0,IF(MOD((C180-startup_time),Main!$C$140)=0,-D180*Main!$E$140,0))</f>
        <v>-38234182.564220756</v>
      </c>
      <c r="G180" s="411">
        <f>IF((OR(A180&lt;startup_year,C180&gt;anal_period)),0,IF(MOD((C180-startup_time),Main!$C$141)=0,-D180*Main!$E$141,0))</f>
        <v>-17141041.849591099</v>
      </c>
      <c r="H180" s="411">
        <f>IF((OR(A180&lt;startup_year,C180&gt;anal_period)),0,IF(MOD((C180-startup_time),Main!$C$142)=0,-D180*Main!$E$142,0))</f>
        <v>-28839214.215827465</v>
      </c>
      <c r="I180" s="411">
        <f>IF((OR(A180&lt;startup_year,C180&gt;anal_period)),0,IF(MOD((C180-startup_time),Main!$C$143)=0,-D180*Main!$E$143,0))</f>
        <v>-156018910.11093605</v>
      </c>
      <c r="J180" s="411">
        <f t="shared" si="24"/>
        <v>-242003311.04323351</v>
      </c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Z180" s="157"/>
      <c r="AA180" s="157"/>
      <c r="AB180" s="158"/>
      <c r="AC180" s="187"/>
    </row>
    <row r="181" spans="1:29" x14ac:dyDescent="0.15">
      <c r="A181" s="133">
        <f t="shared" si="25"/>
        <v>2030</v>
      </c>
      <c r="B181" s="133">
        <v>13</v>
      </c>
      <c r="C181" s="133">
        <f t="shared" si="26"/>
        <v>12</v>
      </c>
      <c r="D181" s="412">
        <f t="shared" si="23"/>
        <v>1.2300309069207322</v>
      </c>
      <c r="E181" s="411">
        <f>IF((OR(A181&lt;startup_year,C181&gt;anal_period)),0,IF(MOD((C181-startup_time),Main!$C$139)=0,-D181*Main!$E$139,0))</f>
        <v>-1803591.5864086638</v>
      </c>
      <c r="F181" s="411">
        <f>IF((OR(A181&lt;startup_year,C181&gt;anal_period)),0,IF(MOD((C181-startup_time),Main!$C$140)=0,-D181*Main!$E$140,0))</f>
        <v>0</v>
      </c>
      <c r="G181" s="411">
        <f>IF((OR(A181&lt;startup_year,C181&gt;anal_period)),0,IF(MOD((C181-startup_time),Main!$C$141)=0,-D181*Main!$E$141,0))</f>
        <v>0</v>
      </c>
      <c r="H181" s="411">
        <f>IF((OR(A181&lt;startup_year,C181&gt;anal_period)),0,IF(MOD((C181-startup_time),Main!$C$142)=0,-D181*Main!$E$142,0))</f>
        <v>0</v>
      </c>
      <c r="I181" s="411">
        <f>IF((OR(A181&lt;startup_year,C181&gt;anal_period)),0,IF(MOD((C181-startup_time),Main!$C$143)=0,-D181*Main!$E$143,0))</f>
        <v>0</v>
      </c>
      <c r="J181" s="411">
        <f t="shared" si="24"/>
        <v>-1803591.5864086638</v>
      </c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8"/>
      <c r="AC181" s="187"/>
    </row>
    <row r="182" spans="1:29" x14ac:dyDescent="0.15">
      <c r="A182" s="133">
        <f t="shared" si="25"/>
        <v>2031</v>
      </c>
      <c r="B182" s="133">
        <v>14</v>
      </c>
      <c r="C182" s="133">
        <f t="shared" si="26"/>
        <v>13</v>
      </c>
      <c r="D182" s="412">
        <f t="shared" si="23"/>
        <v>1.253401494152226</v>
      </c>
      <c r="E182" s="411">
        <f>IF((OR(A182&lt;startup_year,C182&gt;anal_period)),0,IF(MOD((C182-startup_time),Main!$C$139)=0,-D182*Main!$E$139,0))</f>
        <v>-1837859.8265504281</v>
      </c>
      <c r="F182" s="411">
        <f>IF((OR(A182&lt;startup_year,C182&gt;anal_period)),0,IF(MOD((C182-startup_time),Main!$C$140)=0,-D182*Main!$E$140,0))</f>
        <v>0</v>
      </c>
      <c r="G182" s="411">
        <f>IF((OR(A182&lt;startup_year,C182&gt;anal_period)),0,IF(MOD((C182-startup_time),Main!$C$141)=0,-D182*Main!$E$141,0))</f>
        <v>0</v>
      </c>
      <c r="H182" s="411">
        <f>IF((OR(A182&lt;startup_year,C182&gt;anal_period)),0,IF(MOD((C182-startup_time),Main!$C$142)=0,-D182*Main!$E$142,0))</f>
        <v>0</v>
      </c>
      <c r="I182" s="411">
        <f>IF((OR(A182&lt;startup_year,C182&gt;anal_period)),0,IF(MOD((C182-startup_time),Main!$C$143)=0,-D182*Main!$E$143,0))</f>
        <v>0</v>
      </c>
      <c r="J182" s="411">
        <f t="shared" si="24"/>
        <v>-1837859.8265504281</v>
      </c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8"/>
      <c r="AC182" s="187"/>
    </row>
    <row r="183" spans="1:29" x14ac:dyDescent="0.15">
      <c r="A183" s="133">
        <f t="shared" si="25"/>
        <v>2032</v>
      </c>
      <c r="B183" s="133">
        <v>15</v>
      </c>
      <c r="C183" s="133">
        <f t="shared" si="26"/>
        <v>14</v>
      </c>
      <c r="D183" s="412">
        <f t="shared" si="23"/>
        <v>1.277216122541118</v>
      </c>
      <c r="E183" s="411">
        <f>IF((OR(A183&lt;startup_year,C183&gt;anal_period)),0,IF(MOD((C183-startup_time),Main!$C$139)=0,-D183*Main!$E$139,0))</f>
        <v>-1872779.1632548859</v>
      </c>
      <c r="F183" s="411">
        <f>IF((OR(A183&lt;startup_year,C183&gt;anal_period)),0,IF(MOD((C183-startup_time),Main!$C$140)=0,-D183*Main!$E$140,0))</f>
        <v>0</v>
      </c>
      <c r="G183" s="411">
        <f>IF((OR(A183&lt;startup_year,C183&gt;anal_period)),0,IF(MOD((C183-startup_time),Main!$C$141)=0,-D183*Main!$E$141,0))</f>
        <v>0</v>
      </c>
      <c r="H183" s="411">
        <f>IF((OR(A183&lt;startup_year,C183&gt;anal_period)),0,IF(MOD((C183-startup_time),Main!$C$142)=0,-D183*Main!$E$142,0))</f>
        <v>0</v>
      </c>
      <c r="I183" s="411">
        <f>IF((OR(A183&lt;startup_year,C183&gt;anal_period)),0,IF(MOD((C183-startup_time),Main!$C$143)=0,-D183*Main!$E$143,0))</f>
        <v>0</v>
      </c>
      <c r="J183" s="411">
        <f t="shared" si="24"/>
        <v>-1872779.1632548859</v>
      </c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Z183" s="157"/>
      <c r="AA183" s="157"/>
      <c r="AB183" s="158"/>
      <c r="AC183" s="187"/>
    </row>
    <row r="184" spans="1:29" x14ac:dyDescent="0.15">
      <c r="A184" s="133">
        <f t="shared" si="25"/>
        <v>2033</v>
      </c>
      <c r="B184" s="133">
        <v>16</v>
      </c>
      <c r="C184" s="133">
        <f t="shared" si="26"/>
        <v>15</v>
      </c>
      <c r="D184" s="412">
        <f t="shared" si="23"/>
        <v>1.3014832288693996</v>
      </c>
      <c r="E184" s="411">
        <f>IF((OR(A184&lt;startup_year,C184&gt;anal_period)),0,IF(MOD((C184-startup_time),Main!$C$139)=0,-D184*Main!$E$139,0))</f>
        <v>-1908361.9673567291</v>
      </c>
      <c r="F184" s="411">
        <f>IF((OR(A184&lt;startup_year,C184&gt;anal_period)),0,IF(MOD((C184-startup_time),Main!$C$140)=0,-D184*Main!$E$140,0))</f>
        <v>0</v>
      </c>
      <c r="G184" s="411">
        <f>IF((OR(A184&lt;startup_year,C184&gt;anal_period)),0,IF(MOD((C184-startup_time),Main!$C$141)=0,-D184*Main!$E$141,0))</f>
        <v>0</v>
      </c>
      <c r="H184" s="411">
        <f>IF((OR(A184&lt;startup_year,C184&gt;anal_period)),0,IF(MOD((C184-startup_time),Main!$C$142)=0,-D184*Main!$E$142,0))</f>
        <v>0</v>
      </c>
      <c r="I184" s="411">
        <f>IF((OR(A184&lt;startup_year,C184&gt;anal_period)),0,IF(MOD((C184-startup_time),Main!$C$143)=0,-D184*Main!$E$143,0))</f>
        <v>0</v>
      </c>
      <c r="J184" s="411">
        <f t="shared" si="24"/>
        <v>-1908361.9673567291</v>
      </c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8"/>
      <c r="AC184" s="187"/>
    </row>
    <row r="185" spans="1:29" x14ac:dyDescent="0.15">
      <c r="A185" s="133">
        <f t="shared" si="25"/>
        <v>2034</v>
      </c>
      <c r="B185" s="133">
        <v>17</v>
      </c>
      <c r="C185" s="133">
        <f t="shared" si="26"/>
        <v>16</v>
      </c>
      <c r="D185" s="412">
        <f t="shared" si="23"/>
        <v>1.3262114102179181</v>
      </c>
      <c r="E185" s="411">
        <f>IF((OR(A185&lt;startup_year,C185&gt;anal_period)),0,IF(MOD((C185-startup_time),Main!$C$139)=0,-D185*Main!$E$139,0))</f>
        <v>-1944620.8447365069</v>
      </c>
      <c r="F185" s="411">
        <f>IF((OR(A185&lt;startup_year,C185&gt;anal_period)),0,IF(MOD((C185-startup_time),Main!$C$140)=0,-D185*Main!$E$140,0))</f>
        <v>-42007102.797716789</v>
      </c>
      <c r="G185" s="411">
        <f>IF((OR(A185&lt;startup_year,C185&gt;anal_period)),0,IF(MOD((C185-startup_time),Main!$C$141)=0,-D185*Main!$E$141,0))</f>
        <v>-18832506.902071226</v>
      </c>
      <c r="H185" s="411">
        <f>IF((OR(A185&lt;startup_year,C185&gt;anal_period)),0,IF(MOD((C185-startup_time),Main!$C$142)=0,-D185*Main!$E$142,0))</f>
        <v>-31685046.074538197</v>
      </c>
      <c r="I185" s="411">
        <f>IF((OR(A185&lt;startup_year,C185&gt;anal_period)),0,IF(MOD((C185-startup_time),Main!$C$143)=0,-D185*Main!$E$143,0))</f>
        <v>0</v>
      </c>
      <c r="J185" s="411">
        <f t="shared" si="24"/>
        <v>-94469276.619062722</v>
      </c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158"/>
      <c r="AC185" s="187"/>
    </row>
    <row r="186" spans="1:29" x14ac:dyDescent="0.15">
      <c r="A186" s="133">
        <f t="shared" si="25"/>
        <v>2035</v>
      </c>
      <c r="B186" s="133">
        <v>18</v>
      </c>
      <c r="C186" s="133">
        <f t="shared" si="26"/>
        <v>17</v>
      </c>
      <c r="D186" s="412">
        <f t="shared" si="23"/>
        <v>1.3514094270120585</v>
      </c>
      <c r="E186" s="411">
        <f>IF((OR(A186&lt;startup_year,C186&gt;anal_period)),0,IF(MOD((C186-startup_time),Main!$C$139)=0,-D186*Main!$E$139,0))</f>
        <v>-1981568.6407865004</v>
      </c>
      <c r="F186" s="411">
        <f>IF((OR(A186&lt;startup_year,C186&gt;anal_period)),0,IF(MOD((C186-startup_time),Main!$C$140)=0,-D186*Main!$E$140,0))</f>
        <v>0</v>
      </c>
      <c r="G186" s="411">
        <f>IF((OR(A186&lt;startup_year,C186&gt;anal_period)),0,IF(MOD((C186-startup_time),Main!$C$141)=0,-D186*Main!$E$141,0))</f>
        <v>0</v>
      </c>
      <c r="H186" s="411">
        <f>IF((OR(A186&lt;startup_year,C186&gt;anal_period)),0,IF(MOD((C186-startup_time),Main!$C$142)=0,-D186*Main!$E$142,0))</f>
        <v>0</v>
      </c>
      <c r="I186" s="411">
        <f>IF((OR(A186&lt;startup_year,C186&gt;anal_period)),0,IF(MOD((C186-startup_time),Main!$C$143)=0,-D186*Main!$E$143,0))</f>
        <v>0</v>
      </c>
      <c r="J186" s="411">
        <f t="shared" si="24"/>
        <v>-1981568.6407865004</v>
      </c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Z186" s="157"/>
      <c r="AA186" s="157"/>
      <c r="AB186" s="158"/>
      <c r="AC186" s="187"/>
    </row>
    <row r="187" spans="1:29" x14ac:dyDescent="0.15">
      <c r="A187" s="133">
        <f t="shared" si="25"/>
        <v>2036</v>
      </c>
      <c r="B187" s="133">
        <v>19</v>
      </c>
      <c r="C187" s="133">
        <f t="shared" si="26"/>
        <v>18</v>
      </c>
      <c r="D187" s="412">
        <f t="shared" si="23"/>
        <v>1.3770862061252875</v>
      </c>
      <c r="E187" s="411">
        <f>IF((OR(A187&lt;startup_year,C187&gt;anal_period)),0,IF(MOD((C187-startup_time),Main!$C$139)=0,-D187*Main!$E$139,0))</f>
        <v>-2019218.4449614438</v>
      </c>
      <c r="F187" s="411">
        <f>IF((OR(A187&lt;startup_year,C187&gt;anal_period)),0,IF(MOD((C187-startup_time),Main!$C$140)=0,-D187*Main!$E$140,0))</f>
        <v>0</v>
      </c>
      <c r="G187" s="411">
        <f>IF((OR(A187&lt;startup_year,C187&gt;anal_period)),0,IF(MOD((C187-startup_time),Main!$C$141)=0,-D187*Main!$E$141,0))</f>
        <v>0</v>
      </c>
      <c r="H187" s="411">
        <f>IF((OR(A187&lt;startup_year,C187&gt;anal_period)),0,IF(MOD((C187-startup_time),Main!$C$142)=0,-D187*Main!$E$142,0))</f>
        <v>0</v>
      </c>
      <c r="I187" s="411">
        <f>IF((OR(A187&lt;startup_year,C187&gt;anal_period)),0,IF(MOD((C187-startup_time),Main!$C$143)=0,-D187*Main!$E$143,0))</f>
        <v>0</v>
      </c>
      <c r="J187" s="411">
        <f t="shared" si="24"/>
        <v>-2019218.4449614438</v>
      </c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8"/>
      <c r="AC187" s="187"/>
    </row>
    <row r="188" spans="1:29" x14ac:dyDescent="0.15">
      <c r="A188" s="133">
        <f t="shared" si="25"/>
        <v>2037</v>
      </c>
      <c r="B188" s="133">
        <v>20</v>
      </c>
      <c r="C188" s="133">
        <f t="shared" si="26"/>
        <v>19</v>
      </c>
      <c r="D188" s="412">
        <f t="shared" si="23"/>
        <v>1.4032508440416678</v>
      </c>
      <c r="E188" s="411">
        <f>IF((OR(A188&lt;startup_year,C188&gt;anal_period)),0,IF(MOD((C188-startup_time),Main!$C$139)=0,-D188*Main!$E$139,0))</f>
        <v>-2057583.5954157109</v>
      </c>
      <c r="F188" s="411">
        <f>IF((OR(A188&lt;startup_year,C188&gt;anal_period)),0,IF(MOD((C188-startup_time),Main!$C$140)=0,-D188*Main!$E$140,0))</f>
        <v>0</v>
      </c>
      <c r="G188" s="411">
        <f>IF((OR(A188&lt;startup_year,C188&gt;anal_period)),0,IF(MOD((C188-startup_time),Main!$C$141)=0,-D188*Main!$E$141,0))</f>
        <v>0</v>
      </c>
      <c r="H188" s="411">
        <f>IF((OR(A188&lt;startup_year,C188&gt;anal_period)),0,IF(MOD((C188-startup_time),Main!$C$142)=0,-D188*Main!$E$142,0))</f>
        <v>0</v>
      </c>
      <c r="I188" s="411">
        <f>IF((OR(A188&lt;startup_year,C188&gt;anal_period)),0,IF(MOD((C188-startup_time),Main!$C$143)=0,-D188*Main!$E$143,0))</f>
        <v>0</v>
      </c>
      <c r="J188" s="411">
        <f t="shared" si="24"/>
        <v>-2057583.5954157109</v>
      </c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8"/>
      <c r="AC188" s="187"/>
    </row>
    <row r="189" spans="1:29" x14ac:dyDescent="0.15">
      <c r="A189" s="133">
        <f t="shared" si="25"/>
        <v>2038</v>
      </c>
      <c r="B189" s="133">
        <v>21</v>
      </c>
      <c r="C189" s="133">
        <f t="shared" si="26"/>
        <v>20</v>
      </c>
      <c r="D189" s="412">
        <f t="shared" si="23"/>
        <v>1.4299126100784596</v>
      </c>
      <c r="E189" s="411">
        <f>IF((OR(A189&lt;startup_year,C189&gt;anal_period)),0,IF(MOD((C189-startup_time),Main!$C$139)=0,-D189*Main!$E$139,0))</f>
        <v>-2096677.6837286097</v>
      </c>
      <c r="F189" s="411">
        <f>IF((OR(A189&lt;startup_year,C189&gt;anal_period)),0,IF(MOD((C189-startup_time),Main!$C$140)=0,-D189*Main!$E$140,0))</f>
        <v>0</v>
      </c>
      <c r="G189" s="411">
        <f>IF((OR(A189&lt;startup_year,C189&gt;anal_period)),0,IF(MOD((C189-startup_time),Main!$C$141)=0,-D189*Main!$E$141,0))</f>
        <v>0</v>
      </c>
      <c r="H189" s="411">
        <f>IF((OR(A189&lt;startup_year,C189&gt;anal_period)),0,IF(MOD((C189-startup_time),Main!$C$142)=0,-D189*Main!$E$142,0))</f>
        <v>0</v>
      </c>
      <c r="I189" s="411">
        <f>IF((OR(A189&lt;startup_year,C189&gt;anal_period)),0,IF(MOD((C189-startup_time),Main!$C$143)=0,-D189*Main!$E$143,0))</f>
        <v>0</v>
      </c>
      <c r="J189" s="411">
        <f t="shared" si="24"/>
        <v>-2096677.6837286097</v>
      </c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8"/>
      <c r="AC189" s="187"/>
    </row>
    <row r="190" spans="1:29" x14ac:dyDescent="0.15">
      <c r="A190" s="133">
        <f t="shared" si="25"/>
        <v>2039</v>
      </c>
      <c r="B190" s="133">
        <v>22</v>
      </c>
      <c r="C190" s="133">
        <f t="shared" si="26"/>
        <v>21</v>
      </c>
      <c r="D190" s="412">
        <f t="shared" si="23"/>
        <v>1.4570809496699502</v>
      </c>
      <c r="E190" s="411">
        <f>IF((OR(A190&lt;startup_year,C190&gt;anal_period)),0,IF(MOD((C190-startup_time),Main!$C$139)=0,-D190*Main!$E$139,0))</f>
        <v>-2136514.5597194531</v>
      </c>
      <c r="F190" s="411">
        <f>IF((OR(A190&lt;startup_year,C190&gt;anal_period)),0,IF(MOD((C190-startup_time),Main!$C$140)=0,-D190*Main!$E$140,0))</f>
        <v>-46152331.947832488</v>
      </c>
      <c r="G190" s="411">
        <f>IF((OR(A190&lt;startup_year,C190&gt;anal_period)),0,IF(MOD((C190-startup_time),Main!$C$141)=0,-D190*Main!$E$141,0))</f>
        <v>-20690884.44731969</v>
      </c>
      <c r="H190" s="411">
        <f>IF((OR(A190&lt;startup_year,C190&gt;anal_period)),0,IF(MOD((C190-startup_time),Main!$C$142)=0,-D190*Main!$E$142,0))</f>
        <v>-34811702.469848409</v>
      </c>
      <c r="I190" s="411">
        <f>IF((OR(A190&lt;startup_year,C190&gt;anal_period)),0,IF(MOD((C190-startup_time),Main!$C$143)=0,-D190*Main!$E$143,0))</f>
        <v>-188329815.01524913</v>
      </c>
      <c r="J190" s="411">
        <f t="shared" si="24"/>
        <v>-292121248.43996918</v>
      </c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157"/>
      <c r="Y190" s="157"/>
      <c r="Z190" s="157"/>
      <c r="AA190" s="157"/>
      <c r="AB190" s="158"/>
      <c r="AC190" s="187"/>
    </row>
    <row r="191" spans="1:29" x14ac:dyDescent="0.15">
      <c r="A191" s="133">
        <f t="shared" si="25"/>
        <v>2040</v>
      </c>
      <c r="B191" s="133">
        <v>23</v>
      </c>
      <c r="C191" s="133">
        <f t="shared" si="26"/>
        <v>22</v>
      </c>
      <c r="D191" s="412">
        <f t="shared" si="23"/>
        <v>1.4847654877136791</v>
      </c>
      <c r="E191" s="411">
        <f>IF((OR(A191&lt;startup_year,C191&gt;anal_period)),0,IF(MOD((C191-startup_time),Main!$C$139)=0,-D191*Main!$E$139,0))</f>
        <v>-2177108.3363541225</v>
      </c>
      <c r="F191" s="411">
        <f>IF((OR(A191&lt;startup_year,C191&gt;anal_period)),0,IF(MOD((C191-startup_time),Main!$C$140)=0,-D191*Main!$E$140,0))</f>
        <v>0</v>
      </c>
      <c r="G191" s="411">
        <f>IF((OR(A191&lt;startup_year,C191&gt;anal_period)),0,IF(MOD((C191-startup_time),Main!$C$141)=0,-D191*Main!$E$141,0))</f>
        <v>0</v>
      </c>
      <c r="H191" s="411">
        <f>IF((OR(A191&lt;startup_year,C191&gt;anal_period)),0,IF(MOD((C191-startup_time),Main!$C$142)=0,-D191*Main!$E$142,0))</f>
        <v>0</v>
      </c>
      <c r="I191" s="411">
        <f>IF((OR(A191&lt;startup_year,C191&gt;anal_period)),0,IF(MOD((C191-startup_time),Main!$C$143)=0,-D191*Main!$E$143,0))</f>
        <v>0</v>
      </c>
      <c r="J191" s="411">
        <f t="shared" si="24"/>
        <v>-2177108.3363541225</v>
      </c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8"/>
      <c r="AC191" s="187"/>
    </row>
    <row r="192" spans="1:29" x14ac:dyDescent="0.15">
      <c r="A192" s="133">
        <f t="shared" si="25"/>
        <v>2041</v>
      </c>
      <c r="B192" s="133">
        <v>24</v>
      </c>
      <c r="C192" s="133">
        <f t="shared" si="26"/>
        <v>23</v>
      </c>
      <c r="D192" s="412">
        <f t="shared" si="23"/>
        <v>1.5129760319802392</v>
      </c>
      <c r="E192" s="411">
        <f>IF((OR(A192&lt;startup_year,C192&gt;anal_period)),0,IF(MOD((C192-startup_time),Main!$C$139)=0,-D192*Main!$E$139,0))</f>
        <v>-2218473.3947448512</v>
      </c>
      <c r="F192" s="411">
        <f>IF((OR(A192&lt;startup_year,C192&gt;anal_period)),0,IF(MOD((C192-startup_time),Main!$C$140)=0,-D192*Main!$E$140,0))</f>
        <v>0</v>
      </c>
      <c r="G192" s="411">
        <f>IF((OR(A192&lt;startup_year,C192&gt;anal_period)),0,IF(MOD((C192-startup_time),Main!$C$141)=0,-D192*Main!$E$141,0))</f>
        <v>0</v>
      </c>
      <c r="H192" s="411">
        <f>IF((OR(A192&lt;startup_year,C192&gt;anal_period)),0,IF(MOD((C192-startup_time),Main!$C$142)=0,-D192*Main!$E$142,0))</f>
        <v>0</v>
      </c>
      <c r="I192" s="411">
        <f>IF((OR(A192&lt;startup_year,C192&gt;anal_period)),0,IF(MOD((C192-startup_time),Main!$C$143)=0,-D192*Main!$E$143,0))</f>
        <v>0</v>
      </c>
      <c r="J192" s="411">
        <f t="shared" si="24"/>
        <v>-2218473.3947448512</v>
      </c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  <c r="AA192" s="157"/>
      <c r="AB192" s="158"/>
      <c r="AC192" s="187"/>
    </row>
    <row r="193" spans="1:29" x14ac:dyDescent="0.15">
      <c r="A193" s="133">
        <f t="shared" si="25"/>
        <v>2042</v>
      </c>
      <c r="B193" s="133">
        <v>25</v>
      </c>
      <c r="C193" s="133">
        <f t="shared" si="26"/>
        <v>24</v>
      </c>
      <c r="D193" s="412">
        <f t="shared" si="23"/>
        <v>1.5417225765878635</v>
      </c>
      <c r="E193" s="411">
        <f>IF((OR(A193&lt;startup_year,C193&gt;anal_period)),0,IF(MOD((C193-startup_time),Main!$C$139)=0,-D193*Main!$E$139,0))</f>
        <v>-2260624.389245003</v>
      </c>
      <c r="F193" s="411">
        <f>IF((OR(A193&lt;startup_year,C193&gt;anal_period)),0,IF(MOD((C193-startup_time),Main!$C$140)=0,-D193*Main!$E$140,0))</f>
        <v>0</v>
      </c>
      <c r="G193" s="411">
        <f>IF((OR(A193&lt;startup_year,C193&gt;anal_period)),0,IF(MOD((C193-startup_time),Main!$C$141)=0,-D193*Main!$E$141,0))</f>
        <v>0</v>
      </c>
      <c r="H193" s="411">
        <f>IF((OR(A193&lt;startup_year,C193&gt;anal_period)),0,IF(MOD((C193-startup_time),Main!$C$142)=0,-D193*Main!$E$142,0))</f>
        <v>0</v>
      </c>
      <c r="I193" s="411">
        <f>IF((OR(A193&lt;startup_year,C193&gt;anal_period)),0,IF(MOD((C193-startup_time),Main!$C$143)=0,-D193*Main!$E$143,0))</f>
        <v>0</v>
      </c>
      <c r="J193" s="411">
        <f t="shared" si="24"/>
        <v>-2260624.389245003</v>
      </c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8"/>
      <c r="AC193" s="187"/>
    </row>
    <row r="194" spans="1:29" x14ac:dyDescent="0.15">
      <c r="A194" s="133">
        <f t="shared" si="25"/>
        <v>2043</v>
      </c>
      <c r="B194" s="133">
        <v>26</v>
      </c>
      <c r="C194" s="133">
        <f t="shared" si="26"/>
        <v>25</v>
      </c>
      <c r="D194" s="412">
        <f t="shared" si="23"/>
        <v>1.5710153055430329</v>
      </c>
      <c r="E194" s="411">
        <f>IF((OR(A194&lt;startup_year,C194&gt;anal_period)),0,IF(MOD((C194-startup_time),Main!$C$139)=0,-D194*Main!$E$139,0))</f>
        <v>-2303576.2526406581</v>
      </c>
      <c r="F194" s="411">
        <f>IF((OR(A194&lt;startup_year,C194&gt;anal_period)),0,IF(MOD((C194-startup_time),Main!$C$140)=0,-D194*Main!$E$140,0))</f>
        <v>0</v>
      </c>
      <c r="G194" s="411">
        <f>IF((OR(A194&lt;startup_year,C194&gt;anal_period)),0,IF(MOD((C194-startup_time),Main!$C$141)=0,-D194*Main!$E$141,0))</f>
        <v>0</v>
      </c>
      <c r="H194" s="411">
        <f>IF((OR(A194&lt;startup_year,C194&gt;anal_period)),0,IF(MOD((C194-startup_time),Main!$C$142)=0,-D194*Main!$E$142,0))</f>
        <v>0</v>
      </c>
      <c r="I194" s="411">
        <f>IF((OR(A194&lt;startup_year,C194&gt;anal_period)),0,IF(MOD((C194-startup_time),Main!$C$143)=0,-D194*Main!$E$143,0))</f>
        <v>0</v>
      </c>
      <c r="J194" s="411">
        <f t="shared" si="24"/>
        <v>-2303576.2526406581</v>
      </c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8"/>
      <c r="AC194" s="187"/>
    </row>
    <row r="195" spans="1:29" x14ac:dyDescent="0.15">
      <c r="A195" s="133">
        <f t="shared" si="25"/>
        <v>2044</v>
      </c>
      <c r="B195" s="133">
        <v>27</v>
      </c>
      <c r="C195" s="133">
        <f t="shared" si="26"/>
        <v>26</v>
      </c>
      <c r="D195" s="412">
        <f t="shared" si="23"/>
        <v>1.6008645963483503</v>
      </c>
      <c r="E195" s="411">
        <f>IF((OR(A195&lt;startup_year,C195&gt;anal_period)),0,IF(MOD((C195-startup_time),Main!$C$139)=0,-D195*Main!$E$139,0))</f>
        <v>-2347344.2014408302</v>
      </c>
      <c r="F195" s="411">
        <f>IF((OR(A195&lt;startup_year,C195&gt;anal_period)),0,IF(MOD((C195-startup_time),Main!$C$140)=0,-D195*Main!$E$140,0))</f>
        <v>-50706609.177024543</v>
      </c>
      <c r="G195" s="411">
        <f>IF((OR(A195&lt;startup_year,C195&gt;anal_period)),0,IF(MOD((C195-startup_time),Main!$C$141)=0,-D195*Main!$E$141,0))</f>
        <v>-22732645.28395056</v>
      </c>
      <c r="H195" s="411">
        <f>IF((OR(A195&lt;startup_year,C195&gt;anal_period)),0,IF(MOD((C195-startup_time),Main!$C$142)=0,-D195*Main!$E$142,0))</f>
        <v>-38246894.954749174</v>
      </c>
      <c r="I195" s="411">
        <f>IF((OR(A195&lt;startup_year,C195&gt;anal_period)),0,IF(MOD((C195-startup_time),Main!$C$143)=0,-D195*Main!$E$143,0))</f>
        <v>0</v>
      </c>
      <c r="J195" s="411">
        <f t="shared" si="24"/>
        <v>-114033493.61716512</v>
      </c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  <c r="AA195" s="157"/>
      <c r="AB195" s="158"/>
      <c r="AC195" s="187"/>
    </row>
    <row r="196" spans="1:29" x14ac:dyDescent="0.15">
      <c r="A196" s="133">
        <f t="shared" si="25"/>
        <v>2045</v>
      </c>
      <c r="B196" s="133">
        <v>28</v>
      </c>
      <c r="C196" s="133">
        <f t="shared" si="26"/>
        <v>27</v>
      </c>
      <c r="D196" s="412">
        <f t="shared" si="23"/>
        <v>1.631281023678969</v>
      </c>
      <c r="E196" s="411">
        <f>IF((OR(A196&lt;startup_year,C196&gt;anal_period)),0,IF(MOD((C196-startup_time),Main!$C$139)=0,-D196*Main!$E$139,0))</f>
        <v>-2391943.7412682059</v>
      </c>
      <c r="F196" s="411">
        <f>IF((OR(A196&lt;startup_year,C196&gt;anal_period)),0,IF(MOD((C196-startup_time),Main!$C$140)=0,-D196*Main!$E$140,0))</f>
        <v>0</v>
      </c>
      <c r="G196" s="411">
        <f>IF((OR(A196&lt;startup_year,C196&gt;anal_period)),0,IF(MOD((C196-startup_time),Main!$C$141)=0,-D196*Main!$E$141,0))</f>
        <v>0</v>
      </c>
      <c r="H196" s="411">
        <f>IF((OR(A196&lt;startup_year,C196&gt;anal_period)),0,IF(MOD((C196-startup_time),Main!$C$142)=0,-D196*Main!$E$142,0))</f>
        <v>0</v>
      </c>
      <c r="I196" s="411">
        <f>IF((OR(A196&lt;startup_year,C196&gt;anal_period)),0,IF(MOD((C196-startup_time),Main!$C$143)=0,-D196*Main!$E$143,0))</f>
        <v>0</v>
      </c>
      <c r="J196" s="411">
        <f t="shared" si="24"/>
        <v>-2391943.7412682059</v>
      </c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8"/>
      <c r="AC196" s="187"/>
    </row>
    <row r="197" spans="1:29" x14ac:dyDescent="0.15">
      <c r="A197" s="133">
        <f t="shared" si="25"/>
        <v>2046</v>
      </c>
      <c r="B197" s="133">
        <v>29</v>
      </c>
      <c r="C197" s="133">
        <f t="shared" si="26"/>
        <v>28</v>
      </c>
      <c r="D197" s="412">
        <f t="shared" si="23"/>
        <v>1.6622753631288694</v>
      </c>
      <c r="E197" s="411">
        <f>IF((OR(A197&lt;startup_year,C197&gt;anal_period)),0,IF(MOD((C197-startup_time),Main!$C$139)=0,-D197*Main!$E$139,0))</f>
        <v>-2437390.6723523019</v>
      </c>
      <c r="F197" s="411">
        <f>IF((OR(A197&lt;startup_year,C197&gt;anal_period)),0,IF(MOD((C197-startup_time),Main!$C$140)=0,-D197*Main!$E$140,0))</f>
        <v>0</v>
      </c>
      <c r="G197" s="411">
        <f>IF((OR(A197&lt;startup_year,C197&gt;anal_period)),0,IF(MOD((C197-startup_time),Main!$C$141)=0,-D197*Main!$E$141,0))</f>
        <v>0</v>
      </c>
      <c r="H197" s="411">
        <f>IF((OR(A197&lt;startup_year,C197&gt;anal_period)),0,IF(MOD((C197-startup_time),Main!$C$142)=0,-D197*Main!$E$142,0))</f>
        <v>0</v>
      </c>
      <c r="I197" s="411">
        <f>IF((OR(A197&lt;startup_year,C197&gt;anal_period)),0,IF(MOD((C197-startup_time),Main!$C$143)=0,-D197*Main!$E$143,0))</f>
        <v>0</v>
      </c>
      <c r="J197" s="411">
        <f t="shared" si="24"/>
        <v>-2437390.6723523019</v>
      </c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8"/>
      <c r="AC197" s="187"/>
    </row>
    <row r="198" spans="1:29" x14ac:dyDescent="0.15">
      <c r="A198" s="133">
        <f t="shared" si="25"/>
        <v>2047</v>
      </c>
      <c r="B198" s="133">
        <v>30</v>
      </c>
      <c r="C198" s="133">
        <f t="shared" si="26"/>
        <v>29</v>
      </c>
      <c r="D198" s="412">
        <f t="shared" si="23"/>
        <v>1.6938585950283176</v>
      </c>
      <c r="E198" s="411">
        <f>IF((OR(A198&lt;startup_year,C198&gt;anal_period)),0,IF(MOD((C198-startup_time),Main!$C$139)=0,-D198*Main!$E$139,0))</f>
        <v>-2483701.0951269949</v>
      </c>
      <c r="F198" s="411">
        <f>IF((OR(A198&lt;startup_year,C198&gt;anal_period)),0,IF(MOD((C198-startup_time),Main!$C$140)=0,-D198*Main!$E$140,0))</f>
        <v>0</v>
      </c>
      <c r="G198" s="411">
        <f>IF((OR(A198&lt;startup_year,C198&gt;anal_period)),0,IF(MOD((C198-startup_time),Main!$C$141)=0,-D198*Main!$E$141,0))</f>
        <v>0</v>
      </c>
      <c r="H198" s="411">
        <f>IF((OR(A198&lt;startup_year,C198&gt;anal_period)),0,IF(MOD((C198-startup_time),Main!$C$142)=0,-D198*Main!$E$142,0))</f>
        <v>0</v>
      </c>
      <c r="I198" s="411">
        <f>IF((OR(A198&lt;startup_year,C198&gt;anal_period)),0,IF(MOD((C198-startup_time),Main!$C$143)=0,-D198*Main!$E$143,0))</f>
        <v>0</v>
      </c>
      <c r="J198" s="411">
        <f t="shared" si="24"/>
        <v>-2483701.0951269949</v>
      </c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8"/>
      <c r="AC198" s="187"/>
    </row>
    <row r="199" spans="1:29" x14ac:dyDescent="0.15">
      <c r="A199" s="133">
        <f t="shared" si="25"/>
        <v>2048</v>
      </c>
      <c r="B199" s="133">
        <v>31</v>
      </c>
      <c r="C199" s="133">
        <f t="shared" si="26"/>
        <v>30</v>
      </c>
      <c r="D199" s="412">
        <f t="shared" si="23"/>
        <v>1.7260419083338554</v>
      </c>
      <c r="E199" s="411">
        <f>IF((OR(A199&lt;startup_year,C199&gt;anal_period)),0,IF(MOD((C199-startup_time),Main!$C$139)=0,-D199*Main!$E$139,0))</f>
        <v>-2530891.4159344076</v>
      </c>
      <c r="F199" s="411">
        <f>IF((OR(A199&lt;startup_year,C199&gt;anal_period)),0,IF(MOD((C199-startup_time),Main!$C$140)=0,-D199*Main!$E$140,0))</f>
        <v>0</v>
      </c>
      <c r="G199" s="411">
        <f>IF((OR(A199&lt;startup_year,C199&gt;anal_period)),0,IF(MOD((C199-startup_time),Main!$C$141)=0,-D199*Main!$E$141,0))</f>
        <v>0</v>
      </c>
      <c r="H199" s="411">
        <f>IF((OR(A199&lt;startup_year,C199&gt;anal_period)),0,IF(MOD((C199-startup_time),Main!$C$142)=0,-D199*Main!$E$142,0))</f>
        <v>0</v>
      </c>
      <c r="I199" s="411">
        <f>IF((OR(A199&lt;startup_year,C199&gt;anal_period)),0,IF(MOD((C199-startup_time),Main!$C$143)=0,-D199*Main!$E$143,0))</f>
        <v>0</v>
      </c>
      <c r="J199" s="411">
        <f t="shared" si="24"/>
        <v>-2530891.4159344076</v>
      </c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8"/>
      <c r="AC199" s="187"/>
    </row>
    <row r="200" spans="1:29" x14ac:dyDescent="0.15">
      <c r="A200" s="133">
        <f t="shared" si="25"/>
        <v>2049</v>
      </c>
      <c r="B200" s="133">
        <v>32</v>
      </c>
      <c r="C200" s="133">
        <f t="shared" si="26"/>
        <v>31</v>
      </c>
      <c r="D200" s="412">
        <f t="shared" si="23"/>
        <v>1.7588367045921991</v>
      </c>
      <c r="E200" s="411">
        <f>IF((OR(A200&lt;startup_year,C200&gt;anal_period)),0,IF(MOD((C200-startup_time),Main!$C$139)=0,-D200*Main!$E$139,0))</f>
        <v>-2578978.3528371621</v>
      </c>
      <c r="F200" s="411">
        <f>IF((OR(A200&lt;startup_year,C200&gt;anal_period)),0,IF(MOD((C200-startup_time),Main!$C$140)=0,-D200*Main!$E$140,0))</f>
        <v>-55710299.040529035</v>
      </c>
      <c r="G200" s="411">
        <f>IF((OR(A200&lt;startup_year,C200&gt;anal_period)),0,IF(MOD((C200-startup_time),Main!$C$141)=0,-D200*Main!$E$141,0))</f>
        <v>-24975885.536534559</v>
      </c>
      <c r="H200" s="411">
        <f>IF((OR(A200&lt;startup_year,C200&gt;anal_period)),0,IF(MOD((C200-startup_time),Main!$C$142)=0,-D200*Main!$E$142,0))</f>
        <v>-42021069.637333013</v>
      </c>
      <c r="I200" s="411">
        <f>IF((OR(A200&lt;startup_year,C200&gt;anal_period)),0,IF(MOD((C200-startup_time),Main!$C$143)=0,-D200*Main!$E$143,0))</f>
        <v>-227332181.71091333</v>
      </c>
      <c r="J200" s="411">
        <f t="shared" si="24"/>
        <v>-352618414.2781471</v>
      </c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8"/>
      <c r="AC200" s="187"/>
    </row>
    <row r="201" spans="1:29" x14ac:dyDescent="0.15">
      <c r="A201" s="133">
        <f t="shared" si="25"/>
        <v>2050</v>
      </c>
      <c r="B201" s="133">
        <v>33</v>
      </c>
      <c r="C201" s="133">
        <f t="shared" si="26"/>
        <v>32</v>
      </c>
      <c r="D201" s="412">
        <f t="shared" si="23"/>
        <v>1.7922546019794507</v>
      </c>
      <c r="E201" s="411">
        <f>IF((OR(A201&lt;startup_year,C201&gt;anal_period)),0,IF(MOD((C201-startup_time),Main!$C$139)=0,-D201*Main!$E$139,0))</f>
        <v>-2627978.9415410678</v>
      </c>
      <c r="F201" s="411">
        <f>IF((OR(A201&lt;startup_year,C201&gt;anal_period)),0,IF(MOD((C201-startup_time),Main!$C$140)=0,-D201*Main!$E$140,0))</f>
        <v>0</v>
      </c>
      <c r="G201" s="411">
        <f>IF((OR(A201&lt;startup_year,C201&gt;anal_period)),0,IF(MOD((C201-startup_time),Main!$C$141)=0,-D201*Main!$E$141,0))</f>
        <v>0</v>
      </c>
      <c r="H201" s="411">
        <f>IF((OR(A201&lt;startup_year,C201&gt;anal_period)),0,IF(MOD((C201-startup_time),Main!$C$142)=0,-D201*Main!$E$142,0))</f>
        <v>0</v>
      </c>
      <c r="I201" s="411">
        <f>IF((OR(A201&lt;startup_year,C201&gt;anal_period)),0,IF(MOD((C201-startup_time),Main!$C$143)=0,-D201*Main!$E$143,0))</f>
        <v>0</v>
      </c>
      <c r="J201" s="411">
        <f t="shared" si="24"/>
        <v>-2627978.9415410678</v>
      </c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8"/>
      <c r="AC201" s="187"/>
    </row>
    <row r="202" spans="1:29" x14ac:dyDescent="0.15">
      <c r="A202" s="133">
        <f t="shared" si="25"/>
        <v>2051</v>
      </c>
      <c r="B202" s="133">
        <v>34</v>
      </c>
      <c r="C202" s="133">
        <f t="shared" si="26"/>
        <v>33</v>
      </c>
      <c r="D202" s="412">
        <f t="shared" si="23"/>
        <v>1.8263074394170602</v>
      </c>
      <c r="E202" s="411">
        <f>IF((OR(A202&lt;startup_year,C202&gt;anal_period)),0,IF(MOD((C202-startup_time),Main!$C$139)=0,-D202*Main!$E$139,0))</f>
        <v>-2677910.5414303481</v>
      </c>
      <c r="F202" s="411">
        <f>IF((OR(A202&lt;startup_year,C202&gt;anal_period)),0,IF(MOD((C202-startup_time),Main!$C$140)=0,-D202*Main!$E$140,0))</f>
        <v>0</v>
      </c>
      <c r="G202" s="411">
        <f>IF((OR(A202&lt;startup_year,C202&gt;anal_period)),0,IF(MOD((C202-startup_time),Main!$C$141)=0,-D202*Main!$E$141,0))</f>
        <v>0</v>
      </c>
      <c r="H202" s="411">
        <f>IF((OR(A202&lt;startup_year,C202&gt;anal_period)),0,IF(MOD((C202-startup_time),Main!$C$142)=0,-D202*Main!$E$142,0))</f>
        <v>0</v>
      </c>
      <c r="I202" s="411">
        <f>IF((OR(A202&lt;startup_year,C202&gt;anal_period)),0,IF(MOD((C202-startup_time),Main!$C$143)=0,-D202*Main!$E$143,0))</f>
        <v>0</v>
      </c>
      <c r="J202" s="411">
        <f t="shared" si="24"/>
        <v>-2677910.5414303481</v>
      </c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8"/>
      <c r="AC202" s="187"/>
    </row>
    <row r="203" spans="1:29" x14ac:dyDescent="0.15">
      <c r="A203" s="133">
        <f t="shared" si="25"/>
        <v>2052</v>
      </c>
      <c r="B203" s="133">
        <v>35</v>
      </c>
      <c r="C203" s="133">
        <f t="shared" si="26"/>
        <v>34</v>
      </c>
      <c r="D203" s="412">
        <f t="shared" si="23"/>
        <v>1.8610072807659841</v>
      </c>
      <c r="E203" s="411">
        <f>IF((OR(A203&lt;startup_year,C203&gt;anal_period)),0,IF(MOD((C203-startup_time),Main!$C$139)=0,-D203*Main!$E$139,0))</f>
        <v>-2728790.8417175245</v>
      </c>
      <c r="F203" s="411">
        <f>IF((OR(A203&lt;startup_year,C203&gt;anal_period)),0,IF(MOD((C203-startup_time),Main!$C$140)=0,-D203*Main!$E$140,0))</f>
        <v>0</v>
      </c>
      <c r="G203" s="411">
        <f>IF((OR(A203&lt;startup_year,C203&gt;anal_period)),0,IF(MOD((C203-startup_time),Main!$C$141)=0,-D203*Main!$E$141,0))</f>
        <v>0</v>
      </c>
      <c r="H203" s="411">
        <f>IF((OR(A203&lt;startup_year,C203&gt;anal_period)),0,IF(MOD((C203-startup_time),Main!$C$142)=0,-D203*Main!$E$142,0))</f>
        <v>0</v>
      </c>
      <c r="I203" s="411">
        <f>IF((OR(A203&lt;startup_year,C203&gt;anal_period)),0,IF(MOD((C203-startup_time),Main!$C$143)=0,-D203*Main!$E$143,0))</f>
        <v>0</v>
      </c>
      <c r="J203" s="411">
        <f t="shared" si="24"/>
        <v>-2728790.8417175245</v>
      </c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8"/>
      <c r="AC203" s="187"/>
    </row>
    <row r="204" spans="1:29" x14ac:dyDescent="0.15">
      <c r="A204" s="133">
        <f t="shared" si="25"/>
        <v>2053</v>
      </c>
      <c r="B204" s="133">
        <v>36</v>
      </c>
      <c r="C204" s="133">
        <f t="shared" si="26"/>
        <v>35</v>
      </c>
      <c r="D204" s="412">
        <f t="shared" si="23"/>
        <v>1.8963664191005378</v>
      </c>
      <c r="E204" s="411">
        <f>IF((OR(A204&lt;startup_year,C204&gt;anal_period)),0,IF(MOD((C204-startup_time),Main!$C$139)=0,-D204*Main!$E$139,0))</f>
        <v>-2780637.8677101573</v>
      </c>
      <c r="F204" s="411">
        <f>IF((OR(A204&lt;startup_year,C204&gt;anal_period)),0,IF(MOD((C204-startup_time),Main!$C$140)=0,-D204*Main!$E$140,0))</f>
        <v>0</v>
      </c>
      <c r="G204" s="411">
        <f>IF((OR(A204&lt;startup_year,C204&gt;anal_period)),0,IF(MOD((C204-startup_time),Main!$C$141)=0,-D204*Main!$E$141,0))</f>
        <v>0</v>
      </c>
      <c r="H204" s="411">
        <f>IF((OR(A204&lt;startup_year,C204&gt;anal_period)),0,IF(MOD((C204-startup_time),Main!$C$142)=0,-D204*Main!$E$142,0))</f>
        <v>0</v>
      </c>
      <c r="I204" s="411">
        <f>IF((OR(A204&lt;startup_year,C204&gt;anal_period)),0,IF(MOD((C204-startup_time),Main!$C$143)=0,-D204*Main!$E$143,0))</f>
        <v>0</v>
      </c>
      <c r="J204" s="411">
        <f t="shared" si="24"/>
        <v>-2780637.8677101573</v>
      </c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8"/>
      <c r="AC204" s="187"/>
    </row>
    <row r="205" spans="1:29" x14ac:dyDescent="0.15">
      <c r="A205" s="133">
        <f t="shared" si="25"/>
        <v>2054</v>
      </c>
      <c r="B205" s="133">
        <v>37</v>
      </c>
      <c r="C205" s="133">
        <f t="shared" si="26"/>
        <v>36</v>
      </c>
      <c r="D205" s="412">
        <f t="shared" si="23"/>
        <v>1.932397381063448</v>
      </c>
      <c r="E205" s="411">
        <f>IF((OR(A205&lt;startup_year,C205&gt;anal_period)),0,IF(MOD((C205-startup_time),Main!$C$139)=0,-D205*Main!$E$139,0))</f>
        <v>-2833469.9871966504</v>
      </c>
      <c r="F205" s="411">
        <f>IF((OR(A205&lt;startup_year,C205&gt;anal_period)),0,IF(MOD((C205-startup_time),Main!$C$140)=0,-D205*Main!$E$140,0))</f>
        <v>-61207749.2373804</v>
      </c>
      <c r="G205" s="411">
        <f>IF((OR(A205&lt;startup_year,C205&gt;anal_period)),0,IF(MOD((C205-startup_time),Main!$C$141)=0,-D205*Main!$E$141,0))</f>
        <v>-27440487.041535836</v>
      </c>
      <c r="H205" s="411">
        <f>IF((OR(A205&lt;startup_year,C205&gt;anal_period)),0,IF(MOD((C205-startup_time),Main!$C$142)=0,-D205*Main!$E$142,0))</f>
        <v>-46167677.024624251</v>
      </c>
      <c r="I205" s="411">
        <f>IF((OR(A205&lt;startup_year,C205&gt;anal_period)),0,IF(MOD((C205-startup_time),Main!$C$143)=0,-D205*Main!$E$143,0))</f>
        <v>0</v>
      </c>
      <c r="J205" s="411">
        <f t="shared" si="24"/>
        <v>-137649383.29073715</v>
      </c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8"/>
      <c r="AC205" s="187"/>
    </row>
    <row r="206" spans="1:29" x14ac:dyDescent="0.15">
      <c r="A206" s="133">
        <f t="shared" si="25"/>
        <v>2055</v>
      </c>
      <c r="B206" s="133">
        <v>38</v>
      </c>
      <c r="C206" s="133">
        <f t="shared" si="26"/>
        <v>37</v>
      </c>
      <c r="D206" s="412">
        <f t="shared" si="23"/>
        <v>1.9691129313036535</v>
      </c>
      <c r="E206" s="411">
        <f>IF((OR(A206&lt;startup_year,C206&gt;anal_period)),0,IF(MOD((C206-startup_time),Main!$C$139)=0,-D206*Main!$E$139,0))</f>
        <v>-2887305.9169533867</v>
      </c>
      <c r="F206" s="411">
        <f>IF((OR(A206&lt;startup_year,C206&gt;anal_period)),0,IF(MOD((C206-startup_time),Main!$C$140)=0,-D206*Main!$E$140,0))</f>
        <v>0</v>
      </c>
      <c r="G206" s="411">
        <f>IF((OR(A206&lt;startup_year,C206&gt;anal_period)),0,IF(MOD((C206-startup_time),Main!$C$141)=0,-D206*Main!$E$141,0))</f>
        <v>0</v>
      </c>
      <c r="H206" s="411">
        <f>IF((OR(A206&lt;startup_year,C206&gt;anal_period)),0,IF(MOD((C206-startup_time),Main!$C$142)=0,-D206*Main!$E$142,0))</f>
        <v>0</v>
      </c>
      <c r="I206" s="411">
        <f>IF((OR(A206&lt;startup_year,C206&gt;anal_period)),0,IF(MOD((C206-startup_time),Main!$C$143)=0,-D206*Main!$E$143,0))</f>
        <v>0</v>
      </c>
      <c r="J206" s="411">
        <f t="shared" si="24"/>
        <v>-2887305.9169533867</v>
      </c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8"/>
      <c r="AC206" s="187"/>
    </row>
    <row r="207" spans="1:29" x14ac:dyDescent="0.15">
      <c r="A207" s="133">
        <f t="shared" si="25"/>
        <v>2056</v>
      </c>
      <c r="B207" s="133">
        <v>39</v>
      </c>
      <c r="C207" s="133">
        <f t="shared" si="26"/>
        <v>38</v>
      </c>
      <c r="D207" s="412">
        <f t="shared" si="23"/>
        <v>2.0065260769984223</v>
      </c>
      <c r="E207" s="411">
        <f>IF((OR(A207&lt;startup_year,C207&gt;anal_period)),0,IF(MOD((C207-startup_time),Main!$C$139)=0,-D207*Main!$E$139,0))</f>
        <v>-2942164.7293755002</v>
      </c>
      <c r="F207" s="411">
        <f>IF((OR(A207&lt;startup_year,C207&gt;anal_period)),0,IF(MOD((C207-startup_time),Main!$C$140)=0,-D207*Main!$E$140,0))</f>
        <v>0</v>
      </c>
      <c r="G207" s="411">
        <f>IF((OR(A207&lt;startup_year,C207&gt;anal_period)),0,IF(MOD((C207-startup_time),Main!$C$141)=0,-D207*Main!$E$141,0))</f>
        <v>0</v>
      </c>
      <c r="H207" s="411">
        <f>IF((OR(A207&lt;startup_year,C207&gt;anal_period)),0,IF(MOD((C207-startup_time),Main!$C$142)=0,-D207*Main!$E$142,0))</f>
        <v>0</v>
      </c>
      <c r="I207" s="411">
        <f>IF((OR(A207&lt;startup_year,C207&gt;anal_period)),0,IF(MOD((C207-startup_time),Main!$C$143)=0,-D207*Main!$E$143,0))</f>
        <v>0</v>
      </c>
      <c r="J207" s="411">
        <f t="shared" si="24"/>
        <v>-2942164.7293755002</v>
      </c>
      <c r="K207" s="157"/>
      <c r="L207" s="157"/>
      <c r="M207" s="157"/>
      <c r="N207" s="157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  <c r="AA207" s="157"/>
      <c r="AB207" s="158"/>
      <c r="AC207" s="187"/>
    </row>
    <row r="208" spans="1:29" x14ac:dyDescent="0.15">
      <c r="A208" s="133">
        <f t="shared" si="25"/>
        <v>2057</v>
      </c>
      <c r="B208" s="133">
        <v>40</v>
      </c>
      <c r="C208" s="133">
        <f t="shared" si="26"/>
        <v>39</v>
      </c>
      <c r="D208" s="412">
        <f t="shared" si="23"/>
        <v>2.0446500724613927</v>
      </c>
      <c r="E208" s="411">
        <f>IF((OR(A208&lt;startup_year,C208&gt;anal_period)),0,IF(MOD((C208-startup_time),Main!$C$139)=0,-D208*Main!$E$139,0))</f>
        <v>-2998065.859233635</v>
      </c>
      <c r="F208" s="411">
        <f>IF((OR(A208&lt;startup_year,C208&gt;anal_period)),0,IF(MOD((C208-startup_time),Main!$C$140)=0,-D208*Main!$E$140,0))</f>
        <v>0</v>
      </c>
      <c r="G208" s="411">
        <f>IF((OR(A208&lt;startup_year,C208&gt;anal_period)),0,IF(MOD((C208-startup_time),Main!$C$141)=0,-D208*Main!$E$141,0))</f>
        <v>0</v>
      </c>
      <c r="H208" s="411">
        <f>IF((OR(A208&lt;startup_year,C208&gt;anal_period)),0,IF(MOD((C208-startup_time),Main!$C$142)=0,-D208*Main!$E$142,0))</f>
        <v>0</v>
      </c>
      <c r="I208" s="411">
        <f>IF((OR(A208&lt;startup_year,C208&gt;anal_period)),0,IF(MOD((C208-startup_time),Main!$C$143)=0,-D208*Main!$E$143,0))</f>
        <v>0</v>
      </c>
      <c r="J208" s="411">
        <f t="shared" si="24"/>
        <v>-2998065.859233635</v>
      </c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8"/>
      <c r="AC208" s="187"/>
    </row>
    <row r="209" spans="1:29" x14ac:dyDescent="0.15">
      <c r="A209" s="133">
        <f t="shared" si="25"/>
        <v>2058</v>
      </c>
      <c r="B209" s="133">
        <v>41</v>
      </c>
      <c r="C209" s="133">
        <f t="shared" si="26"/>
        <v>40</v>
      </c>
      <c r="D209" s="412">
        <f t="shared" si="23"/>
        <v>2.0834984238381593</v>
      </c>
      <c r="E209" s="411">
        <f>IF((OR(A209&lt;startup_year,C209&gt;anal_period)),0,IF(MOD((C209-startup_time),Main!$C$139)=0,-D209*Main!$E$139,0))</f>
        <v>-3055029.1105590742</v>
      </c>
      <c r="F209" s="411">
        <f>IF((OR(A209&lt;startup_year,C209&gt;anal_period)),0,IF(MOD((C209-startup_time),Main!$C$140)=0,-D209*Main!$E$140,0))</f>
        <v>0</v>
      </c>
      <c r="G209" s="411">
        <f>IF((OR(A209&lt;startup_year,C209&gt;anal_period)),0,IF(MOD((C209-startup_time),Main!$C$141)=0,-D209*Main!$E$141,0))</f>
        <v>0</v>
      </c>
      <c r="H209" s="411">
        <f>IF((OR(A209&lt;startup_year,C209&gt;anal_period)),0,IF(MOD((C209-startup_time),Main!$C$142)=0,-D209*Main!$E$142,0))</f>
        <v>0</v>
      </c>
      <c r="I209" s="411">
        <f>IF((OR(A209&lt;startup_year,C209&gt;anal_period)),0,IF(MOD((C209-startup_time),Main!$C$143)=0,-D209*Main!$E$143,0))</f>
        <v>0</v>
      </c>
      <c r="J209" s="411">
        <f t="shared" si="24"/>
        <v>-3055029.1105590742</v>
      </c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8"/>
      <c r="AC209" s="187"/>
    </row>
    <row r="210" spans="1:29" x14ac:dyDescent="0.15">
      <c r="A210" s="408" t="s">
        <v>29</v>
      </c>
      <c r="B210" s="410"/>
      <c r="C210" s="410"/>
      <c r="D210" s="442"/>
      <c r="E210" s="411">
        <f t="shared" ref="E210:J210" si="27">NPV(nominal_irr,E170:E209)</f>
        <v>-21650983.001615517</v>
      </c>
      <c r="F210" s="411">
        <f t="shared" si="27"/>
        <v>-75420637.448313162</v>
      </c>
      <c r="G210" s="411">
        <f t="shared" si="27"/>
        <v>-33812369.354383796</v>
      </c>
      <c r="H210" s="411">
        <f t="shared" si="27"/>
        <v>-56888150.178515308</v>
      </c>
      <c r="I210" s="411">
        <f t="shared" si="27"/>
        <v>-124963918.57736567</v>
      </c>
      <c r="J210" s="411">
        <f t="shared" si="27"/>
        <v>-312736058.56019342</v>
      </c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8"/>
      <c r="Z210" s="187"/>
    </row>
    <row r="211" spans="1:29" x14ac:dyDescent="0.15">
      <c r="A211" s="157"/>
      <c r="B211" s="157"/>
      <c r="C211" s="157"/>
      <c r="D211" s="203"/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  <c r="Y211" s="158"/>
      <c r="Z211" s="187"/>
    </row>
    <row r="212" spans="1:29" x14ac:dyDescent="0.15">
      <c r="A212" s="157"/>
      <c r="B212" s="157"/>
      <c r="C212" s="157"/>
      <c r="D212" s="203"/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  <c r="Z212" s="187"/>
    </row>
  </sheetData>
  <dataValidations count="4">
    <dataValidation allowBlank="1" showInputMessage="1" showErrorMessage="1" promptTitle="Depreciation charge" prompt="Straight line depreciation method" sqref="Q18" xr:uid="{8A827175-9724-4553-BD29-335AEF3B8572}"/>
    <dataValidation allowBlank="1" showInputMessage="1" showErrorMessage="1" promptTitle="Depreciation period" prompt="Half convention: half of the analysis period" sqref="B67" xr:uid="{76479492-1511-42C1-9588-D34F8CD993BE}"/>
    <dataValidation allowBlank="1" showInputMessage="1" showErrorMessage="1" prompt="Used in depreciation charge calculation" sqref="G18:H18" xr:uid="{B527611E-F648-40A7-9348-B6600C67A107}"/>
    <dataValidation allowBlank="1" showInputMessage="1" showErrorMessage="1" promptTitle="Initial depreciable capital" prompt="Only used in debt financing calculation" sqref="F18" xr:uid="{4CB7E376-57E4-44C4-BB47-2D318349EE57}"/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30CDD-2032-4487-9659-E3B6001AE57E}">
  <sheetPr codeName="Sheet2"/>
  <dimension ref="A1:AH165"/>
  <sheetViews>
    <sheetView zoomScaleNormal="100" workbookViewId="0">
      <pane ySplit="1" topLeftCell="A2" activePane="bottomLeft" state="frozen"/>
      <selection pane="bottomLeft" activeCell="C127" sqref="C127"/>
    </sheetView>
  </sheetViews>
  <sheetFormatPr baseColWidth="10" defaultColWidth="24.83203125" defaultRowHeight="13" x14ac:dyDescent="0.15"/>
  <cols>
    <col min="1" max="16384" width="24.83203125" style="17"/>
  </cols>
  <sheetData>
    <row r="1" spans="1:30" s="187" customFormat="1" ht="27" x14ac:dyDescent="0.35">
      <c r="A1" s="383" t="s">
        <v>344</v>
      </c>
      <c r="B1" s="205">
        <f>H2_cost_infl*tons_to_kg</f>
        <v>138.15249440013105</v>
      </c>
      <c r="C1" s="204" t="s">
        <v>150</v>
      </c>
      <c r="F1" s="390"/>
      <c r="H1" s="206"/>
    </row>
    <row r="3" spans="1:30" ht="16" x14ac:dyDescent="0.2">
      <c r="B3" s="17" t="s">
        <v>438</v>
      </c>
      <c r="C3" s="17" t="s">
        <v>439</v>
      </c>
      <c r="D3" s="17" t="s">
        <v>464</v>
      </c>
      <c r="F3" s="85" t="s">
        <v>316</v>
      </c>
      <c r="G3" s="258">
        <f>SUM(cap_intake,cap_screening,cap_micro,cap_nano,cap_ed,cap_co2)</f>
        <v>19917879.119734406</v>
      </c>
      <c r="H3" s="259"/>
    </row>
    <row r="4" spans="1:30" ht="15" x14ac:dyDescent="0.2">
      <c r="B4" s="507">
        <f>10*1000*(88.55733+(-87.38536*EXP(-0.0000015722*(B9))))*scale_ratio^scaling_factor_exponent</f>
        <v>6178607.4574458748</v>
      </c>
      <c r="C4" s="507">
        <f>10*1000*(88.55733+(-87.38536*EXP(-0.0000015722*(design_cap/m3OW_to_kgCO2))))</f>
        <v>885573.29999999993</v>
      </c>
      <c r="D4" s="507">
        <f>10*1000*(88.55733+(-87.38536*EXP(-0.0000015722*(B9))))*scale_ratio</f>
        <v>37116184.444434129</v>
      </c>
      <c r="F4" s="86" t="s">
        <v>314</v>
      </c>
      <c r="G4" s="260">
        <f>SUM(energy_intake,energy_screening,energy_micro,energy_nano,energy_ed,energy_co2)</f>
        <v>3.1990807071410345</v>
      </c>
      <c r="H4" s="261" t="s">
        <v>132</v>
      </c>
    </row>
    <row r="5" spans="1:30" x14ac:dyDescent="0.15">
      <c r="F5" s="84"/>
      <c r="G5" s="262"/>
    </row>
    <row r="7" spans="1:30" s="263" customFormat="1" ht="16" x14ac:dyDescent="0.2">
      <c r="A7" s="41" t="s">
        <v>189</v>
      </c>
      <c r="B7" s="42"/>
      <c r="C7" s="42"/>
      <c r="D7" s="42"/>
      <c r="E7" s="41"/>
      <c r="F7" s="42"/>
      <c r="G7" s="42"/>
      <c r="H7" s="42"/>
      <c r="I7" s="42"/>
      <c r="J7" s="8"/>
      <c r="K7" s="8"/>
      <c r="L7" s="8"/>
      <c r="M7" s="8"/>
    </row>
    <row r="8" spans="1:30" ht="16" x14ac:dyDescent="0.2">
      <c r="A8" s="43" t="s">
        <v>198</v>
      </c>
      <c r="B8" s="80">
        <v>1</v>
      </c>
      <c r="C8" s="43"/>
      <c r="D8" s="43"/>
      <c r="E8" s="43"/>
      <c r="F8" s="45" t="s">
        <v>315</v>
      </c>
      <c r="G8" s="264">
        <f>G18</f>
        <v>3249551.2565396908</v>
      </c>
      <c r="H8" s="265"/>
      <c r="I8" s="43"/>
      <c r="J8" s="13"/>
      <c r="K8" s="13"/>
      <c r="L8" s="13"/>
      <c r="M8" s="13"/>
    </row>
    <row r="9" spans="1:30" ht="16" x14ac:dyDescent="0.2">
      <c r="A9" s="43" t="s">
        <v>196</v>
      </c>
      <c r="B9" s="44">
        <f>m3_day*B8</f>
        <v>400000</v>
      </c>
      <c r="C9" s="43" t="s">
        <v>262</v>
      </c>
      <c r="D9" s="43"/>
      <c r="E9" s="43"/>
      <c r="F9" s="46" t="s">
        <v>263</v>
      </c>
      <c r="G9" s="266">
        <f>B10*bar_to_pa/(m3OW_to_kgCO2*E25*C25)*1/kWh_to_Ws*B8</f>
        <v>0.56116480826410053</v>
      </c>
      <c r="H9" s="267" t="s">
        <v>132</v>
      </c>
      <c r="I9" s="43"/>
      <c r="J9" s="13">
        <f>energy_intake*baseline_cap/24</f>
        <v>724.27671253286587</v>
      </c>
      <c r="K9" s="13"/>
      <c r="L9" s="13"/>
      <c r="M9" s="13"/>
    </row>
    <row r="10" spans="1:30" x14ac:dyDescent="0.15">
      <c r="A10" s="43" t="s">
        <v>197</v>
      </c>
      <c r="B10" s="600">
        <v>1.25</v>
      </c>
      <c r="C10" s="43" t="s">
        <v>173</v>
      </c>
      <c r="D10" s="268" t="s">
        <v>498</v>
      </c>
      <c r="E10" s="43"/>
      <c r="F10" s="43"/>
      <c r="G10" s="43"/>
      <c r="H10" s="43"/>
      <c r="I10" s="43"/>
      <c r="J10" s="269"/>
      <c r="K10" s="13"/>
      <c r="L10" s="13"/>
      <c r="M10" s="13"/>
    </row>
    <row r="11" spans="1:30" x14ac:dyDescent="0.15">
      <c r="A11" s="43" t="s">
        <v>232</v>
      </c>
      <c r="B11" s="48">
        <f>B10*bar_to_fthead</f>
        <v>41.794087665647297</v>
      </c>
      <c r="C11" s="43" t="s">
        <v>123</v>
      </c>
      <c r="D11" s="43"/>
      <c r="E11" s="43"/>
      <c r="F11" s="43"/>
      <c r="G11" s="43"/>
      <c r="H11" s="43"/>
      <c r="I11" s="43"/>
      <c r="J11" s="269"/>
      <c r="K11" s="13"/>
      <c r="L11" s="13"/>
      <c r="M11" s="13"/>
    </row>
    <row r="12" spans="1:30" x14ac:dyDescent="0.15">
      <c r="A12" s="43"/>
      <c r="B12" s="43"/>
      <c r="C12" s="43"/>
      <c r="D12" s="43"/>
      <c r="E12" s="43"/>
      <c r="F12" s="43"/>
      <c r="G12" s="43"/>
      <c r="H12" s="43"/>
      <c r="I12" s="43"/>
      <c r="J12" s="269"/>
    </row>
    <row r="13" spans="1:30" s="84" customFormat="1" x14ac:dyDescent="0.15">
      <c r="A13" s="270" t="s">
        <v>264</v>
      </c>
      <c r="B13" s="43"/>
      <c r="C13" s="43"/>
      <c r="D13" s="43"/>
      <c r="E13" s="43"/>
      <c r="F13" s="43"/>
      <c r="G13" s="43"/>
      <c r="H13" s="43"/>
      <c r="I13" s="224"/>
      <c r="J13" s="269"/>
      <c r="AD13" s="271"/>
    </row>
    <row r="14" spans="1:30" ht="15" x14ac:dyDescent="0.15">
      <c r="A14" s="224" t="s">
        <v>201</v>
      </c>
      <c r="B14" s="224" t="s">
        <v>265</v>
      </c>
      <c r="C14" s="224" t="s">
        <v>261</v>
      </c>
      <c r="D14" s="224" t="s">
        <v>246</v>
      </c>
      <c r="E14" s="224" t="s">
        <v>247</v>
      </c>
      <c r="F14" s="224" t="s">
        <v>110</v>
      </c>
      <c r="G14" s="224" t="s">
        <v>248</v>
      </c>
      <c r="H14" s="224" t="s">
        <v>111</v>
      </c>
      <c r="I14" s="43"/>
      <c r="J14" s="269"/>
      <c r="AD14" s="272"/>
    </row>
    <row r="15" spans="1:30" x14ac:dyDescent="0.15">
      <c r="A15" s="43" t="s">
        <v>190</v>
      </c>
      <c r="B15" s="273">
        <f>C22*m3_day/gal_min</f>
        <v>27254.970246657482</v>
      </c>
      <c r="C15" s="274">
        <f>H22*607.5/500</f>
        <v>41942.271068599875</v>
      </c>
      <c r="D15" s="273">
        <f>ROUNDUP(B$9/B15,0)</f>
        <v>15</v>
      </c>
      <c r="E15" s="275">
        <f>D15*C15</f>
        <v>629134.06602899812</v>
      </c>
      <c r="F15" s="43">
        <f>VLOOKUP("Pumps",cost_factors,2,FALSE)</f>
        <v>3.7</v>
      </c>
      <c r="G15" s="275">
        <f>E15*F15</f>
        <v>2327796.0443072934</v>
      </c>
      <c r="H15" s="43" t="s">
        <v>469</v>
      </c>
      <c r="I15" s="43"/>
      <c r="J15" s="269"/>
      <c r="N15" s="269"/>
      <c r="O15" s="269"/>
      <c r="AC15" s="269"/>
      <c r="AD15" s="272"/>
    </row>
    <row r="16" spans="1:30" x14ac:dyDescent="0.15">
      <c r="A16" s="43" t="s">
        <v>294</v>
      </c>
      <c r="B16" s="273">
        <f>C22*m3_day/gal_min</f>
        <v>27254.970246657482</v>
      </c>
      <c r="C16" s="275">
        <f>I25*607.5/500</f>
        <v>6778.6914640620998</v>
      </c>
      <c r="D16" s="273">
        <f>ROUNDUP(B$9/B16,0)</f>
        <v>15</v>
      </c>
      <c r="E16" s="275">
        <f>D16*C16</f>
        <v>101680.3719609315</v>
      </c>
      <c r="F16" s="43">
        <f>VLOOKUP("Pumps",cost_factors,2,FALSE)</f>
        <v>3.7</v>
      </c>
      <c r="G16" s="275">
        <f>E16*F16</f>
        <v>376217.37625544658</v>
      </c>
      <c r="H16" s="43" t="s">
        <v>469</v>
      </c>
      <c r="I16" s="43"/>
      <c r="J16" s="269"/>
      <c r="L16" s="19"/>
      <c r="M16" s="269"/>
      <c r="S16" s="276"/>
      <c r="T16" s="277"/>
      <c r="U16" s="269"/>
      <c r="V16" s="269"/>
      <c r="W16" s="278"/>
      <c r="X16" s="272"/>
      <c r="Z16" s="279"/>
      <c r="AA16" s="280"/>
      <c r="AC16" s="269"/>
      <c r="AD16" s="272"/>
    </row>
    <row r="17" spans="1:30" x14ac:dyDescent="0.15">
      <c r="A17" s="43" t="s">
        <v>295</v>
      </c>
      <c r="B17" s="281">
        <v>400000</v>
      </c>
      <c r="C17" s="274">
        <f>IF(B17&lt;B9,10*1000*(88.55733+(-87.38536*EXP(-0.0000015722*(B17)))),10*1000*(88.55733+(-87.38536*EXP(-0.0000015722*(B9)))))</f>
        <v>419644.48921303899</v>
      </c>
      <c r="D17" s="282">
        <f>IF(B17&lt;B9,1,B$9/B17)</f>
        <v>1</v>
      </c>
      <c r="E17" s="275">
        <f>D17*C17</f>
        <v>419644.48921303899</v>
      </c>
      <c r="F17" s="47">
        <f>VLOOKUP("Other",cost_factors,2,FALSE)</f>
        <v>1.3</v>
      </c>
      <c r="G17" s="275">
        <f>E17*F17</f>
        <v>545537.83597695071</v>
      </c>
      <c r="H17" s="43" t="s">
        <v>435</v>
      </c>
      <c r="I17" s="43"/>
      <c r="J17" s="269"/>
      <c r="L17" s="19"/>
      <c r="M17" s="269"/>
      <c r="S17" s="276"/>
      <c r="T17" s="277"/>
      <c r="U17" s="269"/>
      <c r="V17" s="269"/>
      <c r="W17" s="278"/>
      <c r="X17" s="272"/>
      <c r="Z17" s="279"/>
      <c r="AA17" s="280"/>
      <c r="AC17" s="269"/>
      <c r="AD17" s="272"/>
    </row>
    <row r="18" spans="1:30" x14ac:dyDescent="0.15">
      <c r="A18" s="224" t="s">
        <v>258</v>
      </c>
      <c r="B18" s="43"/>
      <c r="C18" s="275"/>
      <c r="D18" s="273"/>
      <c r="E18" s="275"/>
      <c r="F18" s="43"/>
      <c r="G18" s="283">
        <f>SUM(G15:G17)</f>
        <v>3249551.2565396908</v>
      </c>
      <c r="H18" s="43"/>
      <c r="I18" s="43"/>
      <c r="J18" s="269"/>
      <c r="L18" s="19"/>
      <c r="M18" s="269"/>
      <c r="S18" s="276"/>
      <c r="T18" s="277"/>
      <c r="U18" s="269"/>
      <c r="V18" s="269"/>
      <c r="W18" s="278"/>
      <c r="X18" s="272"/>
      <c r="Z18" s="279"/>
      <c r="AA18" s="280"/>
      <c r="AC18" s="269"/>
      <c r="AD18" s="272"/>
    </row>
    <row r="19" spans="1:30" x14ac:dyDescent="0.15">
      <c r="A19" s="43"/>
      <c r="B19" s="43"/>
      <c r="C19" s="43"/>
      <c r="D19" s="43"/>
      <c r="E19" s="43"/>
      <c r="F19" s="224"/>
      <c r="G19" s="43"/>
      <c r="H19" s="43"/>
      <c r="I19" s="43"/>
      <c r="L19" s="19"/>
      <c r="M19" s="269"/>
      <c r="S19" s="276"/>
      <c r="T19" s="277"/>
      <c r="U19" s="269"/>
      <c r="V19" s="269"/>
      <c r="W19" s="278"/>
      <c r="X19" s="272"/>
      <c r="Z19" s="279"/>
      <c r="AA19" s="280"/>
      <c r="AC19" s="269"/>
      <c r="AD19" s="272"/>
    </row>
    <row r="20" spans="1:30" x14ac:dyDescent="0.15">
      <c r="A20" s="270" t="s">
        <v>268</v>
      </c>
      <c r="B20" s="43"/>
      <c r="C20" s="43"/>
      <c r="D20" s="43"/>
      <c r="E20" s="43"/>
      <c r="F20" s="43"/>
      <c r="G20" s="43"/>
      <c r="H20" s="43"/>
      <c r="I20" s="43"/>
      <c r="L20" s="284"/>
      <c r="S20" s="276"/>
      <c r="T20" s="277"/>
      <c r="U20" s="269"/>
      <c r="V20" s="269"/>
      <c r="W20" s="278"/>
      <c r="X20" s="272"/>
      <c r="Z20" s="285"/>
      <c r="AA20" s="280"/>
      <c r="AC20" s="269"/>
      <c r="AD20" s="272"/>
    </row>
    <row r="21" spans="1:30" x14ac:dyDescent="0.15">
      <c r="A21" s="224" t="s">
        <v>251</v>
      </c>
      <c r="B21" s="224" t="s">
        <v>233</v>
      </c>
      <c r="C21" s="224" t="s">
        <v>257</v>
      </c>
      <c r="D21" s="224" t="s">
        <v>244</v>
      </c>
      <c r="E21" s="224" t="s">
        <v>253</v>
      </c>
      <c r="F21" s="224" t="s">
        <v>245</v>
      </c>
      <c r="G21" s="224" t="s">
        <v>254</v>
      </c>
      <c r="H21" s="224" t="s">
        <v>260</v>
      </c>
      <c r="I21" s="224" t="s">
        <v>111</v>
      </c>
      <c r="N21" s="269"/>
      <c r="O21" s="269"/>
      <c r="S21" s="286"/>
      <c r="T21" s="287"/>
      <c r="U21" s="269"/>
      <c r="V21" s="269"/>
      <c r="W21" s="278"/>
      <c r="X21" s="272"/>
      <c r="Z21" s="14"/>
      <c r="AA21" s="280"/>
      <c r="AC21" s="269"/>
      <c r="AD21" s="272"/>
    </row>
    <row r="22" spans="1:30" x14ac:dyDescent="0.15">
      <c r="A22" s="43">
        <v>4</v>
      </c>
      <c r="B22" s="43" t="str">
        <f>IF(B11&lt;VLOOKUP(A22,pump_types,8),"Yes","No")</f>
        <v>Yes</v>
      </c>
      <c r="C22" s="43">
        <f>VLOOKUP(A22,pump_types,6)</f>
        <v>5000</v>
      </c>
      <c r="D22" s="273">
        <f>C22*(B11^0.5)</f>
        <v>32324.173487363641</v>
      </c>
      <c r="E22" s="275">
        <f>EXP(9.7171-0.6019*LN(D22)+0.0519*LN(D22)^2)</f>
        <v>8630.0969276954474</v>
      </c>
      <c r="F22" s="43">
        <f>VLOOKUP("Stainless steel",pump_materials,2,FALSE)</f>
        <v>2</v>
      </c>
      <c r="G22" s="43">
        <f>VLOOKUP(A22,pump_types,10)</f>
        <v>2</v>
      </c>
      <c r="H22" s="275">
        <f>E22*F22*G22</f>
        <v>34520.38771078179</v>
      </c>
      <c r="I22" s="43" t="s">
        <v>266</v>
      </c>
      <c r="T22" s="288"/>
      <c r="U22" s="289"/>
      <c r="V22" s="269"/>
      <c r="W22" s="269"/>
      <c r="X22" s="278"/>
      <c r="Y22" s="272"/>
      <c r="AA22" s="14"/>
      <c r="AB22" s="285"/>
      <c r="AC22" s="285"/>
    </row>
    <row r="23" spans="1:30" x14ac:dyDescent="0.15">
      <c r="A23" s="43"/>
      <c r="B23" s="43"/>
      <c r="C23" s="43"/>
      <c r="D23" s="43"/>
      <c r="E23" s="43"/>
      <c r="F23" s="43"/>
      <c r="G23" s="43"/>
      <c r="H23" s="43"/>
      <c r="I23" s="43"/>
      <c r="V23" s="290"/>
      <c r="W23" s="13"/>
      <c r="Y23" s="272"/>
      <c r="AA23" s="14"/>
      <c r="AB23" s="14"/>
      <c r="AC23" s="14"/>
    </row>
    <row r="24" spans="1:30" x14ac:dyDescent="0.15">
      <c r="A24" s="224" t="s">
        <v>234</v>
      </c>
      <c r="B24" s="224" t="s">
        <v>233</v>
      </c>
      <c r="C24" s="224" t="s">
        <v>126</v>
      </c>
      <c r="D24" s="224" t="s">
        <v>255</v>
      </c>
      <c r="E24" s="224" t="s">
        <v>121</v>
      </c>
      <c r="F24" s="224" t="s">
        <v>127</v>
      </c>
      <c r="G24" s="224" t="s">
        <v>249</v>
      </c>
      <c r="H24" s="224" t="s">
        <v>250</v>
      </c>
      <c r="I24" s="224" t="s">
        <v>260</v>
      </c>
      <c r="W24" s="269"/>
      <c r="X24" s="278"/>
      <c r="Y24" s="272"/>
      <c r="AA24" s="285"/>
      <c r="AB24" s="285"/>
      <c r="AC24" s="285"/>
    </row>
    <row r="25" spans="1:30" x14ac:dyDescent="0.15">
      <c r="A25" s="43">
        <v>2</v>
      </c>
      <c r="B25" s="43" t="str">
        <f>IF(AND(D25&lt;VLOOKUP(A25,motor_types,5),VLOOKUP(A25,motor_types,3)=VLOOKUP(A22,pump_types,3)),"Yes","No")</f>
        <v>Yes</v>
      </c>
      <c r="C25" s="80">
        <f>-0.316+0.24015*(LN(C22))-0.01199*(LN(C22))^2</f>
        <v>0.85961841239832293</v>
      </c>
      <c r="D25" s="273">
        <f>C22*B11*density/(33000*C25)</f>
        <v>63.941810604659089</v>
      </c>
      <c r="E25" s="80">
        <f>0.8+(0.0319*(LN(D25)))-(0.000182*(LN(D25))^2)</f>
        <v>0.92949280210894381</v>
      </c>
      <c r="F25" s="273">
        <f>D25/E25</f>
        <v>68.792152515415182</v>
      </c>
      <c r="G25" s="275">
        <f>EXP(5.8259+0.13141*LN(F25)+0.053255*LN(F25)^2+0.028628*LN(F25)^3-0.0035549*LN(F25)^4)</f>
        <v>4291.6691763609369</v>
      </c>
      <c r="H25" s="43">
        <f>VLOOKUP(A25,motor_types,6)</f>
        <v>1.3</v>
      </c>
      <c r="I25" s="275">
        <f>G25*H25</f>
        <v>5579.1699292692183</v>
      </c>
      <c r="M25" s="13"/>
      <c r="O25" s="286"/>
      <c r="Q25" s="18"/>
      <c r="W25" s="269"/>
      <c r="X25" s="278"/>
      <c r="Y25" s="272"/>
    </row>
    <row r="26" spans="1:30" x14ac:dyDescent="0.15">
      <c r="L26" s="286"/>
      <c r="M26" s="9"/>
      <c r="O26" s="286"/>
      <c r="Q26" s="286"/>
      <c r="R26" s="286"/>
      <c r="V26" s="13"/>
      <c r="W26" s="291"/>
      <c r="X26" s="292"/>
    </row>
    <row r="27" spans="1:30" x14ac:dyDescent="0.15">
      <c r="L27" s="286"/>
      <c r="M27" s="9"/>
      <c r="O27" s="286"/>
      <c r="Q27" s="286"/>
      <c r="R27" s="286"/>
      <c r="S27" s="286"/>
      <c r="T27" s="286"/>
    </row>
    <row r="28" spans="1:30" ht="16" x14ac:dyDescent="0.2">
      <c r="A28" s="49" t="s">
        <v>113</v>
      </c>
      <c r="B28" s="50"/>
      <c r="C28" s="50"/>
      <c r="D28" s="50"/>
      <c r="E28" s="49"/>
      <c r="F28" s="50"/>
      <c r="G28" s="50"/>
      <c r="H28" s="50"/>
      <c r="I28" s="50"/>
      <c r="M28" s="286"/>
      <c r="N28" s="9"/>
      <c r="P28" s="286"/>
      <c r="R28" s="286"/>
      <c r="S28" s="286"/>
      <c r="T28" s="286"/>
      <c r="U28" s="286"/>
    </row>
    <row r="29" spans="1:30" s="84" customFormat="1" ht="16" x14ac:dyDescent="0.2">
      <c r="A29" s="51" t="s">
        <v>198</v>
      </c>
      <c r="B29" s="79">
        <v>1</v>
      </c>
      <c r="C29" s="51"/>
      <c r="D29" s="51"/>
      <c r="E29" s="51"/>
      <c r="F29" s="53" t="s">
        <v>315</v>
      </c>
      <c r="G29" s="293">
        <f>G39</f>
        <v>4220777.5509378407</v>
      </c>
      <c r="H29" s="294"/>
      <c r="I29" s="51"/>
      <c r="M29" s="288"/>
      <c r="N29" s="21"/>
      <c r="P29" s="295"/>
      <c r="R29" s="295"/>
      <c r="S29" s="295"/>
      <c r="T29" s="295"/>
      <c r="U29" s="295"/>
    </row>
    <row r="30" spans="1:30" ht="16" x14ac:dyDescent="0.2">
      <c r="A30" s="51" t="s">
        <v>196</v>
      </c>
      <c r="B30" s="52">
        <f>m3_day*B29</f>
        <v>400000</v>
      </c>
      <c r="C30" s="51" t="s">
        <v>262</v>
      </c>
      <c r="D30" s="51"/>
      <c r="E30" s="51"/>
      <c r="F30" s="54" t="s">
        <v>263</v>
      </c>
      <c r="G30" s="296">
        <v>0</v>
      </c>
      <c r="H30" s="297" t="s">
        <v>132</v>
      </c>
      <c r="I30" s="51"/>
      <c r="M30" s="288"/>
      <c r="N30" s="9"/>
      <c r="P30" s="286"/>
      <c r="R30" s="286"/>
      <c r="S30" s="286"/>
      <c r="T30" s="286"/>
      <c r="U30" s="286"/>
    </row>
    <row r="31" spans="1:30" x14ac:dyDescent="0.15">
      <c r="A31" s="51" t="s">
        <v>197</v>
      </c>
      <c r="B31" s="599">
        <v>0.25</v>
      </c>
      <c r="C31" s="51" t="s">
        <v>173</v>
      </c>
      <c r="D31" s="298" t="s">
        <v>496</v>
      </c>
      <c r="E31" s="51"/>
      <c r="F31" s="51"/>
      <c r="G31" s="51"/>
      <c r="H31" s="51"/>
      <c r="I31" s="51"/>
      <c r="M31" s="269"/>
      <c r="N31" s="269"/>
      <c r="R31" s="286"/>
      <c r="S31" s="286"/>
      <c r="T31" s="286"/>
      <c r="U31" s="286"/>
      <c r="Y31" s="10"/>
    </row>
    <row r="32" spans="1:30" x14ac:dyDescent="0.15">
      <c r="A32" s="51" t="s">
        <v>232</v>
      </c>
      <c r="B32" s="55">
        <f>B31*bar_to_fthead</f>
        <v>8.358817533129459</v>
      </c>
      <c r="C32" s="51" t="s">
        <v>123</v>
      </c>
      <c r="D32" s="51"/>
      <c r="E32" s="51"/>
      <c r="F32" s="51"/>
      <c r="G32" s="51"/>
      <c r="H32" s="51"/>
      <c r="I32" s="51"/>
      <c r="M32" s="269"/>
      <c r="N32" s="269"/>
      <c r="Y32" s="276"/>
    </row>
    <row r="33" spans="1:34" x14ac:dyDescent="0.15">
      <c r="A33" s="51"/>
      <c r="B33" s="51"/>
      <c r="C33" s="51"/>
      <c r="D33" s="51"/>
      <c r="E33" s="51"/>
      <c r="F33" s="51"/>
      <c r="G33" s="51"/>
      <c r="H33" s="51"/>
      <c r="I33" s="51"/>
      <c r="J33" s="13"/>
      <c r="K33" s="84"/>
      <c r="L33" s="84"/>
      <c r="M33" s="13"/>
      <c r="N33" s="13"/>
      <c r="Y33" s="299"/>
    </row>
    <row r="34" spans="1:34" x14ac:dyDescent="0.15">
      <c r="A34" s="300" t="s">
        <v>264</v>
      </c>
      <c r="B34" s="51"/>
      <c r="C34" s="51"/>
      <c r="D34" s="51"/>
      <c r="E34" s="51"/>
      <c r="F34" s="51"/>
      <c r="G34" s="51"/>
      <c r="H34" s="51"/>
      <c r="I34" s="173"/>
      <c r="J34" s="13"/>
      <c r="K34" s="507"/>
      <c r="L34" s="278"/>
      <c r="O34" s="14"/>
      <c r="R34" s="269"/>
      <c r="S34" s="301"/>
      <c r="U34" s="269"/>
    </row>
    <row r="35" spans="1:34" ht="15" x14ac:dyDescent="0.15">
      <c r="A35" s="173" t="s">
        <v>201</v>
      </c>
      <c r="B35" s="173" t="s">
        <v>265</v>
      </c>
      <c r="C35" s="173" t="s">
        <v>261</v>
      </c>
      <c r="D35" s="173" t="s">
        <v>246</v>
      </c>
      <c r="E35" s="173" t="s">
        <v>247</v>
      </c>
      <c r="F35" s="173" t="s">
        <v>110</v>
      </c>
      <c r="G35" s="173" t="s">
        <v>248</v>
      </c>
      <c r="H35" s="173" t="s">
        <v>111</v>
      </c>
      <c r="I35" s="51"/>
      <c r="J35" s="269"/>
      <c r="K35" s="508"/>
      <c r="L35" s="278"/>
      <c r="R35" s="269"/>
      <c r="S35" s="301"/>
      <c r="U35" s="269"/>
    </row>
    <row r="36" spans="1:34" x14ac:dyDescent="0.15">
      <c r="A36" s="51" t="s">
        <v>202</v>
      </c>
      <c r="B36" s="51"/>
      <c r="C36" s="51"/>
      <c r="D36" s="51"/>
      <c r="E36" s="51"/>
      <c r="F36" s="51"/>
      <c r="G36" s="302">
        <v>0</v>
      </c>
      <c r="H36" s="51" t="s">
        <v>267</v>
      </c>
      <c r="I36" s="51"/>
      <c r="J36" s="269"/>
      <c r="K36" s="507"/>
      <c r="L36" s="278"/>
      <c r="R36" s="269"/>
      <c r="S36" s="301"/>
      <c r="U36" s="269"/>
    </row>
    <row r="37" spans="1:34" x14ac:dyDescent="0.15">
      <c r="A37" s="51" t="s">
        <v>218</v>
      </c>
      <c r="B37" s="51"/>
      <c r="C37" s="51"/>
      <c r="D37" s="51"/>
      <c r="E37" s="51"/>
      <c r="F37" s="51"/>
      <c r="G37" s="302">
        <v>0</v>
      </c>
      <c r="H37" s="51" t="s">
        <v>267</v>
      </c>
      <c r="I37" s="51"/>
      <c r="J37" s="269"/>
      <c r="K37" s="508"/>
      <c r="L37" s="278"/>
      <c r="R37" s="269"/>
      <c r="S37" s="301"/>
      <c r="U37" s="269"/>
    </row>
    <row r="38" spans="1:34" x14ac:dyDescent="0.15">
      <c r="A38" s="51" t="s">
        <v>147</v>
      </c>
      <c r="B38" s="303">
        <v>400000</v>
      </c>
      <c r="C38" s="304">
        <f>IF(B30&lt;B38,1000*(7245.16976+(-7253.75113*EXP(-0.00000148905*(B30)))),1000*(7245.16976+(-7253.75113*EXP(-0.00000148905*(B38)))))</f>
        <v>3246751.962259877</v>
      </c>
      <c r="D38" s="305">
        <f>IF(B30&lt;B38,1,B$30/B38)</f>
        <v>1</v>
      </c>
      <c r="E38" s="302">
        <f>D38*C38</f>
        <v>3246751.962259877</v>
      </c>
      <c r="F38" s="396">
        <f>VLOOKUP("Other",cost_factors,2,FALSE)</f>
        <v>1.3</v>
      </c>
      <c r="G38" s="302">
        <f>E38*F38</f>
        <v>4220777.5509378407</v>
      </c>
      <c r="H38" s="51" t="s">
        <v>436</v>
      </c>
      <c r="I38" s="51"/>
      <c r="K38" s="507"/>
      <c r="L38" s="278"/>
      <c r="O38" s="13"/>
      <c r="R38" s="269"/>
      <c r="S38" s="301"/>
      <c r="U38" s="269"/>
      <c r="Y38" s="11"/>
      <c r="Z38" s="11"/>
      <c r="AA38" s="11"/>
      <c r="AH38" s="19"/>
    </row>
    <row r="39" spans="1:34" x14ac:dyDescent="0.15">
      <c r="A39" s="173" t="s">
        <v>258</v>
      </c>
      <c r="B39" s="51"/>
      <c r="C39" s="302"/>
      <c r="D39" s="306"/>
      <c r="E39" s="302"/>
      <c r="F39" s="51"/>
      <c r="G39" s="307">
        <f>SUM(G38:G38)</f>
        <v>4220777.5509378407</v>
      </c>
      <c r="H39" s="51"/>
      <c r="I39" s="51"/>
      <c r="J39" s="13"/>
      <c r="K39" s="508"/>
      <c r="L39" s="278"/>
      <c r="Y39" s="11"/>
    </row>
    <row r="40" spans="1:34" x14ac:dyDescent="0.15">
      <c r="C40" s="323"/>
      <c r="E40" s="323"/>
      <c r="F40" s="323"/>
      <c r="K40" s="507"/>
      <c r="L40" s="278"/>
    </row>
    <row r="41" spans="1:34" x14ac:dyDescent="0.15">
      <c r="D41" s="323"/>
      <c r="E41" s="323"/>
      <c r="F41" s="323"/>
      <c r="K41" s="508"/>
      <c r="L41" s="278"/>
    </row>
    <row r="42" spans="1:34" ht="16" x14ac:dyDescent="0.2">
      <c r="A42" s="56" t="s">
        <v>192</v>
      </c>
      <c r="B42" s="57"/>
      <c r="C42" s="57"/>
      <c r="D42" s="57"/>
      <c r="E42" s="56"/>
      <c r="F42" s="57"/>
      <c r="G42" s="57"/>
      <c r="H42" s="57"/>
      <c r="I42" s="57"/>
      <c r="J42" s="308"/>
      <c r="K42" s="507"/>
      <c r="L42" s="278"/>
    </row>
    <row r="43" spans="1:34" ht="15" customHeight="1" x14ac:dyDescent="0.2">
      <c r="A43" s="58" t="s">
        <v>297</v>
      </c>
      <c r="B43" s="426">
        <f>multiplier*fraction_oceanwater</f>
        <v>2.5665976521313357E-2</v>
      </c>
      <c r="C43" s="58"/>
      <c r="D43" s="58"/>
      <c r="E43" s="58"/>
      <c r="F43" s="60" t="s">
        <v>315</v>
      </c>
      <c r="G43" s="309">
        <f>G54</f>
        <v>2236588.0413373508</v>
      </c>
      <c r="H43" s="310"/>
      <c r="I43" s="58"/>
      <c r="J43" s="269"/>
      <c r="K43" s="508"/>
      <c r="L43" s="278"/>
    </row>
    <row r="44" spans="1:34" ht="16" x14ac:dyDescent="0.2">
      <c r="A44" s="58" t="s">
        <v>298</v>
      </c>
      <c r="B44" s="59">
        <f>m3_day*B43/B47</f>
        <v>10475.908784209532</v>
      </c>
      <c r="C44" s="58" t="s">
        <v>262</v>
      </c>
      <c r="D44" s="58"/>
      <c r="E44" s="58"/>
      <c r="F44" s="61" t="s">
        <v>263</v>
      </c>
      <c r="G44" s="311">
        <f>B45*bar_to_pa/(m3OW_to_kgCO2*E61*C61)*1/kWh_to_Ws*B43</f>
        <v>2.2696791380919523E-2</v>
      </c>
      <c r="H44" s="312" t="s">
        <v>132</v>
      </c>
      <c r="I44" s="58"/>
      <c r="J44" s="269"/>
      <c r="K44" s="507"/>
      <c r="L44" s="278"/>
    </row>
    <row r="45" spans="1:34" x14ac:dyDescent="0.15">
      <c r="A45" s="58" t="s">
        <v>197</v>
      </c>
      <c r="B45" s="62">
        <v>2</v>
      </c>
      <c r="C45" s="58" t="s">
        <v>173</v>
      </c>
      <c r="D45" s="313" t="s">
        <v>437</v>
      </c>
      <c r="E45" s="58"/>
      <c r="F45" s="58"/>
      <c r="G45" s="58"/>
      <c r="H45" s="58"/>
      <c r="I45" s="58"/>
      <c r="J45" s="269"/>
      <c r="K45" s="508"/>
      <c r="L45" s="278"/>
    </row>
    <row r="46" spans="1:34" x14ac:dyDescent="0.15">
      <c r="A46" s="58" t="s">
        <v>232</v>
      </c>
      <c r="B46" s="63">
        <f>B45*bar_to_fthead</f>
        <v>66.870540265035672</v>
      </c>
      <c r="C46" s="58" t="s">
        <v>123</v>
      </c>
      <c r="D46" s="58"/>
      <c r="E46" s="58"/>
      <c r="F46" s="58"/>
      <c r="G46" s="58"/>
      <c r="H46" s="58"/>
      <c r="I46" s="58"/>
      <c r="J46" s="13"/>
      <c r="K46" s="507"/>
      <c r="L46" s="278"/>
    </row>
    <row r="47" spans="1:34" x14ac:dyDescent="0.15">
      <c r="A47" s="58" t="s">
        <v>188</v>
      </c>
      <c r="B47" s="78">
        <v>0.98</v>
      </c>
      <c r="C47" s="58"/>
      <c r="D47" s="58"/>
      <c r="E47" s="58"/>
      <c r="F47" s="58"/>
      <c r="G47" s="58"/>
      <c r="H47" s="58"/>
      <c r="I47" s="58"/>
      <c r="J47" s="13"/>
      <c r="K47" s="508"/>
      <c r="L47" s="278"/>
    </row>
    <row r="48" spans="1:34" ht="13" customHeight="1" x14ac:dyDescent="0.15">
      <c r="A48" s="58"/>
      <c r="B48" s="58"/>
      <c r="C48" s="58"/>
      <c r="D48" s="58"/>
      <c r="E48" s="58"/>
      <c r="F48" s="58"/>
      <c r="G48" s="58"/>
      <c r="H48" s="58"/>
      <c r="I48" s="58"/>
      <c r="K48" s="507"/>
      <c r="L48" s="278"/>
    </row>
    <row r="49" spans="1:17" x14ac:dyDescent="0.15">
      <c r="A49" s="315" t="s">
        <v>264</v>
      </c>
      <c r="B49" s="58"/>
      <c r="C49" s="58"/>
      <c r="D49" s="58"/>
      <c r="E49" s="58"/>
      <c r="F49" s="58"/>
      <c r="G49" s="58"/>
      <c r="H49" s="58"/>
      <c r="I49" s="316"/>
      <c r="K49" s="508"/>
      <c r="L49" s="278"/>
    </row>
    <row r="50" spans="1:17" ht="15" x14ac:dyDescent="0.15">
      <c r="A50" s="316" t="s">
        <v>201</v>
      </c>
      <c r="B50" s="316" t="s">
        <v>265</v>
      </c>
      <c r="C50" s="316" t="s">
        <v>261</v>
      </c>
      <c r="D50" s="316" t="s">
        <v>246</v>
      </c>
      <c r="E50" s="316" t="s">
        <v>247</v>
      </c>
      <c r="F50" s="316" t="s">
        <v>110</v>
      </c>
      <c r="G50" s="316" t="s">
        <v>248</v>
      </c>
      <c r="H50" s="316" t="s">
        <v>111</v>
      </c>
      <c r="I50" s="58"/>
      <c r="J50" s="13"/>
      <c r="K50" s="507"/>
      <c r="L50" s="278"/>
      <c r="O50" s="269"/>
    </row>
    <row r="51" spans="1:17" x14ac:dyDescent="0.15">
      <c r="A51" s="58" t="s">
        <v>193</v>
      </c>
      <c r="B51" s="319">
        <f>C58*m3_day/gal_min</f>
        <v>27254.970246657482</v>
      </c>
      <c r="C51" s="321">
        <f>H58*607.5/500</f>
        <v>47040.136166584045</v>
      </c>
      <c r="D51" s="319">
        <f>ROUNDUP(B$44/B51,0)</f>
        <v>1</v>
      </c>
      <c r="E51" s="318">
        <f>D51*C51</f>
        <v>47040.136166584045</v>
      </c>
      <c r="F51" s="58">
        <f>VLOOKUP("Pumps",cost_factors,2,FALSE)</f>
        <v>3.7</v>
      </c>
      <c r="G51" s="318">
        <f>E51*F51</f>
        <v>174048.50381636099</v>
      </c>
      <c r="H51" s="58" t="s">
        <v>469</v>
      </c>
      <c r="I51" s="58"/>
      <c r="K51" s="508"/>
      <c r="L51" s="278"/>
    </row>
    <row r="52" spans="1:17" x14ac:dyDescent="0.15">
      <c r="A52" s="58" t="s">
        <v>296</v>
      </c>
      <c r="B52" s="319">
        <f>C58*m3_day/gal_min</f>
        <v>27254.970246657482</v>
      </c>
      <c r="C52" s="318">
        <f>I61*607.5/500</f>
        <v>10935.221847849931</v>
      </c>
      <c r="D52" s="319">
        <f>ROUNDUP(B$44/B52,0)</f>
        <v>1</v>
      </c>
      <c r="E52" s="318">
        <f>D52*C52</f>
        <v>10935.221847849931</v>
      </c>
      <c r="F52" s="58">
        <f>VLOOKUP("Pumps",cost_factors,2,FALSE)</f>
        <v>3.7</v>
      </c>
      <c r="G52" s="318">
        <f>E52*F52</f>
        <v>40460.320837044746</v>
      </c>
      <c r="H52" s="58" t="s">
        <v>469</v>
      </c>
      <c r="I52" s="58"/>
      <c r="J52" s="14"/>
      <c r="K52" s="507"/>
      <c r="L52" s="278"/>
    </row>
    <row r="53" spans="1:17" x14ac:dyDescent="0.15">
      <c r="A53" s="58" t="s">
        <v>195</v>
      </c>
      <c r="B53" s="320">
        <v>400000</v>
      </c>
      <c r="C53" s="321">
        <f>IF(B44&lt;B53,1000*(-0.00000003*B44^2+0.0582*B44+949.04),1000*(-0.00000003*B53^2+0.0582*B53+949.04))</f>
        <v>1555445.5512953424</v>
      </c>
      <c r="D53" s="427">
        <f>IF(AND(B44&lt;B53,B44&gt;0),1,B$44/B53)</f>
        <v>1</v>
      </c>
      <c r="E53" s="318">
        <f>D53*C53</f>
        <v>1555445.5512953424</v>
      </c>
      <c r="F53" s="62">
        <f>VLOOKUP("Other",cost_factors,2,FALSE)</f>
        <v>1.3</v>
      </c>
      <c r="G53" s="318">
        <f>E53*F53</f>
        <v>2022079.2166839452</v>
      </c>
      <c r="H53" s="58" t="s">
        <v>474</v>
      </c>
      <c r="I53" s="58"/>
      <c r="J53" s="269"/>
      <c r="K53" s="508"/>
      <c r="L53" s="278"/>
    </row>
    <row r="54" spans="1:17" x14ac:dyDescent="0.15">
      <c r="A54" s="316" t="s">
        <v>258</v>
      </c>
      <c r="B54" s="58"/>
      <c r="C54" s="318"/>
      <c r="D54" s="319"/>
      <c r="E54" s="318"/>
      <c r="F54" s="58"/>
      <c r="G54" s="322">
        <f>SUM(G51:G53)</f>
        <v>2236588.0413373508</v>
      </c>
      <c r="H54" s="58"/>
      <c r="I54" s="58"/>
      <c r="J54" s="13"/>
      <c r="K54" s="507"/>
      <c r="L54" s="278"/>
    </row>
    <row r="55" spans="1:17" x14ac:dyDescent="0.15">
      <c r="A55" s="58"/>
      <c r="B55" s="58"/>
      <c r="C55" s="58"/>
      <c r="D55" s="58"/>
      <c r="E55" s="58"/>
      <c r="F55" s="316"/>
      <c r="G55" s="58"/>
      <c r="H55" s="58"/>
      <c r="I55" s="58"/>
      <c r="J55" s="317"/>
      <c r="K55" s="508"/>
      <c r="L55" s="278"/>
    </row>
    <row r="56" spans="1:17" x14ac:dyDescent="0.15">
      <c r="A56" s="315" t="s">
        <v>268</v>
      </c>
      <c r="B56" s="58"/>
      <c r="C56" s="58"/>
      <c r="D56" s="58"/>
      <c r="E56" s="58"/>
      <c r="F56" s="58"/>
      <c r="G56" s="58"/>
      <c r="H56" s="58"/>
      <c r="I56" s="58"/>
      <c r="J56" s="314"/>
      <c r="K56" s="507"/>
      <c r="L56" s="278"/>
    </row>
    <row r="57" spans="1:17" x14ac:dyDescent="0.15">
      <c r="A57" s="316" t="s">
        <v>251</v>
      </c>
      <c r="B57" s="316" t="s">
        <v>233</v>
      </c>
      <c r="C57" s="316" t="s">
        <v>257</v>
      </c>
      <c r="D57" s="316" t="s">
        <v>244</v>
      </c>
      <c r="E57" s="316" t="s">
        <v>253</v>
      </c>
      <c r="F57" s="316" t="s">
        <v>245</v>
      </c>
      <c r="G57" s="316" t="s">
        <v>254</v>
      </c>
      <c r="H57" s="316" t="s">
        <v>260</v>
      </c>
      <c r="I57" s="316" t="s">
        <v>111</v>
      </c>
      <c r="J57" s="11"/>
      <c r="K57" s="508"/>
      <c r="L57" s="278"/>
    </row>
    <row r="58" spans="1:17" x14ac:dyDescent="0.15">
      <c r="A58" s="58">
        <v>4</v>
      </c>
      <c r="B58" s="58" t="str">
        <f>IF(B46&lt;VLOOKUP(A58,pump_types,8),"Yes","No")</f>
        <v>Yes</v>
      </c>
      <c r="C58" s="58">
        <f>VLOOKUP(A58,pump_types,6)</f>
        <v>5000</v>
      </c>
      <c r="D58" s="319">
        <f>C58*(B46^0.5)</f>
        <v>40887.204680998817</v>
      </c>
      <c r="E58" s="318">
        <f>EXP(9.7171-0.6019*LN(D58)+0.0519*LN(D58)^2)</f>
        <v>9679.0403634946597</v>
      </c>
      <c r="F58" s="58">
        <f>VLOOKUP("Stainless steel",pump_materials,2,FALSE)</f>
        <v>2</v>
      </c>
      <c r="G58" s="58">
        <f>VLOOKUP(A58,pump_types,10)</f>
        <v>2</v>
      </c>
      <c r="H58" s="318">
        <f>E58*F58*G58</f>
        <v>38716.161453978639</v>
      </c>
      <c r="I58" s="58"/>
      <c r="J58" s="269"/>
      <c r="K58" s="507"/>
      <c r="L58" s="278"/>
    </row>
    <row r="59" spans="1:17" x14ac:dyDescent="0.15">
      <c r="A59" s="58"/>
      <c r="B59" s="58"/>
      <c r="C59" s="58"/>
      <c r="D59" s="58"/>
      <c r="E59" s="58"/>
      <c r="F59" s="58"/>
      <c r="G59" s="58"/>
      <c r="H59" s="58"/>
      <c r="I59" s="58"/>
      <c r="J59" s="269"/>
      <c r="K59" s="508"/>
      <c r="L59" s="278"/>
    </row>
    <row r="60" spans="1:17" x14ac:dyDescent="0.15">
      <c r="A60" s="316" t="s">
        <v>234</v>
      </c>
      <c r="B60" s="316" t="s">
        <v>233</v>
      </c>
      <c r="C60" s="316" t="s">
        <v>126</v>
      </c>
      <c r="D60" s="316" t="s">
        <v>255</v>
      </c>
      <c r="E60" s="316" t="s">
        <v>121</v>
      </c>
      <c r="F60" s="316" t="s">
        <v>127</v>
      </c>
      <c r="G60" s="316" t="s">
        <v>249</v>
      </c>
      <c r="H60" s="316" t="s">
        <v>250</v>
      </c>
      <c r="I60" s="316" t="s">
        <v>260</v>
      </c>
      <c r="J60" s="269"/>
      <c r="K60" s="507"/>
      <c r="L60" s="278"/>
      <c r="O60" s="13"/>
      <c r="P60" s="13"/>
    </row>
    <row r="61" spans="1:17" x14ac:dyDescent="0.15">
      <c r="A61" s="58">
        <v>2</v>
      </c>
      <c r="B61" s="58" t="str">
        <f>IF(AND(D61&lt;VLOOKUP(A61,motor_types,5),VLOOKUP(A61,motor_types,3)=VLOOKUP(A58,pump_types,3)),"Yes","No")</f>
        <v>Yes</v>
      </c>
      <c r="C61" s="78">
        <f>-0.316+0.24015*(LN(C58))-0.01199*(LN(C58))^2</f>
        <v>0.85961841239832293</v>
      </c>
      <c r="D61" s="319">
        <f>C58*B46*density/(33000*C61)</f>
        <v>102.30689696745455</v>
      </c>
      <c r="E61" s="78">
        <f>0.8+(0.0319*(LN(D61)))-(0.000182*(LN(D61))^2)</f>
        <v>0.94373436186849891</v>
      </c>
      <c r="F61" s="319">
        <f>D61/E61</f>
        <v>108.40645535561215</v>
      </c>
      <c r="G61" s="318">
        <f>EXP(5.8259+0.13141*LN(F61)+0.053255*LN(F61)^2+0.028628*LN(F61)^3-0.0035549*LN(F61)^4)</f>
        <v>6923.217377556145</v>
      </c>
      <c r="H61" s="58">
        <f>VLOOKUP(A61,motor_types,6)</f>
        <v>1.3</v>
      </c>
      <c r="I61" s="318">
        <f>G61*H61</f>
        <v>9000.1825908229894</v>
      </c>
      <c r="J61" s="286"/>
      <c r="K61" s="508"/>
      <c r="L61" s="278"/>
      <c r="O61" s="13"/>
      <c r="P61" s="13"/>
    </row>
    <row r="62" spans="1:17" x14ac:dyDescent="0.15">
      <c r="J62" s="13"/>
      <c r="K62" s="507"/>
      <c r="L62" s="278"/>
      <c r="O62" s="269"/>
      <c r="P62" s="286"/>
      <c r="Q62" s="269"/>
    </row>
    <row r="63" spans="1:17" x14ac:dyDescent="0.15">
      <c r="K63" s="508"/>
      <c r="L63" s="278"/>
      <c r="O63" s="269"/>
      <c r="Q63" s="269"/>
    </row>
    <row r="64" spans="1:17" ht="16" x14ac:dyDescent="0.2">
      <c r="A64" s="68" t="s">
        <v>148</v>
      </c>
      <c r="B64" s="69"/>
      <c r="C64" s="69"/>
      <c r="D64" s="69"/>
      <c r="E64" s="68"/>
      <c r="F64" s="69"/>
      <c r="G64" s="69"/>
      <c r="H64" s="69"/>
      <c r="I64" s="69"/>
      <c r="K64" s="507"/>
      <c r="L64" s="278"/>
      <c r="P64" s="286"/>
      <c r="Q64" s="269"/>
    </row>
    <row r="65" spans="1:17" ht="16" x14ac:dyDescent="0.2">
      <c r="A65" s="70" t="s">
        <v>297</v>
      </c>
      <c r="B65" s="77">
        <f>1*fraction_oceanwater</f>
        <v>6.4164941303283393E-3</v>
      </c>
      <c r="C65" s="70"/>
      <c r="D65" s="70"/>
      <c r="E65" s="70"/>
      <c r="F65" s="72" t="s">
        <v>315</v>
      </c>
      <c r="G65" s="324">
        <f>G76</f>
        <v>467876.25618050236</v>
      </c>
      <c r="H65" s="325"/>
      <c r="I65" s="70"/>
      <c r="K65" s="508"/>
      <c r="L65" s="278"/>
      <c r="P65" s="286"/>
      <c r="Q65" s="269"/>
    </row>
    <row r="66" spans="1:17" ht="16" x14ac:dyDescent="0.2">
      <c r="A66" s="70" t="s">
        <v>298</v>
      </c>
      <c r="B66" s="71">
        <f>m3_day*B65/B69</f>
        <v>2851.7751690348173</v>
      </c>
      <c r="C66" s="70" t="s">
        <v>262</v>
      </c>
      <c r="D66" s="70"/>
      <c r="E66" s="70"/>
      <c r="F66" s="73" t="s">
        <v>263</v>
      </c>
      <c r="G66" s="326">
        <f>B67*bar_to_pa/(m3OW_to_kgCO2*E83*C83)*1/kWh_to_Ws*B65</f>
        <v>1.9809764573611915E-2</v>
      </c>
      <c r="H66" s="327" t="s">
        <v>132</v>
      </c>
      <c r="I66" s="70"/>
      <c r="K66" s="507"/>
      <c r="L66" s="278"/>
      <c r="O66" s="269"/>
      <c r="P66" s="286"/>
      <c r="Q66" s="269"/>
    </row>
    <row r="67" spans="1:17" x14ac:dyDescent="0.15">
      <c r="A67" s="70" t="s">
        <v>197</v>
      </c>
      <c r="B67" s="74">
        <v>6.5</v>
      </c>
      <c r="C67" s="70" t="s">
        <v>173</v>
      </c>
      <c r="D67" s="40" t="s">
        <v>440</v>
      </c>
      <c r="E67" s="70"/>
      <c r="F67" s="70"/>
      <c r="G67" s="70"/>
      <c r="H67" s="70"/>
      <c r="I67" s="70"/>
      <c r="K67" s="508"/>
      <c r="L67" s="278"/>
      <c r="O67" s="269"/>
      <c r="P67" s="323"/>
      <c r="Q67" s="269"/>
    </row>
    <row r="68" spans="1:17" x14ac:dyDescent="0.15">
      <c r="A68" s="70" t="s">
        <v>232</v>
      </c>
      <c r="B68" s="75">
        <f>B67*bar_to_fthead</f>
        <v>217.32925586136594</v>
      </c>
      <c r="C68" s="70" t="s">
        <v>123</v>
      </c>
      <c r="D68" s="70"/>
      <c r="E68" s="70"/>
      <c r="F68" s="70"/>
      <c r="G68" s="70"/>
      <c r="H68" s="70"/>
      <c r="I68" s="70"/>
      <c r="K68" s="507"/>
      <c r="L68" s="278"/>
      <c r="O68" s="269"/>
      <c r="P68" s="286"/>
      <c r="Q68" s="269"/>
    </row>
    <row r="69" spans="1:17" x14ac:dyDescent="0.15">
      <c r="A69" s="70" t="s">
        <v>188</v>
      </c>
      <c r="B69" s="76">
        <v>0.9</v>
      </c>
      <c r="C69" s="70"/>
      <c r="D69" s="70"/>
      <c r="E69" s="70"/>
      <c r="F69" s="70"/>
      <c r="G69" s="70"/>
      <c r="H69" s="70"/>
      <c r="I69" s="70"/>
      <c r="K69" s="508"/>
      <c r="L69" s="278"/>
      <c r="O69" s="269"/>
      <c r="P69" s="286"/>
      <c r="Q69" s="269"/>
    </row>
    <row r="70" spans="1:17" x14ac:dyDescent="0.15">
      <c r="A70" s="70"/>
      <c r="B70" s="70"/>
      <c r="C70" s="70"/>
      <c r="D70" s="70"/>
      <c r="E70" s="70"/>
      <c r="F70" s="70"/>
      <c r="G70" s="70"/>
      <c r="H70" s="70"/>
      <c r="I70" s="70"/>
      <c r="K70" s="507"/>
      <c r="L70" s="278"/>
    </row>
    <row r="71" spans="1:17" x14ac:dyDescent="0.15">
      <c r="A71" s="328" t="s">
        <v>264</v>
      </c>
      <c r="B71" s="70"/>
      <c r="C71" s="70"/>
      <c r="D71" s="70"/>
      <c r="E71" s="70"/>
      <c r="F71" s="70"/>
      <c r="G71" s="70"/>
      <c r="H71" s="70"/>
      <c r="I71" s="329"/>
      <c r="K71" s="508"/>
      <c r="L71" s="278"/>
    </row>
    <row r="72" spans="1:17" ht="15" x14ac:dyDescent="0.15">
      <c r="A72" s="329" t="s">
        <v>201</v>
      </c>
      <c r="B72" s="329" t="s">
        <v>265</v>
      </c>
      <c r="C72" s="329" t="s">
        <v>261</v>
      </c>
      <c r="D72" s="329" t="s">
        <v>246</v>
      </c>
      <c r="E72" s="329" t="s">
        <v>247</v>
      </c>
      <c r="F72" s="329" t="s">
        <v>110</v>
      </c>
      <c r="G72" s="329" t="s">
        <v>248</v>
      </c>
      <c r="H72" s="329" t="s">
        <v>111</v>
      </c>
      <c r="I72" s="70"/>
      <c r="K72" s="507"/>
      <c r="L72" s="278"/>
    </row>
    <row r="73" spans="1:17" x14ac:dyDescent="0.15">
      <c r="A73" s="70" t="s">
        <v>194</v>
      </c>
      <c r="B73" s="330">
        <f>C80*m3_day/gal_min</f>
        <v>8176.4910739972447</v>
      </c>
      <c r="C73" s="331">
        <f>H80*607.5/500</f>
        <v>29981.414016702638</v>
      </c>
      <c r="D73" s="330">
        <f>ROUNDUP(B$66/B73,0)</f>
        <v>1</v>
      </c>
      <c r="E73" s="332">
        <f>D73*C73</f>
        <v>29981.414016702638</v>
      </c>
      <c r="F73" s="70">
        <f>VLOOKUP("Pumps",cost_factors,2,FALSE)</f>
        <v>3.7</v>
      </c>
      <c r="G73" s="332">
        <f>E73*F73</f>
        <v>110931.23186179977</v>
      </c>
      <c r="H73" s="70" t="s">
        <v>469</v>
      </c>
      <c r="I73" s="70"/>
      <c r="K73" s="508"/>
      <c r="L73" s="278"/>
    </row>
    <row r="74" spans="1:17" x14ac:dyDescent="0.15">
      <c r="A74" s="70" t="s">
        <v>299</v>
      </c>
      <c r="B74" s="330">
        <f>C80*m3_day/gal_min</f>
        <v>8176.4910739972447</v>
      </c>
      <c r="C74" s="332">
        <f>I83*607.5/500</f>
        <v>12364.169366376882</v>
      </c>
      <c r="D74" s="330">
        <f>ROUNDUP(B$66/B74,0)</f>
        <v>1</v>
      </c>
      <c r="E74" s="332">
        <f>D74*C74</f>
        <v>12364.169366376882</v>
      </c>
      <c r="F74" s="70">
        <f>VLOOKUP("Pumps",cost_factors,2,FALSE)</f>
        <v>3.7</v>
      </c>
      <c r="G74" s="332">
        <f>E74*F74</f>
        <v>45747.426655594463</v>
      </c>
      <c r="H74" s="70" t="s">
        <v>469</v>
      </c>
      <c r="I74" s="70"/>
      <c r="K74" s="507"/>
      <c r="L74" s="278"/>
    </row>
    <row r="75" spans="1:17" x14ac:dyDescent="0.15">
      <c r="A75" s="70" t="s">
        <v>195</v>
      </c>
      <c r="B75" s="333">
        <f>1000*gal_to_m3</f>
        <v>3.7854125342579832</v>
      </c>
      <c r="C75" s="331">
        <f>(57.1+32.7)*2</f>
        <v>179.60000000000002</v>
      </c>
      <c r="D75" s="330">
        <f>B$66/B75</f>
        <v>753.35914995426583</v>
      </c>
      <c r="E75" s="332">
        <f>D75*C75</f>
        <v>135303.30333178616</v>
      </c>
      <c r="F75" s="70">
        <f>VLOOKUP("Filters",cost_factors,2,FALSE)</f>
        <v>2.2999999999999998</v>
      </c>
      <c r="G75" s="332">
        <f>E75*F75</f>
        <v>311197.59766310814</v>
      </c>
      <c r="H75" s="70" t="s">
        <v>443</v>
      </c>
      <c r="I75" s="70"/>
      <c r="J75" s="269"/>
      <c r="K75" s="508"/>
      <c r="L75" s="278"/>
    </row>
    <row r="76" spans="1:17" x14ac:dyDescent="0.15">
      <c r="A76" s="329" t="s">
        <v>258</v>
      </c>
      <c r="B76" s="70"/>
      <c r="C76" s="332"/>
      <c r="D76" s="330"/>
      <c r="E76" s="332"/>
      <c r="F76" s="70"/>
      <c r="G76" s="334">
        <f>SUM(G73:G75)</f>
        <v>467876.25618050236</v>
      </c>
      <c r="H76" s="70"/>
      <c r="I76" s="70"/>
      <c r="K76" s="507"/>
      <c r="L76" s="278"/>
    </row>
    <row r="77" spans="1:17" x14ac:dyDescent="0.15">
      <c r="A77" s="70"/>
      <c r="B77" s="70"/>
      <c r="C77" s="70"/>
      <c r="D77" s="70"/>
      <c r="E77" s="70"/>
      <c r="F77" s="329"/>
      <c r="G77" s="70"/>
      <c r="H77" s="70"/>
      <c r="I77" s="70"/>
      <c r="K77" s="508"/>
      <c r="L77" s="278"/>
    </row>
    <row r="78" spans="1:17" x14ac:dyDescent="0.15">
      <c r="A78" s="328" t="s">
        <v>268</v>
      </c>
      <c r="B78" s="70"/>
      <c r="C78" s="70"/>
      <c r="D78" s="70"/>
      <c r="E78" s="70"/>
      <c r="F78" s="70"/>
      <c r="G78" s="70"/>
      <c r="H78" s="70"/>
      <c r="I78" s="70"/>
      <c r="J78" s="287"/>
      <c r="K78" s="507"/>
      <c r="L78" s="278"/>
    </row>
    <row r="79" spans="1:17" x14ac:dyDescent="0.15">
      <c r="A79" s="329" t="s">
        <v>251</v>
      </c>
      <c r="B79" s="329" t="s">
        <v>233</v>
      </c>
      <c r="C79" s="329" t="s">
        <v>257</v>
      </c>
      <c r="D79" s="329" t="s">
        <v>244</v>
      </c>
      <c r="E79" s="329" t="s">
        <v>253</v>
      </c>
      <c r="F79" s="329" t="s">
        <v>245</v>
      </c>
      <c r="G79" s="329" t="s">
        <v>254</v>
      </c>
      <c r="H79" s="329" t="s">
        <v>260</v>
      </c>
      <c r="I79" s="329" t="s">
        <v>111</v>
      </c>
      <c r="J79" s="287"/>
    </row>
    <row r="80" spans="1:17" x14ac:dyDescent="0.15">
      <c r="A80" s="70">
        <v>3</v>
      </c>
      <c r="B80" s="70" t="str">
        <f>IF(B68&lt;VLOOKUP(A80,pump_types,8),"Yes","No")</f>
        <v>Yes</v>
      </c>
      <c r="C80" s="70">
        <f>VLOOKUP(A80,pump_types,6)</f>
        <v>1500</v>
      </c>
      <c r="D80" s="330">
        <f>C80*(B68^0.5)</f>
        <v>22113.136948159874</v>
      </c>
      <c r="E80" s="332">
        <f>EXP(9.7171-0.6019*LN(D80)+0.0519*LN(D80)^2)</f>
        <v>7257.6649762049474</v>
      </c>
      <c r="F80" s="70">
        <f>VLOOKUP("Stainless steel",pump_materials,2,FALSE)</f>
        <v>2</v>
      </c>
      <c r="G80" s="70">
        <f>VLOOKUP(A80,pump_types,10)</f>
        <v>1.7</v>
      </c>
      <c r="H80" s="332">
        <f>E80*F80*G80</f>
        <v>24676.060919096821</v>
      </c>
      <c r="I80" s="70"/>
      <c r="J80" s="323"/>
    </row>
    <row r="81" spans="1:12" x14ac:dyDescent="0.15">
      <c r="A81" s="70"/>
      <c r="B81" s="70"/>
      <c r="C81" s="70"/>
      <c r="D81" s="70"/>
      <c r="E81" s="70"/>
      <c r="F81" s="70"/>
      <c r="G81" s="70"/>
      <c r="H81" s="70"/>
      <c r="I81" s="70"/>
    </row>
    <row r="82" spans="1:12" x14ac:dyDescent="0.15">
      <c r="A82" s="329" t="s">
        <v>234</v>
      </c>
      <c r="B82" s="329" t="s">
        <v>233</v>
      </c>
      <c r="C82" s="329" t="s">
        <v>126</v>
      </c>
      <c r="D82" s="329" t="s">
        <v>255</v>
      </c>
      <c r="E82" s="329" t="s">
        <v>121</v>
      </c>
      <c r="F82" s="329" t="s">
        <v>127</v>
      </c>
      <c r="G82" s="329" t="s">
        <v>249</v>
      </c>
      <c r="H82" s="329" t="s">
        <v>250</v>
      </c>
      <c r="I82" s="329" t="s">
        <v>260</v>
      </c>
    </row>
    <row r="83" spans="1:12" x14ac:dyDescent="0.15">
      <c r="A83" s="70">
        <v>5</v>
      </c>
      <c r="B83" s="70" t="str">
        <f>IF(AND(D83&lt;VLOOKUP(A83,motor_types,5),VLOOKUP(A83,motor_types,3)=VLOOKUP(A80,pump_types,3)),"Yes","No")</f>
        <v>Yes</v>
      </c>
      <c r="C83" s="76">
        <f>-0.316+0.24015*(LN(C80))-0.01199*(LN(C80))^2</f>
        <v>0.79900639872219881</v>
      </c>
      <c r="D83" s="330">
        <f>C80*B68*density/(33000*C83)</f>
        <v>107.31612434766065</v>
      </c>
      <c r="E83" s="76">
        <f>0.8+(0.0319*(LN(D83)))-(0.000182*(LN(D83))^2)</f>
        <v>0.94517829795351338</v>
      </c>
      <c r="F83" s="330">
        <f>D83/E83</f>
        <v>113.54061406193942</v>
      </c>
      <c r="G83" s="332">
        <f>EXP(5.8259+0.13141*LN(F83)+0.053255*LN(F83)^2+0.028628*LN(F83)^3-0.0035549*LN(F83)^4)</f>
        <v>7268.7650595984023</v>
      </c>
      <c r="H83" s="70">
        <f>VLOOKUP(A83,motor_types,6)</f>
        <v>1.4</v>
      </c>
      <c r="I83" s="332">
        <f>G83*H83</f>
        <v>10176.271083437763</v>
      </c>
    </row>
    <row r="84" spans="1:12" x14ac:dyDescent="0.15">
      <c r="C84" s="323"/>
      <c r="E84" s="323"/>
      <c r="F84" s="323"/>
    </row>
    <row r="85" spans="1:12" x14ac:dyDescent="0.15">
      <c r="C85" s="323"/>
      <c r="E85" s="323"/>
      <c r="F85" s="323"/>
      <c r="I85" s="286"/>
    </row>
    <row r="86" spans="1:12" ht="16" x14ac:dyDescent="0.2">
      <c r="A86" s="30" t="s">
        <v>112</v>
      </c>
      <c r="B86" s="31"/>
      <c r="C86" s="31"/>
      <c r="D86" s="31"/>
      <c r="E86" s="30"/>
      <c r="F86" s="31"/>
      <c r="G86" s="31"/>
      <c r="H86" s="31"/>
      <c r="I86" s="31"/>
    </row>
    <row r="87" spans="1:12" ht="16" x14ac:dyDescent="0.2">
      <c r="A87" s="32" t="s">
        <v>297</v>
      </c>
      <c r="B87" s="81">
        <f>1*fraction_oceanwater</f>
        <v>6.4164941303283393E-3</v>
      </c>
      <c r="C87" s="32"/>
      <c r="D87" s="32"/>
      <c r="E87" s="32"/>
      <c r="F87" s="34" t="s">
        <v>259</v>
      </c>
      <c r="G87" s="335">
        <f>G97</f>
        <v>964464.60761826427</v>
      </c>
      <c r="H87" s="336"/>
      <c r="I87" s="32"/>
      <c r="J87" s="84" t="s">
        <v>499</v>
      </c>
    </row>
    <row r="88" spans="1:12" ht="16" x14ac:dyDescent="0.2">
      <c r="A88" s="32" t="s">
        <v>298</v>
      </c>
      <c r="B88" s="33">
        <f>m3_day*B87/B91</f>
        <v>2851.7751690348173</v>
      </c>
      <c r="C88" s="32" t="s">
        <v>262</v>
      </c>
      <c r="D88" s="32"/>
      <c r="E88" s="32"/>
      <c r="F88" s="35" t="s">
        <v>263</v>
      </c>
      <c r="G88" s="337">
        <f>voltage*faraday*B87*acid_concH*1/LOW_to_kgCO2*1/kWh_to_Ws</f>
        <v>2.2239904802295425</v>
      </c>
      <c r="H88" s="338" t="s">
        <v>132</v>
      </c>
      <c r="I88" s="32"/>
      <c r="J88" s="17">
        <f>voltage*100000*1/molar_mass*1/kWh_to_Ws</f>
        <v>1.5782828282828285</v>
      </c>
    </row>
    <row r="89" spans="1:12" x14ac:dyDescent="0.15">
      <c r="A89" s="32" t="s">
        <v>197</v>
      </c>
      <c r="B89" s="541">
        <v>1</v>
      </c>
      <c r="C89" s="32" t="s">
        <v>173</v>
      </c>
      <c r="D89" s="339" t="s">
        <v>473</v>
      </c>
      <c r="E89" s="32"/>
      <c r="F89" s="32"/>
      <c r="G89" s="32"/>
      <c r="H89" s="32"/>
      <c r="I89" s="32"/>
    </row>
    <row r="90" spans="1:12" x14ac:dyDescent="0.15">
      <c r="A90" s="32" t="s">
        <v>232</v>
      </c>
      <c r="B90" s="36">
        <f>B89*bar_to_fthead</f>
        <v>33.435270132517836</v>
      </c>
      <c r="C90" s="32" t="s">
        <v>123</v>
      </c>
      <c r="D90" s="32"/>
      <c r="E90" s="32"/>
      <c r="F90" s="32"/>
      <c r="G90" s="32"/>
      <c r="H90" s="32"/>
      <c r="I90" s="32"/>
    </row>
    <row r="91" spans="1:12" x14ac:dyDescent="0.15">
      <c r="A91" s="32" t="s">
        <v>188</v>
      </c>
      <c r="B91" s="82">
        <v>0.9</v>
      </c>
      <c r="C91" s="32"/>
      <c r="D91" s="32"/>
      <c r="E91" s="32"/>
      <c r="F91" s="32"/>
      <c r="G91" s="32"/>
      <c r="H91" s="32"/>
      <c r="I91" s="32"/>
    </row>
    <row r="92" spans="1:12" x14ac:dyDescent="0.15">
      <c r="A92" s="32"/>
      <c r="B92" s="32"/>
      <c r="C92" s="32"/>
      <c r="D92" s="32"/>
      <c r="E92" s="32"/>
      <c r="F92" s="32"/>
      <c r="G92" s="32"/>
      <c r="H92" s="32"/>
      <c r="I92" s="32"/>
    </row>
    <row r="93" spans="1:12" x14ac:dyDescent="0.15">
      <c r="A93" s="340" t="s">
        <v>264</v>
      </c>
      <c r="B93" s="32"/>
      <c r="C93" s="32"/>
      <c r="D93" s="32"/>
      <c r="E93" s="32"/>
      <c r="F93" s="32"/>
      <c r="G93" s="32"/>
      <c r="H93" s="32"/>
      <c r="I93" s="193"/>
      <c r="L93" s="352"/>
    </row>
    <row r="94" spans="1:12" ht="15" x14ac:dyDescent="0.15">
      <c r="A94" s="193" t="s">
        <v>201</v>
      </c>
      <c r="B94" s="193" t="s">
        <v>265</v>
      </c>
      <c r="C94" s="193" t="s">
        <v>261</v>
      </c>
      <c r="D94" s="193" t="s">
        <v>246</v>
      </c>
      <c r="E94" s="193" t="s">
        <v>247</v>
      </c>
      <c r="F94" s="193" t="s">
        <v>110</v>
      </c>
      <c r="G94" s="193" t="s">
        <v>248</v>
      </c>
      <c r="H94" s="193" t="s">
        <v>111</v>
      </c>
      <c r="I94" s="32"/>
      <c r="L94" s="352"/>
    </row>
    <row r="95" spans="1:12" x14ac:dyDescent="0.15">
      <c r="A95" s="32" t="s">
        <v>309</v>
      </c>
      <c r="B95" s="344">
        <f>B88</f>
        <v>2851.7751690348173</v>
      </c>
      <c r="C95" s="343">
        <f>D101</f>
        <v>688903.29115590313</v>
      </c>
      <c r="D95" s="341">
        <f>IF(B88&gt;0,ROUNDUP(B$88/B95,0),0)</f>
        <v>1</v>
      </c>
      <c r="E95" s="343">
        <f>D95*C95</f>
        <v>688903.29115590313</v>
      </c>
      <c r="F95" s="32">
        <f>VLOOKUP("ED",cost_factors,2,FALSE)</f>
        <v>1.4</v>
      </c>
      <c r="G95" s="343">
        <f>E95*F95</f>
        <v>964464.60761826427</v>
      </c>
      <c r="H95" s="32"/>
      <c r="I95" s="32"/>
      <c r="L95" s="352"/>
    </row>
    <row r="96" spans="1:12" x14ac:dyDescent="0.15">
      <c r="A96" s="32"/>
      <c r="B96" s="344"/>
      <c r="C96" s="342"/>
      <c r="D96" s="341"/>
      <c r="E96" s="343"/>
      <c r="F96" s="32"/>
      <c r="G96" s="343">
        <f>E96*F96</f>
        <v>0</v>
      </c>
      <c r="H96" s="32"/>
      <c r="I96" s="32"/>
      <c r="L96" s="352"/>
    </row>
    <row r="97" spans="1:12" x14ac:dyDescent="0.15">
      <c r="A97" s="193" t="s">
        <v>258</v>
      </c>
      <c r="B97" s="32"/>
      <c r="C97" s="343"/>
      <c r="D97" s="341"/>
      <c r="E97" s="343"/>
      <c r="F97" s="32"/>
      <c r="G97" s="345">
        <f>SUM(G95:G96)</f>
        <v>964464.60761826427</v>
      </c>
      <c r="H97" s="32"/>
      <c r="I97" s="32"/>
      <c r="L97" s="352"/>
    </row>
    <row r="98" spans="1:12" x14ac:dyDescent="0.15">
      <c r="A98" s="32"/>
      <c r="B98" s="32"/>
      <c r="C98" s="32"/>
      <c r="D98" s="32"/>
      <c r="E98" s="32"/>
      <c r="F98" s="193"/>
      <c r="G98" s="32"/>
      <c r="H98" s="32"/>
      <c r="I98" s="32"/>
      <c r="L98" s="352"/>
    </row>
    <row r="99" spans="1:12" x14ac:dyDescent="0.15">
      <c r="A99" s="340" t="s">
        <v>305</v>
      </c>
      <c r="B99" s="32"/>
      <c r="C99" s="32"/>
      <c r="D99" s="32"/>
      <c r="E99" s="32"/>
      <c r="F99" s="32"/>
      <c r="G99" s="32"/>
      <c r="H99" s="32"/>
      <c r="I99" s="32"/>
    </row>
    <row r="100" spans="1:12" ht="15" x14ac:dyDescent="0.15">
      <c r="A100" s="193" t="s">
        <v>306</v>
      </c>
      <c r="B100" s="193" t="s">
        <v>307</v>
      </c>
      <c r="C100" s="193" t="s">
        <v>308</v>
      </c>
      <c r="D100" s="193" t="s">
        <v>116</v>
      </c>
      <c r="E100" s="193"/>
      <c r="F100" s="193"/>
      <c r="G100" s="193"/>
      <c r="H100" s="193"/>
      <c r="I100" s="193"/>
    </row>
    <row r="101" spans="1:12" x14ac:dyDescent="0.15">
      <c r="A101" s="32">
        <v>0.05</v>
      </c>
      <c r="B101" s="343">
        <f>2*A101*1/(current_density/1000)*faraday*B87*acid_concH*l_s</f>
        <v>229634.43038530104</v>
      </c>
      <c r="C101" s="343">
        <f>A101*1/(current_density/1000)*faraday*B87*acid_concH*l_s</f>
        <v>114817.21519265052</v>
      </c>
      <c r="D101" s="343">
        <f>1.5*(B101+2*C101)</f>
        <v>688903.29115590313</v>
      </c>
      <c r="E101" s="343"/>
      <c r="F101" s="32"/>
      <c r="G101" s="32"/>
      <c r="H101" s="343"/>
      <c r="I101" s="32"/>
    </row>
    <row r="104" spans="1:12" ht="18" x14ac:dyDescent="0.25">
      <c r="A104" s="23" t="s">
        <v>310</v>
      </c>
      <c r="B104" s="24"/>
      <c r="C104" s="24"/>
      <c r="D104" s="24"/>
      <c r="E104" s="23"/>
      <c r="F104" s="24"/>
      <c r="G104" s="24"/>
      <c r="H104" s="24"/>
      <c r="I104" s="24"/>
    </row>
    <row r="105" spans="1:12" ht="16" x14ac:dyDescent="0.2">
      <c r="A105" s="25" t="s">
        <v>198</v>
      </c>
      <c r="B105" s="83">
        <v>1</v>
      </c>
      <c r="C105" s="25"/>
      <c r="D105" s="25"/>
      <c r="E105" s="25"/>
      <c r="F105" s="27" t="s">
        <v>259</v>
      </c>
      <c r="G105" s="346">
        <f>G118</f>
        <v>8778621.4071207568</v>
      </c>
      <c r="H105" s="347"/>
      <c r="I105" s="25"/>
    </row>
    <row r="106" spans="1:12" ht="16" x14ac:dyDescent="0.2">
      <c r="A106" s="25" t="s">
        <v>196</v>
      </c>
      <c r="B106" s="26">
        <f>m3_day*B105</f>
        <v>400000</v>
      </c>
      <c r="C106" s="25" t="s">
        <v>262</v>
      </c>
      <c r="D106" s="25"/>
      <c r="E106" s="25"/>
      <c r="F106" s="28" t="s">
        <v>263</v>
      </c>
      <c r="G106" s="348">
        <f>H130*B105</f>
        <v>0.3714188626928599</v>
      </c>
      <c r="H106" s="349" t="s">
        <v>132</v>
      </c>
      <c r="I106" s="25"/>
    </row>
    <row r="107" spans="1:12" x14ac:dyDescent="0.15">
      <c r="A107" s="25" t="s">
        <v>197</v>
      </c>
      <c r="B107" s="498">
        <v>0.5</v>
      </c>
      <c r="C107" s="25" t="s">
        <v>173</v>
      </c>
      <c r="D107" s="350" t="s">
        <v>497</v>
      </c>
      <c r="E107" s="25"/>
      <c r="F107" s="25"/>
      <c r="G107" s="25"/>
      <c r="H107" s="25"/>
      <c r="I107" s="25"/>
    </row>
    <row r="108" spans="1:12" x14ac:dyDescent="0.15">
      <c r="A108" s="25" t="s">
        <v>232</v>
      </c>
      <c r="B108" s="29">
        <f>B107*bar_to_fthead</f>
        <v>16.717635066258918</v>
      </c>
      <c r="C108" s="25" t="s">
        <v>123</v>
      </c>
      <c r="D108" s="25"/>
      <c r="E108" s="25"/>
      <c r="F108" s="25"/>
      <c r="G108" s="25"/>
      <c r="H108" s="25"/>
      <c r="I108" s="25"/>
    </row>
    <row r="109" spans="1:12" x14ac:dyDescent="0.15">
      <c r="A109" s="25" t="s">
        <v>428</v>
      </c>
      <c r="B109" s="29">
        <v>1</v>
      </c>
      <c r="C109" s="25"/>
      <c r="D109" s="25"/>
      <c r="E109" s="25"/>
      <c r="F109" s="25"/>
      <c r="G109" s="25"/>
      <c r="H109" s="25"/>
      <c r="I109" s="25"/>
    </row>
    <row r="110" spans="1:12" x14ac:dyDescent="0.15">
      <c r="A110" s="25"/>
      <c r="B110" s="25"/>
      <c r="C110" s="25"/>
      <c r="D110" s="25"/>
      <c r="E110" s="25"/>
      <c r="F110" s="25"/>
      <c r="G110" s="25"/>
      <c r="H110" s="25"/>
      <c r="I110" s="25"/>
    </row>
    <row r="111" spans="1:12" x14ac:dyDescent="0.15">
      <c r="A111" s="351" t="s">
        <v>264</v>
      </c>
      <c r="B111" s="25"/>
      <c r="C111" s="25"/>
      <c r="D111" s="25"/>
      <c r="E111" s="25"/>
      <c r="F111" s="25"/>
      <c r="G111" s="25"/>
      <c r="H111" s="25"/>
      <c r="I111" s="200"/>
    </row>
    <row r="112" spans="1:12" ht="15" x14ac:dyDescent="0.15">
      <c r="A112" s="200" t="s">
        <v>201</v>
      </c>
      <c r="B112" s="200" t="s">
        <v>265</v>
      </c>
      <c r="C112" s="200" t="s">
        <v>261</v>
      </c>
      <c r="D112" s="200" t="s">
        <v>246</v>
      </c>
      <c r="E112" s="200" t="s">
        <v>247</v>
      </c>
      <c r="F112" s="200" t="s">
        <v>110</v>
      </c>
      <c r="G112" s="200" t="s">
        <v>248</v>
      </c>
      <c r="H112" s="200" t="s">
        <v>111</v>
      </c>
      <c r="I112" s="25"/>
    </row>
    <row r="113" spans="1:10" x14ac:dyDescent="0.15">
      <c r="A113" s="25" t="s">
        <v>190</v>
      </c>
      <c r="B113" s="25"/>
      <c r="C113" s="25"/>
      <c r="D113" s="25"/>
      <c r="E113" s="25"/>
      <c r="F113" s="25"/>
      <c r="G113" s="355">
        <v>0</v>
      </c>
      <c r="H113" s="25" t="s">
        <v>267</v>
      </c>
      <c r="I113" s="25"/>
    </row>
    <row r="114" spans="1:10" x14ac:dyDescent="0.15">
      <c r="A114" s="25" t="s">
        <v>294</v>
      </c>
      <c r="B114" s="25"/>
      <c r="C114" s="25"/>
      <c r="D114" s="25"/>
      <c r="E114" s="25"/>
      <c r="F114" s="25"/>
      <c r="G114" s="355">
        <v>0</v>
      </c>
      <c r="H114" s="25" t="s">
        <v>267</v>
      </c>
      <c r="I114" s="25"/>
    </row>
    <row r="115" spans="1:10" x14ac:dyDescent="0.15">
      <c r="A115" s="25" t="s">
        <v>114</v>
      </c>
      <c r="B115" s="353">
        <f>D122</f>
        <v>1920</v>
      </c>
      <c r="C115" s="355">
        <f>VLOOKUP(B109,mc_types,3)</f>
        <v>6600</v>
      </c>
      <c r="D115" s="687">
        <f>B106/B115</f>
        <v>208.33333333333334</v>
      </c>
      <c r="E115" s="355">
        <f>D115*C115</f>
        <v>1375000</v>
      </c>
      <c r="F115" s="25">
        <f>VLOOKUP("Membrane contactor",cost_factors,2,FALSE)</f>
        <v>2.9</v>
      </c>
      <c r="G115" s="355">
        <f>E115*F115</f>
        <v>3987500</v>
      </c>
      <c r="H115" s="25" t="s">
        <v>476</v>
      </c>
      <c r="I115" s="25"/>
    </row>
    <row r="116" spans="1:10" x14ac:dyDescent="0.15">
      <c r="A116" s="25" t="s">
        <v>115</v>
      </c>
      <c r="B116" s="353">
        <f>labor_baseline_cap/m3OW_to_kgCO2</f>
        <v>272727.27272727271</v>
      </c>
      <c r="C116" s="355">
        <f>21000</f>
        <v>21000</v>
      </c>
      <c r="D116" s="353">
        <f>ROUNDUP(B106/B116,0)</f>
        <v>2</v>
      </c>
      <c r="E116" s="355">
        <f>D116*C116</f>
        <v>42000</v>
      </c>
      <c r="F116" s="25">
        <f>VLOOKUP("Water condenser",cost_factors,2,FALSE)</f>
        <v>3.3</v>
      </c>
      <c r="G116" s="355">
        <f>E116*F116</f>
        <v>138600</v>
      </c>
      <c r="H116" s="25" t="s">
        <v>468</v>
      </c>
      <c r="I116" s="25"/>
    </row>
    <row r="117" spans="1:10" x14ac:dyDescent="0.15">
      <c r="A117" s="25" t="s">
        <v>191</v>
      </c>
      <c r="B117" s="356">
        <f>I127</f>
        <v>80094.659935096483</v>
      </c>
      <c r="C117" s="354">
        <f>E127*607.5/500</f>
        <v>251785.21617844154</v>
      </c>
      <c r="D117" s="677">
        <f>B106/B117</f>
        <v>4.9940907461762629</v>
      </c>
      <c r="E117" s="355">
        <f>D117*C117</f>
        <v>1257438.2181407448</v>
      </c>
      <c r="F117" s="25">
        <f>VLOOKUP("Pumps",cost_factors,2,FALSE)</f>
        <v>3.7</v>
      </c>
      <c r="G117" s="355">
        <f>E117*F117</f>
        <v>4652521.4071207559</v>
      </c>
      <c r="H117" s="25" t="s">
        <v>617</v>
      </c>
      <c r="I117" s="25"/>
    </row>
    <row r="118" spans="1:10" x14ac:dyDescent="0.15">
      <c r="A118" s="200" t="s">
        <v>258</v>
      </c>
      <c r="B118" s="25"/>
      <c r="C118" s="355"/>
      <c r="D118" s="353"/>
      <c r="E118" s="355"/>
      <c r="F118" s="25"/>
      <c r="G118" s="357">
        <f>SUM(G113:G117)</f>
        <v>8778621.4071207568</v>
      </c>
      <c r="H118" s="25"/>
      <c r="I118" s="25"/>
    </row>
    <row r="119" spans="1:10" x14ac:dyDescent="0.15">
      <c r="A119" s="200"/>
      <c r="B119" s="25"/>
      <c r="C119" s="355"/>
      <c r="D119" s="353"/>
      <c r="E119" s="355"/>
      <c r="F119" s="25"/>
      <c r="G119" s="357"/>
      <c r="H119" s="25"/>
      <c r="I119" s="25"/>
    </row>
    <row r="120" spans="1:10" x14ac:dyDescent="0.15">
      <c r="A120" s="351" t="s">
        <v>615</v>
      </c>
      <c r="B120" s="25"/>
      <c r="C120" s="355"/>
      <c r="D120" s="353"/>
      <c r="E120" s="355"/>
      <c r="F120" s="25"/>
      <c r="G120" s="357"/>
      <c r="H120" s="25"/>
      <c r="I120" s="25"/>
    </row>
    <row r="121" spans="1:10" x14ac:dyDescent="0.15">
      <c r="A121" s="200" t="s">
        <v>627</v>
      </c>
      <c r="B121" s="200" t="s">
        <v>628</v>
      </c>
      <c r="C121" s="683" t="s">
        <v>630</v>
      </c>
      <c r="D121" s="684" t="s">
        <v>629</v>
      </c>
      <c r="E121" s="683"/>
      <c r="F121" s="200"/>
      <c r="G121" s="357"/>
      <c r="H121" s="200"/>
      <c r="I121" s="25"/>
    </row>
    <row r="122" spans="1:10" x14ac:dyDescent="0.15">
      <c r="A122" s="686">
        <f>lfr</f>
        <v>60</v>
      </c>
      <c r="B122" s="353">
        <f>VLOOKUP(B109,mc_types,9)</f>
        <v>38.095238095238088</v>
      </c>
      <c r="C122" s="690">
        <f>VLOOKUP(B109,mc_types,6)*(m3_day/m3_h)</f>
        <v>1920</v>
      </c>
      <c r="D122" s="687">
        <f>MIN(C122,min_n_VPs/min_n_MCs*C122)</f>
        <v>1920</v>
      </c>
      <c r="E122" s="685"/>
      <c r="F122" s="353"/>
      <c r="G122" s="609"/>
      <c r="H122" s="353"/>
      <c r="I122" s="25"/>
    </row>
    <row r="123" spans="1:10" x14ac:dyDescent="0.15">
      <c r="A123" s="25" t="s">
        <v>616</v>
      </c>
      <c r="B123" s="25"/>
      <c r="C123" s="25"/>
      <c r="D123" s="25"/>
      <c r="E123" s="25"/>
      <c r="F123" s="353"/>
      <c r="G123" s="353"/>
      <c r="H123" s="353"/>
      <c r="I123" s="25"/>
    </row>
    <row r="124" spans="1:10" x14ac:dyDescent="0.15">
      <c r="A124" s="25"/>
      <c r="B124" s="25"/>
      <c r="C124" s="25"/>
      <c r="D124" s="25"/>
      <c r="E124" s="25"/>
      <c r="F124" s="353"/>
      <c r="G124" s="353"/>
      <c r="H124" s="25"/>
      <c r="I124" s="25"/>
    </row>
    <row r="125" spans="1:10" x14ac:dyDescent="0.15">
      <c r="A125" s="351" t="s">
        <v>269</v>
      </c>
      <c r="B125" s="25"/>
      <c r="C125" s="25"/>
      <c r="D125" s="25"/>
      <c r="E125" s="25"/>
      <c r="F125" s="25"/>
      <c r="G125" s="25"/>
      <c r="H125" s="25"/>
      <c r="I125" s="25"/>
    </row>
    <row r="126" spans="1:10" ht="16" x14ac:dyDescent="0.2">
      <c r="A126" s="200" t="s">
        <v>251</v>
      </c>
      <c r="B126" s="200" t="s">
        <v>233</v>
      </c>
      <c r="C126" s="200" t="s">
        <v>515</v>
      </c>
      <c r="D126" s="200" t="s">
        <v>244</v>
      </c>
      <c r="E126" s="200" t="s">
        <v>260</v>
      </c>
      <c r="F126" s="200" t="s">
        <v>516</v>
      </c>
      <c r="G126" s="200" t="s">
        <v>507</v>
      </c>
      <c r="H126" s="200" t="s">
        <v>614</v>
      </c>
      <c r="I126" s="200" t="s">
        <v>508</v>
      </c>
    </row>
    <row r="127" spans="1:10" x14ac:dyDescent="0.15">
      <c r="A127" s="25">
        <v>2</v>
      </c>
      <c r="B127" s="25" t="str">
        <f>IF(TRUE,"Yes","No")</f>
        <v>Yes</v>
      </c>
      <c r="C127" s="353">
        <f>VLOOKUP(A127,vacuum_pump_types,4)</f>
        <v>10000</v>
      </c>
      <c r="D127" s="353">
        <f>C127</f>
        <v>10000</v>
      </c>
      <c r="E127" s="355">
        <f>VLOOKUP(A127,vacuum_pump_types,6)*D127^VLOOKUP(A127,vacuum_pump_types,5)</f>
        <v>207230.63059954034</v>
      </c>
      <c r="F127" s="607">
        <f>A130*torr_to_pa*C127/(gas_const*temp)/hr_to_s</f>
        <v>1.6315578875667807</v>
      </c>
      <c r="G127" s="604">
        <f>F127*molar_mass</f>
        <v>7.1788547052938342E-2</v>
      </c>
      <c r="H127" s="682">
        <f>C127*24</f>
        <v>240000</v>
      </c>
      <c r="I127" s="353">
        <f>G127/m3OW_to_kgCO2*day_to_min*60</f>
        <v>80094.659935096483</v>
      </c>
      <c r="J127" s="278"/>
    </row>
    <row r="128" spans="1:10" x14ac:dyDescent="0.15">
      <c r="A128" s="25"/>
      <c r="B128" s="25"/>
      <c r="C128" s="25"/>
      <c r="D128" s="25"/>
      <c r="E128" s="25"/>
      <c r="F128" s="25"/>
      <c r="G128" s="25"/>
      <c r="H128" s="25"/>
      <c r="I128" s="25"/>
    </row>
    <row r="129" spans="1:9" ht="16" x14ac:dyDescent="0.2">
      <c r="A129" s="200" t="s">
        <v>477</v>
      </c>
      <c r="B129" s="200" t="s">
        <v>478</v>
      </c>
      <c r="C129" s="200" t="s">
        <v>126</v>
      </c>
      <c r="D129" s="200" t="s">
        <v>517</v>
      </c>
      <c r="E129" s="200" t="s">
        <v>292</v>
      </c>
      <c r="F129" s="200" t="s">
        <v>526</v>
      </c>
      <c r="G129" s="200" t="s">
        <v>518</v>
      </c>
      <c r="H129" s="200" t="s">
        <v>293</v>
      </c>
      <c r="I129" s="200"/>
    </row>
    <row r="130" spans="1:9" x14ac:dyDescent="0.15">
      <c r="A130" s="25" cm="1">
        <f t="array" ref="A130">_xlfn.IFS(how="equilibrium",MAX(VLOOKUP(A127,vacuum_pump_types,7),15),how="steady-state",pressure_ss)</f>
        <v>10</v>
      </c>
      <c r="B130" s="25">
        <v>760</v>
      </c>
      <c r="C130" s="83">
        <v>0.35</v>
      </c>
      <c r="D130" s="353">
        <f>D117*A130*torr_to_pa*C127/3600*adiabatic_const/(adiabatic_const-1)*((B130/A130)^((adiabatic_const-1)/adiabatic_const)-1)/C130</f>
        <v>393089.91526811261</v>
      </c>
      <c r="E130" s="353">
        <f>D130/kg_s</f>
        <v>1096428.4826693223</v>
      </c>
      <c r="F130" s="609">
        <f>D130/(C127*D117)/G130</f>
        <v>9.5989033802790757</v>
      </c>
      <c r="G130" s="610">
        <v>0.82</v>
      </c>
      <c r="H130" s="428">
        <f>E130/kWh_to_Ws/G130</f>
        <v>0.3714188626928599</v>
      </c>
      <c r="I130" s="25" t="s">
        <v>519</v>
      </c>
    </row>
    <row r="131" spans="1:9" ht="15" x14ac:dyDescent="0.2">
      <c r="A131" s="25" cm="1">
        <f t="array" ref="A131">_xlfn.IFS(how="equilibrium",MAX(VLOOKUP(A127,vacuum_pump_types,7),15),how="steady-state",pressure_ss)</f>
        <v>10</v>
      </c>
      <c r="B131" s="25" t="s">
        <v>619</v>
      </c>
      <c r="C131" s="25"/>
      <c r="D131" s="353"/>
      <c r="E131" s="25"/>
      <c r="F131" s="688"/>
      <c r="G131" s="25"/>
      <c r="H131" s="350"/>
      <c r="I131" s="350" t="s">
        <v>618</v>
      </c>
    </row>
    <row r="132" spans="1:9" x14ac:dyDescent="0.15">
      <c r="C132" s="554"/>
      <c r="D132" s="507"/>
      <c r="F132" s="358"/>
      <c r="H132" s="269"/>
      <c r="I132" s="269"/>
    </row>
    <row r="133" spans="1:9" x14ac:dyDescent="0.15">
      <c r="B133" s="12"/>
      <c r="C133" s="554"/>
      <c r="D133" s="12"/>
      <c r="E133" s="12"/>
      <c r="F133" s="441"/>
      <c r="G133" s="12"/>
    </row>
    <row r="134" spans="1:9" x14ac:dyDescent="0.15">
      <c r="B134" s="12"/>
      <c r="C134" s="12"/>
      <c r="D134" s="12"/>
      <c r="E134" s="12"/>
      <c r="F134" s="12"/>
      <c r="G134" s="12"/>
    </row>
    <row r="135" spans="1:9" x14ac:dyDescent="0.15">
      <c r="B135" s="12"/>
      <c r="C135" s="12"/>
      <c r="D135" s="12"/>
      <c r="E135" s="12"/>
      <c r="F135" s="12"/>
      <c r="G135" s="12"/>
    </row>
    <row r="136" spans="1:9" x14ac:dyDescent="0.15">
      <c r="A136" s="7" t="s">
        <v>523</v>
      </c>
      <c r="B136" s="12" t="s">
        <v>521</v>
      </c>
      <c r="C136" s="12" t="s">
        <v>522</v>
      </c>
      <c r="D136" s="12"/>
      <c r="E136" s="12"/>
      <c r="F136" s="12"/>
      <c r="G136" s="12"/>
    </row>
    <row r="137" spans="1:9" x14ac:dyDescent="0.15">
      <c r="A137" s="12" t="s">
        <v>620</v>
      </c>
      <c r="B137" s="611">
        <v>519</v>
      </c>
      <c r="C137" s="555">
        <v>112</v>
      </c>
      <c r="D137" s="12"/>
      <c r="E137" s="12"/>
      <c r="F137" s="12"/>
      <c r="G137" s="12"/>
      <c r="H137" s="17">
        <f>E127/C127</f>
        <v>20.723063059954033</v>
      </c>
      <c r="I137" s="17" t="s">
        <v>624</v>
      </c>
    </row>
    <row r="138" spans="1:9" x14ac:dyDescent="0.15">
      <c r="A138" s="12" t="s">
        <v>621</v>
      </c>
      <c r="B138" s="555">
        <v>537</v>
      </c>
      <c r="C138" s="555">
        <v>117</v>
      </c>
      <c r="D138" s="12"/>
      <c r="E138" s="12"/>
      <c r="F138" s="12"/>
      <c r="G138" s="12"/>
      <c r="H138" s="17">
        <f>C115/(B115/24)</f>
        <v>82.5</v>
      </c>
      <c r="I138" s="17" t="s">
        <v>625</v>
      </c>
    </row>
    <row r="139" spans="1:9" x14ac:dyDescent="0.15">
      <c r="A139" s="12" t="s">
        <v>622</v>
      </c>
      <c r="B139" s="555">
        <v>621</v>
      </c>
      <c r="C139" s="555">
        <v>132</v>
      </c>
      <c r="D139" s="12"/>
      <c r="E139" s="12"/>
      <c r="F139" s="12"/>
      <c r="G139" s="12"/>
    </row>
    <row r="140" spans="1:9" x14ac:dyDescent="0.15">
      <c r="A140" s="12" t="s">
        <v>623</v>
      </c>
      <c r="B140" s="555">
        <v>1625</v>
      </c>
      <c r="C140" s="555">
        <v>297</v>
      </c>
      <c r="D140" s="12"/>
      <c r="E140" s="12"/>
      <c r="F140" s="12"/>
      <c r="G140" s="12"/>
    </row>
    <row r="141" spans="1:9" x14ac:dyDescent="0.15">
      <c r="A141" s="12"/>
      <c r="B141" s="555"/>
      <c r="C141" s="555"/>
      <c r="D141" s="12"/>
      <c r="E141" s="12"/>
      <c r="F141" s="12"/>
      <c r="G141" s="12"/>
    </row>
    <row r="142" spans="1:9" x14ac:dyDescent="0.15">
      <c r="B142" s="12"/>
      <c r="C142" s="12"/>
      <c r="D142" s="12"/>
      <c r="E142" s="12"/>
      <c r="F142" s="12"/>
      <c r="G142" s="12"/>
    </row>
    <row r="143" spans="1:9" x14ac:dyDescent="0.15">
      <c r="B143" s="12"/>
      <c r="C143" s="12"/>
      <c r="D143" s="12"/>
      <c r="E143" s="12"/>
      <c r="F143" s="12"/>
      <c r="G143" s="12"/>
    </row>
    <row r="144" spans="1:9" x14ac:dyDescent="0.15">
      <c r="B144" s="12"/>
      <c r="C144" s="12"/>
      <c r="D144" s="12"/>
      <c r="E144" s="12"/>
      <c r="F144" s="12"/>
      <c r="G144" s="12"/>
    </row>
    <row r="145" spans="2:7" x14ac:dyDescent="0.15">
      <c r="B145" s="12"/>
      <c r="C145" s="12"/>
      <c r="D145" s="12"/>
      <c r="E145" s="12"/>
      <c r="F145" s="12"/>
      <c r="G145" s="12"/>
    </row>
    <row r="146" spans="2:7" x14ac:dyDescent="0.15">
      <c r="B146" s="12"/>
      <c r="C146" s="12"/>
      <c r="D146" s="12"/>
      <c r="E146" s="12"/>
      <c r="F146" s="12"/>
      <c r="G146" s="12"/>
    </row>
    <row r="147" spans="2:7" x14ac:dyDescent="0.15">
      <c r="B147" s="12"/>
      <c r="C147" s="12"/>
      <c r="D147" s="12"/>
      <c r="E147" s="12"/>
      <c r="F147" s="12"/>
      <c r="G147" s="12"/>
    </row>
    <row r="148" spans="2:7" x14ac:dyDescent="0.15">
      <c r="B148" s="12"/>
      <c r="C148" s="12"/>
      <c r="D148" s="12"/>
      <c r="E148" s="12"/>
      <c r="F148" s="12"/>
      <c r="G148" s="12"/>
    </row>
    <row r="149" spans="2:7" x14ac:dyDescent="0.15">
      <c r="B149" s="12"/>
      <c r="C149" s="12"/>
      <c r="D149" s="12"/>
      <c r="E149" s="12"/>
      <c r="F149" s="12"/>
      <c r="G149" s="12"/>
    </row>
    <row r="150" spans="2:7" x14ac:dyDescent="0.15">
      <c r="B150" s="12"/>
      <c r="C150" s="12"/>
      <c r="D150" s="12"/>
      <c r="E150" s="12"/>
      <c r="F150" s="12"/>
      <c r="G150" s="12"/>
    </row>
    <row r="151" spans="2:7" x14ac:dyDescent="0.15">
      <c r="B151" s="12"/>
      <c r="C151" s="12"/>
      <c r="D151" s="12"/>
      <c r="E151" s="12"/>
      <c r="F151" s="12"/>
      <c r="G151" s="12"/>
    </row>
    <row r="152" spans="2:7" x14ac:dyDescent="0.15">
      <c r="B152" s="12"/>
      <c r="C152" s="12"/>
      <c r="D152" s="12"/>
      <c r="E152" s="12"/>
      <c r="F152" s="12"/>
      <c r="G152" s="12"/>
    </row>
    <row r="153" spans="2:7" x14ac:dyDescent="0.15">
      <c r="B153" s="12"/>
      <c r="C153" s="12"/>
      <c r="D153" s="12"/>
      <c r="E153" s="12"/>
      <c r="F153" s="12"/>
      <c r="G153" s="12"/>
    </row>
    <row r="154" spans="2:7" x14ac:dyDescent="0.15">
      <c r="B154" s="12"/>
      <c r="C154" s="12"/>
      <c r="D154" s="12"/>
      <c r="E154" s="12"/>
      <c r="F154" s="12"/>
      <c r="G154" s="12"/>
    </row>
    <row r="155" spans="2:7" x14ac:dyDescent="0.15">
      <c r="B155" s="12"/>
      <c r="C155" s="12"/>
      <c r="D155" s="12"/>
      <c r="E155" s="12"/>
      <c r="F155" s="12"/>
      <c r="G155" s="12"/>
    </row>
    <row r="156" spans="2:7" x14ac:dyDescent="0.15">
      <c r="B156" s="12"/>
      <c r="C156" s="12"/>
      <c r="D156" s="12"/>
      <c r="E156" s="12"/>
      <c r="F156" s="12"/>
      <c r="G156" s="12"/>
    </row>
    <row r="157" spans="2:7" x14ac:dyDescent="0.15">
      <c r="B157" s="12"/>
      <c r="C157" s="12"/>
      <c r="D157" s="12"/>
      <c r="E157" s="12"/>
      <c r="F157" s="12"/>
      <c r="G157" s="12"/>
    </row>
    <row r="158" spans="2:7" x14ac:dyDescent="0.15">
      <c r="B158" s="12"/>
      <c r="C158" s="12"/>
      <c r="D158" s="12"/>
      <c r="E158" s="12"/>
      <c r="F158" s="12"/>
      <c r="G158" s="12"/>
    </row>
    <row r="159" spans="2:7" x14ac:dyDescent="0.15">
      <c r="B159" s="12"/>
      <c r="C159" s="12"/>
      <c r="D159" s="12"/>
      <c r="E159" s="12"/>
      <c r="F159" s="12"/>
      <c r="G159" s="12"/>
    </row>
    <row r="160" spans="2:7" x14ac:dyDescent="0.15">
      <c r="B160" s="12"/>
      <c r="C160" s="12"/>
      <c r="D160" s="12"/>
      <c r="E160" s="12"/>
      <c r="F160" s="12"/>
      <c r="G160" s="12"/>
    </row>
    <row r="161" spans="2:7" x14ac:dyDescent="0.15">
      <c r="B161" s="12"/>
      <c r="C161" s="12"/>
      <c r="D161" s="12"/>
      <c r="E161" s="12"/>
      <c r="F161" s="12"/>
      <c r="G161" s="12"/>
    </row>
    <row r="162" spans="2:7" x14ac:dyDescent="0.15">
      <c r="B162" s="12"/>
      <c r="C162" s="12"/>
      <c r="D162" s="12"/>
      <c r="E162" s="12"/>
      <c r="F162" s="12"/>
      <c r="G162" s="12"/>
    </row>
    <row r="163" spans="2:7" x14ac:dyDescent="0.15">
      <c r="B163" s="12"/>
      <c r="C163" s="12"/>
      <c r="D163" s="12"/>
      <c r="E163" s="12"/>
      <c r="F163" s="12"/>
      <c r="G163" s="12"/>
    </row>
    <row r="164" spans="2:7" x14ac:dyDescent="0.15">
      <c r="B164" s="12"/>
      <c r="C164" s="12"/>
      <c r="D164" s="12"/>
      <c r="E164" s="12"/>
      <c r="F164" s="12"/>
      <c r="G164" s="12"/>
    </row>
    <row r="165" spans="2:7" x14ac:dyDescent="0.15">
      <c r="B165" s="12"/>
      <c r="C165" s="12"/>
      <c r="D165" s="12"/>
      <c r="E165" s="12"/>
      <c r="F165" s="12"/>
      <c r="G165" s="12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562C1-E3AF-DB41-992D-F9BCC722A7C8}">
  <sheetPr codeName="Sheet3"/>
  <dimension ref="A1:R142"/>
  <sheetViews>
    <sheetView zoomScaleNormal="100" workbookViewId="0">
      <pane ySplit="1" topLeftCell="A105" activePane="bottomLeft" state="frozen"/>
      <selection pane="bottomLeft" activeCell="D121" sqref="D121"/>
    </sheetView>
  </sheetViews>
  <sheetFormatPr baseColWidth="10" defaultColWidth="24.83203125" defaultRowHeight="13" x14ac:dyDescent="0.15"/>
  <cols>
    <col min="1" max="1" width="24.83203125" style="87" customWidth="1"/>
    <col min="2" max="16384" width="24.83203125" style="87"/>
  </cols>
  <sheetData>
    <row r="1" spans="1:8" s="187" customFormat="1" ht="27" x14ac:dyDescent="0.35">
      <c r="A1" s="383" t="s">
        <v>344</v>
      </c>
      <c r="B1" s="205">
        <f>H2_cost_infl*tons_to_kg</f>
        <v>138.15249440013105</v>
      </c>
      <c r="C1" s="204" t="s">
        <v>150</v>
      </c>
      <c r="H1" s="206"/>
    </row>
    <row r="3" spans="1:8" ht="16" x14ac:dyDescent="0.2">
      <c r="A3" s="359" t="s">
        <v>203</v>
      </c>
      <c r="B3" s="89"/>
      <c r="C3" s="89"/>
    </row>
    <row r="4" spans="1:8" x14ac:dyDescent="0.15">
      <c r="A4" s="43" t="s">
        <v>142</v>
      </c>
      <c r="B4" s="360">
        <v>2.2000000000000001E-3</v>
      </c>
      <c r="C4" s="43" t="s">
        <v>143</v>
      </c>
    </row>
    <row r="5" spans="1:8" ht="15" x14ac:dyDescent="0.2">
      <c r="A5" s="43" t="s">
        <v>199</v>
      </c>
      <c r="B5" s="360">
        <f>44/1000</f>
        <v>4.3999999999999997E-2</v>
      </c>
      <c r="C5" s="43" t="s">
        <v>146</v>
      </c>
    </row>
    <row r="6" spans="1:8" x14ac:dyDescent="0.15">
      <c r="A6" s="43" t="s">
        <v>256</v>
      </c>
      <c r="B6" s="43">
        <v>8.68</v>
      </c>
      <c r="C6" s="268" t="s">
        <v>124</v>
      </c>
      <c r="D6" s="269" t="s">
        <v>125</v>
      </c>
    </row>
    <row r="7" spans="1:8" x14ac:dyDescent="0.15">
      <c r="A7" s="17"/>
      <c r="B7" s="361"/>
      <c r="C7" s="17"/>
    </row>
    <row r="8" spans="1:8" x14ac:dyDescent="0.15">
      <c r="A8" s="17"/>
      <c r="B8" s="17"/>
      <c r="C8" s="17"/>
    </row>
    <row r="9" spans="1:8" ht="16" x14ac:dyDescent="0.15">
      <c r="A9" s="64" t="s">
        <v>204</v>
      </c>
      <c r="B9" s="51"/>
      <c r="C9" s="51"/>
    </row>
    <row r="10" spans="1:8" ht="15" customHeight="1" x14ac:dyDescent="0.15">
      <c r="A10" s="65" t="s">
        <v>302</v>
      </c>
      <c r="B10" s="393">
        <f>400000</f>
        <v>400000</v>
      </c>
      <c r="C10" s="51" t="s">
        <v>262</v>
      </c>
    </row>
    <row r="11" spans="1:8" ht="16" x14ac:dyDescent="0.15">
      <c r="A11" s="65" t="s">
        <v>303</v>
      </c>
      <c r="B11" s="393">
        <f>B10/24</f>
        <v>16666.666666666668</v>
      </c>
      <c r="C11" s="51" t="s">
        <v>290</v>
      </c>
    </row>
    <row r="12" spans="1:8" ht="14" x14ac:dyDescent="0.15">
      <c r="A12" s="65" t="s">
        <v>122</v>
      </c>
      <c r="B12" s="393">
        <f>m3_h*264.172/60</f>
        <v>73381.111111111109</v>
      </c>
      <c r="C12" s="51" t="s">
        <v>122</v>
      </c>
    </row>
    <row r="13" spans="1:8" ht="14" x14ac:dyDescent="0.15">
      <c r="A13" s="65" t="s">
        <v>291</v>
      </c>
      <c r="B13" s="393">
        <f>B10*264.172/1000000</f>
        <v>105.66880000000002</v>
      </c>
      <c r="C13" s="362" t="s">
        <v>291</v>
      </c>
    </row>
    <row r="14" spans="1:8" x14ac:dyDescent="0.15">
      <c r="A14" s="363" t="s">
        <v>304</v>
      </c>
      <c r="B14" s="393">
        <f>m3_h/hr_to_s/l_to_m3</f>
        <v>4629.6296296296296</v>
      </c>
      <c r="C14" s="363" t="s">
        <v>304</v>
      </c>
    </row>
    <row r="15" spans="1:8" x14ac:dyDescent="0.15">
      <c r="A15" s="15"/>
      <c r="B15" s="364"/>
      <c r="C15" s="365"/>
    </row>
    <row r="16" spans="1:8" x14ac:dyDescent="0.15">
      <c r="A16" s="19"/>
      <c r="B16" s="19"/>
      <c r="C16" s="17"/>
    </row>
    <row r="17" spans="1:7" ht="16" x14ac:dyDescent="0.15">
      <c r="A17" s="66" t="s">
        <v>289</v>
      </c>
      <c r="B17" s="58"/>
      <c r="C17" s="58"/>
    </row>
    <row r="18" spans="1:7" ht="15" x14ac:dyDescent="0.2">
      <c r="A18" s="538" t="s">
        <v>472</v>
      </c>
      <c r="B18" s="319">
        <f>B19/tons_to_kg*365</f>
        <v>11306.240000000002</v>
      </c>
      <c r="C18" s="58" t="s">
        <v>471</v>
      </c>
      <c r="E18" s="480" t="s">
        <v>597</v>
      </c>
      <c r="F18" s="481"/>
    </row>
    <row r="19" spans="1:7" ht="15" customHeight="1" x14ac:dyDescent="0.2">
      <c r="A19" s="67" t="s">
        <v>286</v>
      </c>
      <c r="B19" s="366">
        <f>baseline_cap</f>
        <v>30976.000000000004</v>
      </c>
      <c r="C19" s="367" t="s">
        <v>109</v>
      </c>
      <c r="E19" s="481">
        <v>10</v>
      </c>
      <c r="F19" s="481" t="s">
        <v>596</v>
      </c>
      <c r="G19" s="87">
        <f>'Process and cost assumptions'!A130</f>
        <v>10</v>
      </c>
    </row>
    <row r="20" spans="1:7" ht="16" x14ac:dyDescent="0.2">
      <c r="A20" s="67" t="s">
        <v>287</v>
      </c>
      <c r="B20" s="368">
        <f>B19/molar_mass*vol_mol*l_to_m3/24</f>
        <v>657.06666666666672</v>
      </c>
      <c r="C20" s="58" t="s">
        <v>524</v>
      </c>
      <c r="D20" s="603"/>
      <c r="E20" s="368">
        <f>mol_s*gas_const*temp/(E19*torr_to_pa)*hr_to_s</f>
        <v>49940.90746176261</v>
      </c>
      <c r="F20" s="481" t="s">
        <v>509</v>
      </c>
      <c r="G20" s="87" t="s">
        <v>599</v>
      </c>
    </row>
    <row r="21" spans="1:7" ht="14" x14ac:dyDescent="0.15">
      <c r="A21" s="67" t="s">
        <v>117</v>
      </c>
      <c r="B21" s="369">
        <f>B19/molar_mass/day_to_min/60</f>
        <v>8.1481481481481488</v>
      </c>
      <c r="C21" s="58" t="s">
        <v>117</v>
      </c>
      <c r="D21" s="603"/>
      <c r="E21" s="669">
        <f>m3_h/E20</f>
        <v>0.33372774972956881</v>
      </c>
      <c r="F21" s="481" t="s">
        <v>598</v>
      </c>
    </row>
    <row r="22" spans="1:7" ht="14" x14ac:dyDescent="0.15">
      <c r="A22" s="67" t="s">
        <v>470</v>
      </c>
      <c r="B22" s="369">
        <f>B19/molar_mass/24/1000</f>
        <v>29.333333333333339</v>
      </c>
      <c r="C22" s="58" t="s">
        <v>470</v>
      </c>
      <c r="D22" s="603"/>
    </row>
    <row r="23" spans="1:7" ht="14" x14ac:dyDescent="0.15">
      <c r="A23" s="67" t="s">
        <v>288</v>
      </c>
      <c r="B23" s="369">
        <f>B19/day_to_min/60</f>
        <v>0.35851851851851857</v>
      </c>
      <c r="C23" s="58" t="s">
        <v>288</v>
      </c>
    </row>
    <row r="24" spans="1:7" x14ac:dyDescent="0.15">
      <c r="A24" s="15"/>
      <c r="B24" s="370"/>
      <c r="C24" s="17"/>
    </row>
    <row r="25" spans="1:7" x14ac:dyDescent="0.15">
      <c r="A25" s="15"/>
      <c r="B25" s="370"/>
      <c r="C25" s="17"/>
      <c r="G25" s="603"/>
    </row>
    <row r="26" spans="1:7" ht="18" x14ac:dyDescent="0.15">
      <c r="A26" s="39" t="s">
        <v>411</v>
      </c>
      <c r="B26" s="70"/>
      <c r="C26" s="70"/>
      <c r="G26" s="603"/>
    </row>
    <row r="27" spans="1:7" ht="15" x14ac:dyDescent="0.2">
      <c r="A27" s="500" t="s">
        <v>610</v>
      </c>
      <c r="B27" s="456">
        <f>molar_mass*DIC_concentration*extraction_efficiency</f>
        <v>7.7440000000000004E-5</v>
      </c>
      <c r="C27" s="70" t="s">
        <v>609</v>
      </c>
    </row>
    <row r="28" spans="1:7" ht="15" x14ac:dyDescent="0.2">
      <c r="A28" s="40" t="s">
        <v>500</v>
      </c>
      <c r="B28" s="601">
        <f>1/(LOW_to_kgCO2/molar_mass*22.4)</f>
        <v>25.365259740259742</v>
      </c>
      <c r="C28" s="70" t="s">
        <v>501</v>
      </c>
      <c r="D28" s="602"/>
    </row>
    <row r="29" spans="1:7" ht="16" x14ac:dyDescent="0.2">
      <c r="A29" s="40" t="s">
        <v>611</v>
      </c>
      <c r="B29" s="456">
        <f>LOW_to_kgCO2*1/l_to_m3</f>
        <v>7.7440000000000009E-2</v>
      </c>
      <c r="C29" s="70" t="s">
        <v>612</v>
      </c>
    </row>
    <row r="30" spans="1:7" x14ac:dyDescent="0.15">
      <c r="A30" s="40"/>
      <c r="B30" s="456"/>
      <c r="C30" s="70"/>
    </row>
    <row r="31" spans="1:7" x14ac:dyDescent="0.15">
      <c r="A31" s="40" t="s">
        <v>415</v>
      </c>
      <c r="B31" s="456">
        <f>10^(-acid_pH)/acid_concH</f>
        <v>0.99379816963324885</v>
      </c>
      <c r="C31" s="70" t="s">
        <v>412</v>
      </c>
    </row>
    <row r="32" spans="1:7" ht="15" customHeight="1" x14ac:dyDescent="0.15">
      <c r="A32" s="499" t="s">
        <v>429</v>
      </c>
      <c r="B32" s="458">
        <f>co2_per_DIC*DIC_concentration/(fraction_oceanwater*10^-(acid_pH))</f>
        <v>0.8495146552082008</v>
      </c>
      <c r="C32" s="459" t="s">
        <v>412</v>
      </c>
    </row>
    <row r="33" spans="1:4" ht="15" x14ac:dyDescent="0.15">
      <c r="A33" s="457" t="s">
        <v>414</v>
      </c>
      <c r="B33" s="458">
        <f>molh_to_molco2eq*mc_efficiency</f>
        <v>0.76456318968738068</v>
      </c>
      <c r="C33" s="459" t="s">
        <v>412</v>
      </c>
    </row>
    <row r="34" spans="1:4" ht="16" x14ac:dyDescent="0.15">
      <c r="A34" s="460" t="s">
        <v>413</v>
      </c>
      <c r="B34" s="461">
        <f>LOW_to_kgCO2/(fraction_oceanwater*10^(-acid_pH))</f>
        <v>3.0315695971212257E-2</v>
      </c>
      <c r="C34" s="70" t="s">
        <v>146</v>
      </c>
    </row>
    <row r="35" spans="1:4" x14ac:dyDescent="0.15">
      <c r="A35" s="15"/>
      <c r="B35" s="370"/>
      <c r="C35" s="17"/>
    </row>
    <row r="36" spans="1:4" x14ac:dyDescent="0.15">
      <c r="A36" s="15"/>
      <c r="B36" s="364"/>
      <c r="C36" s="17"/>
    </row>
    <row r="37" spans="1:4" ht="16" x14ac:dyDescent="0.15">
      <c r="A37" s="38" t="s">
        <v>285</v>
      </c>
      <c r="B37" s="32"/>
      <c r="C37" s="32"/>
    </row>
    <row r="38" spans="1:4" ht="14" x14ac:dyDescent="0.15">
      <c r="A38" s="462" t="s">
        <v>118</v>
      </c>
      <c r="B38" s="463">
        <v>8.3144626181532395</v>
      </c>
      <c r="C38" s="339" t="s">
        <v>170</v>
      </c>
    </row>
    <row r="39" spans="1:4" ht="14" x14ac:dyDescent="0.15">
      <c r="A39" s="464" t="s">
        <v>119</v>
      </c>
      <c r="B39" s="339">
        <v>273</v>
      </c>
      <c r="C39" s="339" t="s">
        <v>120</v>
      </c>
      <c r="D39" s="87" t="s">
        <v>512</v>
      </c>
    </row>
    <row r="40" spans="1:4" ht="15" x14ac:dyDescent="0.2">
      <c r="A40" s="339" t="s">
        <v>312</v>
      </c>
      <c r="B40" s="339">
        <v>1.3</v>
      </c>
      <c r="C40" s="339"/>
    </row>
    <row r="41" spans="1:4" ht="15" x14ac:dyDescent="0.2">
      <c r="A41" s="339" t="s">
        <v>313</v>
      </c>
      <c r="B41" s="339">
        <v>1.4</v>
      </c>
      <c r="C41" s="339"/>
    </row>
    <row r="42" spans="1:4" x14ac:dyDescent="0.15">
      <c r="A42" s="465" t="s">
        <v>301</v>
      </c>
      <c r="B42" s="465">
        <v>96485.3</v>
      </c>
      <c r="C42" s="339" t="s">
        <v>300</v>
      </c>
    </row>
    <row r="43" spans="1:4" x14ac:dyDescent="0.15">
      <c r="A43" s="16"/>
      <c r="B43" s="269"/>
      <c r="C43" s="269"/>
    </row>
    <row r="44" spans="1:4" x14ac:dyDescent="0.15">
      <c r="C44" s="269"/>
    </row>
    <row r="45" spans="1:4" ht="16" x14ac:dyDescent="0.2">
      <c r="A45" s="371" t="s">
        <v>166</v>
      </c>
      <c r="B45" s="25"/>
      <c r="C45" s="25"/>
    </row>
    <row r="46" spans="1:4" ht="15" x14ac:dyDescent="0.15">
      <c r="A46" s="372" t="s">
        <v>160</v>
      </c>
      <c r="B46" s="466">
        <f>1/1000</f>
        <v>1E-3</v>
      </c>
      <c r="C46" s="25" t="s">
        <v>200</v>
      </c>
    </row>
    <row r="47" spans="1:4" x14ac:dyDescent="0.15">
      <c r="A47" s="350" t="s">
        <v>159</v>
      </c>
      <c r="B47" s="467">
        <f>60*60</f>
        <v>3600</v>
      </c>
      <c r="C47" s="350" t="s">
        <v>158</v>
      </c>
    </row>
    <row r="48" spans="1:4" x14ac:dyDescent="0.15">
      <c r="A48" s="350" t="s">
        <v>283</v>
      </c>
      <c r="B48" s="467">
        <f>24*60</f>
        <v>1440</v>
      </c>
      <c r="C48" s="350" t="s">
        <v>284</v>
      </c>
    </row>
    <row r="49" spans="1:17" x14ac:dyDescent="0.15">
      <c r="A49" s="25" t="s">
        <v>165</v>
      </c>
      <c r="B49" s="466">
        <f>1000*hr_to_s</f>
        <v>3600000</v>
      </c>
      <c r="C49" s="25" t="s">
        <v>157</v>
      </c>
    </row>
    <row r="50" spans="1:17" x14ac:dyDescent="0.15">
      <c r="A50" s="350" t="s">
        <v>161</v>
      </c>
      <c r="B50" s="466">
        <v>1000</v>
      </c>
      <c r="C50" s="25" t="s">
        <v>162</v>
      </c>
      <c r="E50" s="606"/>
    </row>
    <row r="51" spans="1:17" x14ac:dyDescent="0.15">
      <c r="A51" s="25" t="s">
        <v>163</v>
      </c>
      <c r="B51" s="466">
        <v>100000</v>
      </c>
      <c r="C51" s="25" t="s">
        <v>164</v>
      </c>
    </row>
    <row r="52" spans="1:17" x14ac:dyDescent="0.15">
      <c r="A52" s="25" t="s">
        <v>510</v>
      </c>
      <c r="B52" s="466">
        <f>133.322</f>
        <v>133.322</v>
      </c>
      <c r="C52" s="25" t="s">
        <v>511</v>
      </c>
    </row>
    <row r="53" spans="1:17" x14ac:dyDescent="0.15">
      <c r="A53" s="25" t="s">
        <v>171</v>
      </c>
      <c r="B53" s="466">
        <f>1/9.81*3.28*bar_to_pa*l_to_m3</f>
        <v>33.435270132517836</v>
      </c>
      <c r="C53" s="25" t="s">
        <v>172</v>
      </c>
    </row>
    <row r="54" spans="1:17" x14ac:dyDescent="0.15">
      <c r="A54" s="25" t="s">
        <v>168</v>
      </c>
      <c r="B54" s="466">
        <v>22.4</v>
      </c>
      <c r="C54" s="25" t="s">
        <v>169</v>
      </c>
    </row>
    <row r="55" spans="1:17" ht="15" x14ac:dyDescent="0.15">
      <c r="A55" s="25" t="s">
        <v>442</v>
      </c>
      <c r="B55" s="466">
        <f>1/264.172</f>
        <v>3.7854125342579831E-3</v>
      </c>
      <c r="C55" s="25" t="s">
        <v>441</v>
      </c>
    </row>
    <row r="56" spans="1:17" ht="15" x14ac:dyDescent="0.15">
      <c r="A56" s="350" t="s">
        <v>282</v>
      </c>
      <c r="B56" s="466">
        <v>2.83168E-2</v>
      </c>
      <c r="C56" s="25" t="s">
        <v>281</v>
      </c>
    </row>
    <row r="59" spans="1:17" ht="16" x14ac:dyDescent="0.2">
      <c r="A59" s="373" t="s">
        <v>205</v>
      </c>
      <c r="B59" s="374"/>
      <c r="C59" s="374"/>
      <c r="D59" s="374"/>
      <c r="E59" s="374"/>
      <c r="F59" s="374"/>
      <c r="G59" s="374"/>
      <c r="H59" s="374"/>
      <c r="I59" s="374"/>
      <c r="J59" s="374"/>
    </row>
    <row r="60" spans="1:17" s="170" customFormat="1" x14ac:dyDescent="0.15">
      <c r="A60" s="375" t="s">
        <v>217</v>
      </c>
      <c r="B60" s="376"/>
      <c r="C60" s="376"/>
      <c r="D60" s="376"/>
      <c r="E60" s="376"/>
      <c r="F60" s="376"/>
      <c r="G60" s="376"/>
      <c r="H60" s="376"/>
      <c r="I60" s="376"/>
      <c r="J60" s="376"/>
    </row>
    <row r="61" spans="1:17" s="170" customFormat="1" x14ac:dyDescent="0.15">
      <c r="A61" s="377"/>
      <c r="B61" s="376"/>
      <c r="C61" s="376"/>
      <c r="D61" s="376"/>
      <c r="E61" s="376"/>
      <c r="F61" s="376"/>
      <c r="G61" s="376"/>
      <c r="H61" s="376"/>
      <c r="I61" s="376"/>
      <c r="J61" s="376"/>
    </row>
    <row r="62" spans="1:17" s="170" customFormat="1" x14ac:dyDescent="0.15">
      <c r="A62" s="378" t="s">
        <v>231</v>
      </c>
      <c r="B62" s="378" t="s">
        <v>206</v>
      </c>
      <c r="C62" s="378" t="s">
        <v>207</v>
      </c>
      <c r="D62" s="378" t="s">
        <v>208</v>
      </c>
      <c r="E62" s="378" t="s">
        <v>213</v>
      </c>
      <c r="F62" s="378" t="s">
        <v>214</v>
      </c>
      <c r="G62" s="378" t="s">
        <v>215</v>
      </c>
      <c r="H62" s="378" t="s">
        <v>216</v>
      </c>
      <c r="I62" s="378" t="s">
        <v>209</v>
      </c>
      <c r="J62" s="378" t="s">
        <v>210</v>
      </c>
      <c r="K62" s="160"/>
      <c r="L62" s="160"/>
      <c r="M62" s="160"/>
      <c r="N62" s="160"/>
      <c r="O62" s="160"/>
      <c r="P62" s="160"/>
      <c r="Q62" s="160"/>
    </row>
    <row r="63" spans="1:17" x14ac:dyDescent="0.15">
      <c r="A63" s="374">
        <v>1</v>
      </c>
      <c r="B63" s="374">
        <v>1</v>
      </c>
      <c r="C63" s="374">
        <v>3600</v>
      </c>
      <c r="D63" s="374" t="s">
        <v>211</v>
      </c>
      <c r="E63" s="374">
        <v>50</v>
      </c>
      <c r="F63" s="374">
        <v>900</v>
      </c>
      <c r="G63" s="374">
        <v>50</v>
      </c>
      <c r="H63" s="374">
        <v>400</v>
      </c>
      <c r="I63" s="374">
        <v>75</v>
      </c>
      <c r="J63" s="374">
        <v>1</v>
      </c>
    </row>
    <row r="64" spans="1:17" x14ac:dyDescent="0.15">
      <c r="A64" s="374">
        <v>2</v>
      </c>
      <c r="B64" s="374">
        <v>1</v>
      </c>
      <c r="C64" s="374">
        <v>1800</v>
      </c>
      <c r="D64" s="374" t="s">
        <v>211</v>
      </c>
      <c r="E64" s="374">
        <v>50</v>
      </c>
      <c r="F64" s="374">
        <v>3500</v>
      </c>
      <c r="G64" s="374">
        <v>50</v>
      </c>
      <c r="H64" s="374">
        <v>200</v>
      </c>
      <c r="I64" s="374">
        <v>200</v>
      </c>
      <c r="J64" s="374">
        <v>1.5</v>
      </c>
    </row>
    <row r="65" spans="1:10" x14ac:dyDescent="0.15">
      <c r="A65" s="374">
        <v>3</v>
      </c>
      <c r="B65" s="374">
        <v>1</v>
      </c>
      <c r="C65" s="374">
        <v>3600</v>
      </c>
      <c r="D65" s="374" t="s">
        <v>212</v>
      </c>
      <c r="E65" s="374">
        <v>100</v>
      </c>
      <c r="F65" s="374">
        <v>1500</v>
      </c>
      <c r="G65" s="374">
        <v>100</v>
      </c>
      <c r="H65" s="374">
        <v>450</v>
      </c>
      <c r="I65" s="374">
        <v>150</v>
      </c>
      <c r="J65" s="374">
        <v>1.7</v>
      </c>
    </row>
    <row r="66" spans="1:10" x14ac:dyDescent="0.15">
      <c r="A66" s="374">
        <v>4</v>
      </c>
      <c r="B66" s="374">
        <v>1</v>
      </c>
      <c r="C66" s="374">
        <v>1800</v>
      </c>
      <c r="D66" s="374" t="s">
        <v>212</v>
      </c>
      <c r="E66" s="374">
        <v>250</v>
      </c>
      <c r="F66" s="374">
        <v>5000</v>
      </c>
      <c r="G66" s="374">
        <v>50</v>
      </c>
      <c r="H66" s="374">
        <v>500</v>
      </c>
      <c r="I66" s="374">
        <v>250</v>
      </c>
      <c r="J66" s="374">
        <v>2</v>
      </c>
    </row>
    <row r="67" spans="1:10" x14ac:dyDescent="0.15">
      <c r="A67" s="374">
        <v>5</v>
      </c>
      <c r="B67" s="374">
        <v>2</v>
      </c>
      <c r="C67" s="374">
        <v>3600</v>
      </c>
      <c r="D67" s="374" t="s">
        <v>212</v>
      </c>
      <c r="E67" s="374">
        <v>50</v>
      </c>
      <c r="F67" s="374">
        <v>1100</v>
      </c>
      <c r="G67" s="374">
        <v>300</v>
      </c>
      <c r="H67" s="374">
        <v>1100</v>
      </c>
      <c r="I67" s="374">
        <v>250</v>
      </c>
      <c r="J67" s="374">
        <v>2.7</v>
      </c>
    </row>
    <row r="68" spans="1:10" x14ac:dyDescent="0.15">
      <c r="A68" s="374">
        <v>6</v>
      </c>
      <c r="B68" s="374">
        <v>2</v>
      </c>
      <c r="C68" s="374">
        <v>3600</v>
      </c>
      <c r="D68" s="374" t="s">
        <v>212</v>
      </c>
      <c r="E68" s="374">
        <v>100</v>
      </c>
      <c r="F68" s="374">
        <v>1500</v>
      </c>
      <c r="G68" s="374">
        <v>650</v>
      </c>
      <c r="H68" s="374">
        <v>3200</v>
      </c>
      <c r="I68" s="374">
        <v>1450</v>
      </c>
      <c r="J68" s="374">
        <v>8.9</v>
      </c>
    </row>
    <row r="69" spans="1:10" s="188" customFormat="1" x14ac:dyDescent="0.15"/>
    <row r="71" spans="1:10" ht="16" x14ac:dyDescent="0.2">
      <c r="A71" s="468" t="s">
        <v>219</v>
      </c>
      <c r="B71" s="469"/>
    </row>
    <row r="72" spans="1:10" x14ac:dyDescent="0.15">
      <c r="A72" s="470" t="s">
        <v>220</v>
      </c>
      <c r="B72" s="471"/>
    </row>
    <row r="73" spans="1:10" x14ac:dyDescent="0.15">
      <c r="A73" s="472"/>
      <c r="B73" s="471"/>
    </row>
    <row r="74" spans="1:10" x14ac:dyDescent="0.15">
      <c r="A74" s="473" t="s">
        <v>221</v>
      </c>
      <c r="B74" s="473" t="s">
        <v>222</v>
      </c>
    </row>
    <row r="75" spans="1:10" x14ac:dyDescent="0.15">
      <c r="A75" s="469" t="s">
        <v>223</v>
      </c>
      <c r="B75" s="469">
        <v>1</v>
      </c>
    </row>
    <row r="76" spans="1:10" x14ac:dyDescent="0.15">
      <c r="A76" s="469" t="s">
        <v>224</v>
      </c>
      <c r="B76" s="469">
        <v>1.1499999999999999</v>
      </c>
    </row>
    <row r="77" spans="1:10" x14ac:dyDescent="0.15">
      <c r="A77" s="469" t="s">
        <v>225</v>
      </c>
      <c r="B77" s="469">
        <v>1.35</v>
      </c>
    </row>
    <row r="78" spans="1:10" x14ac:dyDescent="0.15">
      <c r="A78" s="469" t="s">
        <v>226</v>
      </c>
      <c r="B78" s="469">
        <v>1.9</v>
      </c>
    </row>
    <row r="79" spans="1:10" x14ac:dyDescent="0.15">
      <c r="A79" s="469" t="s">
        <v>227</v>
      </c>
      <c r="B79" s="469">
        <v>2</v>
      </c>
    </row>
    <row r="80" spans="1:10" x14ac:dyDescent="0.15">
      <c r="A80" s="469" t="s">
        <v>228</v>
      </c>
      <c r="B80" s="469">
        <v>2.95</v>
      </c>
    </row>
    <row r="81" spans="1:10" x14ac:dyDescent="0.15">
      <c r="A81" s="469" t="s">
        <v>229</v>
      </c>
      <c r="B81" s="469">
        <v>3.3</v>
      </c>
    </row>
    <row r="82" spans="1:10" x14ac:dyDescent="0.15">
      <c r="A82" s="469" t="s">
        <v>230</v>
      </c>
      <c r="B82" s="469">
        <v>3.5</v>
      </c>
    </row>
    <row r="83" spans="1:10" x14ac:dyDescent="0.15">
      <c r="A83" s="469" t="s">
        <v>252</v>
      </c>
      <c r="B83" s="469">
        <v>9.6999999999999993</v>
      </c>
    </row>
    <row r="86" spans="1:10" ht="16" x14ac:dyDescent="0.2">
      <c r="A86" s="474" t="s">
        <v>235</v>
      </c>
      <c r="B86" s="89"/>
      <c r="C86" s="89"/>
      <c r="D86" s="89"/>
      <c r="E86" s="89"/>
      <c r="F86" s="89"/>
    </row>
    <row r="87" spans="1:10" x14ac:dyDescent="0.15">
      <c r="A87" s="379" t="s">
        <v>236</v>
      </c>
      <c r="B87" s="380"/>
      <c r="C87" s="380"/>
      <c r="D87" s="89"/>
      <c r="E87" s="89"/>
      <c r="F87" s="89"/>
    </row>
    <row r="88" spans="1:10" x14ac:dyDescent="0.15">
      <c r="A88" s="381"/>
      <c r="B88" s="380"/>
      <c r="C88" s="380"/>
      <c r="D88" s="89"/>
      <c r="E88" s="89"/>
      <c r="F88" s="89"/>
    </row>
    <row r="89" spans="1:10" x14ac:dyDescent="0.15">
      <c r="A89" s="159" t="s">
        <v>231</v>
      </c>
      <c r="B89" s="159" t="s">
        <v>237</v>
      </c>
      <c r="C89" s="159" t="s">
        <v>207</v>
      </c>
      <c r="D89" s="159" t="s">
        <v>241</v>
      </c>
      <c r="E89" s="159" t="s">
        <v>242</v>
      </c>
      <c r="F89" s="159" t="s">
        <v>243</v>
      </c>
    </row>
    <row r="90" spans="1:10" x14ac:dyDescent="0.15">
      <c r="A90" s="89">
        <v>1</v>
      </c>
      <c r="B90" s="89" t="s">
        <v>238</v>
      </c>
      <c r="C90" s="89">
        <v>1800</v>
      </c>
      <c r="D90" s="89">
        <v>1</v>
      </c>
      <c r="E90" s="89">
        <v>700</v>
      </c>
      <c r="F90" s="89">
        <v>0.9</v>
      </c>
    </row>
    <row r="91" spans="1:10" x14ac:dyDescent="0.15">
      <c r="A91" s="89">
        <v>2</v>
      </c>
      <c r="B91" s="89" t="s">
        <v>239</v>
      </c>
      <c r="C91" s="89">
        <v>1800</v>
      </c>
      <c r="D91" s="89">
        <v>1</v>
      </c>
      <c r="E91" s="89">
        <v>250</v>
      </c>
      <c r="F91" s="89">
        <v>1.3</v>
      </c>
    </row>
    <row r="92" spans="1:10" x14ac:dyDescent="0.15">
      <c r="A92" s="89">
        <v>3</v>
      </c>
      <c r="B92" s="89" t="s">
        <v>240</v>
      </c>
      <c r="C92" s="89">
        <v>1800</v>
      </c>
      <c r="D92" s="89">
        <v>1</v>
      </c>
      <c r="E92" s="89">
        <v>250</v>
      </c>
      <c r="F92" s="89">
        <v>1.7</v>
      </c>
    </row>
    <row r="93" spans="1:10" x14ac:dyDescent="0.15">
      <c r="A93" s="89">
        <v>4</v>
      </c>
      <c r="B93" s="89" t="s">
        <v>238</v>
      </c>
      <c r="C93" s="89">
        <v>3600</v>
      </c>
      <c r="D93" s="89">
        <v>1</v>
      </c>
      <c r="E93" s="89">
        <v>700</v>
      </c>
      <c r="F93" s="89">
        <v>1</v>
      </c>
    </row>
    <row r="94" spans="1:10" x14ac:dyDescent="0.15">
      <c r="A94" s="89">
        <v>5</v>
      </c>
      <c r="B94" s="89" t="s">
        <v>239</v>
      </c>
      <c r="C94" s="89">
        <v>3600</v>
      </c>
      <c r="D94" s="89">
        <v>1</v>
      </c>
      <c r="E94" s="89">
        <v>250</v>
      </c>
      <c r="F94" s="89">
        <v>1.4</v>
      </c>
    </row>
    <row r="95" spans="1:10" x14ac:dyDescent="0.15">
      <c r="A95" s="89">
        <v>6</v>
      </c>
      <c r="B95" s="89" t="s">
        <v>240</v>
      </c>
      <c r="C95" s="89">
        <v>3600</v>
      </c>
      <c r="D95" s="89">
        <v>1</v>
      </c>
      <c r="E95" s="89">
        <v>250</v>
      </c>
      <c r="F95" s="89">
        <v>1.8</v>
      </c>
    </row>
    <row r="96" spans="1:10" x14ac:dyDescent="0.15">
      <c r="I96" s="188"/>
      <c r="J96" s="188"/>
    </row>
    <row r="97" spans="1:18" x14ac:dyDescent="0.15">
      <c r="I97" s="188"/>
      <c r="J97" s="188"/>
    </row>
    <row r="98" spans="1:18" ht="16" x14ac:dyDescent="0.2">
      <c r="A98" s="503" t="s">
        <v>270</v>
      </c>
      <c r="B98" s="363"/>
      <c r="C98" s="363"/>
      <c r="D98" s="363" t="s">
        <v>525</v>
      </c>
      <c r="E98" s="363"/>
      <c r="F98" s="363"/>
      <c r="G98" s="363"/>
      <c r="H98" s="363"/>
      <c r="I98" s="363"/>
      <c r="J98" s="363"/>
    </row>
    <row r="99" spans="1:18" x14ac:dyDescent="0.15">
      <c r="A99" s="382" t="s">
        <v>271</v>
      </c>
      <c r="B99" s="395" t="s">
        <v>276</v>
      </c>
      <c r="C99" s="395"/>
      <c r="D99" s="363" t="s">
        <v>502</v>
      </c>
      <c r="E99" s="363"/>
      <c r="F99" s="363"/>
      <c r="G99" s="363"/>
      <c r="H99" s="363"/>
      <c r="I99" s="363"/>
      <c r="J99" s="363"/>
    </row>
    <row r="100" spans="1:18" x14ac:dyDescent="0.15">
      <c r="A100" s="475"/>
      <c r="B100" s="395"/>
      <c r="C100" s="395"/>
      <c r="D100" s="363"/>
      <c r="E100" s="363"/>
      <c r="F100" s="363"/>
      <c r="G100" s="363"/>
      <c r="H100" s="363"/>
      <c r="I100" s="363"/>
      <c r="J100" s="363"/>
    </row>
    <row r="101" spans="1:18" ht="15" x14ac:dyDescent="0.15">
      <c r="A101" s="394" t="s">
        <v>231</v>
      </c>
      <c r="B101" s="394" t="s">
        <v>237</v>
      </c>
      <c r="C101" s="394" t="s">
        <v>513</v>
      </c>
      <c r="D101" s="394" t="s">
        <v>514</v>
      </c>
      <c r="E101" s="394" t="s">
        <v>274</v>
      </c>
      <c r="F101" s="394" t="s">
        <v>275</v>
      </c>
      <c r="G101" s="394" t="s">
        <v>311</v>
      </c>
      <c r="H101" s="394" t="s">
        <v>111</v>
      </c>
      <c r="I101" s="394" t="s">
        <v>272</v>
      </c>
      <c r="J101" s="394" t="s">
        <v>273</v>
      </c>
      <c r="O101" s="605"/>
      <c r="P101" s="602"/>
      <c r="Q101" s="602"/>
      <c r="R101" s="602"/>
    </row>
    <row r="102" spans="1:18" ht="15" x14ac:dyDescent="0.2">
      <c r="A102" s="363">
        <v>1</v>
      </c>
      <c r="B102" s="363" t="s">
        <v>277</v>
      </c>
      <c r="C102" s="393">
        <f>m3co2_h</f>
        <v>657.06666666666672</v>
      </c>
      <c r="D102" s="393">
        <f>m3co2_h</f>
        <v>657.06666666666672</v>
      </c>
      <c r="E102" s="363">
        <v>0.41</v>
      </c>
      <c r="F102" s="363">
        <v>1690</v>
      </c>
      <c r="G102" s="395">
        <v>75</v>
      </c>
      <c r="H102" s="363" t="s">
        <v>504</v>
      </c>
      <c r="I102" s="553" cm="1">
        <f t="array" ref="I102">ft3_min</f>
        <v>429.15337302287008</v>
      </c>
      <c r="J102" s="553">
        <f>_xlfn.SINGLE(ft3_min)</f>
        <v>429.15337302287008</v>
      </c>
      <c r="L102" s="602"/>
      <c r="M102" s="602"/>
      <c r="N102" s="608"/>
      <c r="O102" s="605"/>
      <c r="P102" s="602"/>
    </row>
    <row r="103" spans="1:18" ht="15" x14ac:dyDescent="0.2">
      <c r="A103" s="363">
        <v>2</v>
      </c>
      <c r="B103" s="363" t="s">
        <v>278</v>
      </c>
      <c r="C103" s="393">
        <f>I103*ft3_to_m3*60</f>
        <v>84.950400000000002</v>
      </c>
      <c r="D103" s="612">
        <v>10000</v>
      </c>
      <c r="E103" s="363">
        <v>0.35</v>
      </c>
      <c r="F103" s="363">
        <v>8250</v>
      </c>
      <c r="G103" s="395">
        <v>35</v>
      </c>
      <c r="H103" s="363" t="s">
        <v>505</v>
      </c>
      <c r="I103" s="363">
        <v>50</v>
      </c>
      <c r="J103" s="363">
        <v>350</v>
      </c>
      <c r="L103" s="602"/>
      <c r="M103" s="602"/>
      <c r="N103" s="608"/>
      <c r="O103" s="605"/>
      <c r="P103" s="602"/>
    </row>
    <row r="104" spans="1:18" x14ac:dyDescent="0.15">
      <c r="A104" s="363">
        <v>3</v>
      </c>
      <c r="B104" s="363" t="s">
        <v>503</v>
      </c>
      <c r="C104" s="393">
        <f>I104*ft3_to_m3*60</f>
        <v>101.94048000000001</v>
      </c>
      <c r="D104" s="393">
        <v>100000</v>
      </c>
      <c r="E104" s="363">
        <v>0.41</v>
      </c>
      <c r="F104" s="363">
        <v>7120</v>
      </c>
      <c r="G104" s="551">
        <v>1E-3</v>
      </c>
      <c r="H104" s="363" t="s">
        <v>506</v>
      </c>
      <c r="I104" s="363">
        <v>60</v>
      </c>
      <c r="J104" s="363">
        <v>240</v>
      </c>
      <c r="L104" s="602"/>
      <c r="M104" s="602"/>
      <c r="O104" s="603"/>
      <c r="P104" s="602"/>
    </row>
    <row r="105" spans="1:18" ht="15" x14ac:dyDescent="0.2">
      <c r="A105" s="363">
        <v>4</v>
      </c>
      <c r="B105" s="363" t="s">
        <v>279</v>
      </c>
      <c r="C105" s="393">
        <f>I105*ft3_to_m3*60</f>
        <v>101.94048000000001</v>
      </c>
      <c r="D105" s="393">
        <v>800</v>
      </c>
      <c r="E105" s="363">
        <v>0.36</v>
      </c>
      <c r="F105" s="363">
        <v>8630</v>
      </c>
      <c r="G105" s="551">
        <v>1E-3</v>
      </c>
      <c r="H105" s="363" t="s">
        <v>520</v>
      </c>
      <c r="I105" s="363">
        <v>60</v>
      </c>
      <c r="J105" s="363">
        <v>270</v>
      </c>
      <c r="L105" s="602"/>
      <c r="M105" s="602"/>
      <c r="N105" s="608"/>
      <c r="O105" s="603"/>
    </row>
    <row r="106" spans="1:18" x14ac:dyDescent="0.15">
      <c r="A106" s="363">
        <v>5</v>
      </c>
      <c r="B106" s="363" t="s">
        <v>280</v>
      </c>
      <c r="C106" s="393">
        <f>I106*ft3_to_m3*60</f>
        <v>84.950400000000002</v>
      </c>
      <c r="D106" s="393">
        <v>750</v>
      </c>
      <c r="E106" s="363">
        <v>0.38</v>
      </c>
      <c r="F106" s="363">
        <v>9590</v>
      </c>
      <c r="G106" s="552">
        <v>0.01</v>
      </c>
      <c r="H106" s="363" t="s">
        <v>520</v>
      </c>
      <c r="I106" s="363">
        <v>50</v>
      </c>
      <c r="J106" s="363">
        <v>350</v>
      </c>
      <c r="L106" s="602"/>
      <c r="M106" s="602"/>
    </row>
    <row r="107" spans="1:18" x14ac:dyDescent="0.15">
      <c r="L107" s="602"/>
      <c r="P107" s="602"/>
    </row>
    <row r="108" spans="1:18" x14ac:dyDescent="0.15">
      <c r="J108" s="188"/>
      <c r="K108" s="188"/>
      <c r="L108" s="665"/>
      <c r="P108" s="602"/>
    </row>
    <row r="109" spans="1:18" ht="16" x14ac:dyDescent="0.2">
      <c r="A109" s="502" t="s">
        <v>337</v>
      </c>
      <c r="B109" s="58"/>
      <c r="C109" s="58"/>
      <c r="E109" s="480" t="s">
        <v>357</v>
      </c>
      <c r="F109" s="481"/>
      <c r="H109" s="480" t="s">
        <v>359</v>
      </c>
      <c r="J109" s="188"/>
      <c r="K109" s="666"/>
      <c r="L109" s="667"/>
    </row>
    <row r="110" spans="1:18" x14ac:dyDescent="0.15">
      <c r="A110" s="476"/>
      <c r="B110" s="455"/>
      <c r="C110" s="58"/>
      <c r="E110" s="481" t="s">
        <v>346</v>
      </c>
      <c r="F110" s="481">
        <v>0.3</v>
      </c>
      <c r="H110" s="485">
        <v>1</v>
      </c>
      <c r="J110" s="188"/>
      <c r="K110" s="188"/>
      <c r="L110" s="188"/>
    </row>
    <row r="111" spans="1:18" s="160" customFormat="1" x14ac:dyDescent="0.15">
      <c r="A111" s="477" t="s">
        <v>338</v>
      </c>
      <c r="B111" s="478" t="s">
        <v>339</v>
      </c>
      <c r="C111" s="477" t="s">
        <v>111</v>
      </c>
      <c r="E111" s="482" t="s">
        <v>347</v>
      </c>
      <c r="F111" s="482">
        <v>0.8</v>
      </c>
      <c r="H111" s="486">
        <v>1.25</v>
      </c>
      <c r="J111" s="667"/>
      <c r="K111" s="668"/>
      <c r="L111" s="665"/>
    </row>
    <row r="112" spans="1:18" x14ac:dyDescent="0.15">
      <c r="A112" s="313" t="s">
        <v>341</v>
      </c>
      <c r="B112" s="479">
        <v>3.7</v>
      </c>
      <c r="C112" s="313" t="s">
        <v>340</v>
      </c>
      <c r="E112" s="481" t="s">
        <v>348</v>
      </c>
      <c r="F112" s="481">
        <v>0.3</v>
      </c>
      <c r="H112" s="486">
        <v>1</v>
      </c>
      <c r="J112" s="188"/>
      <c r="K112" s="667"/>
      <c r="L112" s="666"/>
    </row>
    <row r="113" spans="1:12" x14ac:dyDescent="0.15">
      <c r="A113" s="58" t="s">
        <v>342</v>
      </c>
      <c r="B113" s="427">
        <v>1.4</v>
      </c>
      <c r="C113" s="58" t="s">
        <v>340</v>
      </c>
      <c r="E113" s="482" t="s">
        <v>349</v>
      </c>
      <c r="F113" s="481">
        <v>0.2</v>
      </c>
      <c r="H113" s="486">
        <v>1</v>
      </c>
      <c r="J113" s="188"/>
      <c r="K113" s="188"/>
      <c r="L113" s="188"/>
    </row>
    <row r="114" spans="1:12" x14ac:dyDescent="0.15">
      <c r="A114" s="313" t="s">
        <v>114</v>
      </c>
      <c r="B114" s="427">
        <v>2.9</v>
      </c>
      <c r="C114" s="58" t="s">
        <v>340</v>
      </c>
      <c r="E114" s="481" t="s">
        <v>350</v>
      </c>
      <c r="F114" s="481">
        <v>0.3</v>
      </c>
      <c r="H114" s="486">
        <v>1</v>
      </c>
      <c r="J114" s="188"/>
      <c r="K114" s="665"/>
      <c r="L114" s="188"/>
    </row>
    <row r="115" spans="1:12" x14ac:dyDescent="0.15">
      <c r="A115" s="58" t="s">
        <v>115</v>
      </c>
      <c r="B115" s="427">
        <v>3.3</v>
      </c>
      <c r="C115" s="58" t="s">
        <v>340</v>
      </c>
      <c r="E115" s="482" t="s">
        <v>351</v>
      </c>
      <c r="F115" s="481">
        <v>0.2</v>
      </c>
      <c r="H115" s="486">
        <v>1</v>
      </c>
    </row>
    <row r="116" spans="1:12" x14ac:dyDescent="0.15">
      <c r="A116" s="58" t="s">
        <v>343</v>
      </c>
      <c r="B116" s="427">
        <v>2.2999999999999998</v>
      </c>
      <c r="C116" s="58" t="s">
        <v>340</v>
      </c>
      <c r="E116" s="481" t="s">
        <v>352</v>
      </c>
      <c r="F116" s="481">
        <v>0.1</v>
      </c>
    </row>
    <row r="117" spans="1:12" x14ac:dyDescent="0.15">
      <c r="A117" s="58" t="s">
        <v>345</v>
      </c>
      <c r="B117" s="427">
        <v>1.3</v>
      </c>
      <c r="C117" s="58" t="s">
        <v>433</v>
      </c>
      <c r="E117" s="483" t="s">
        <v>353</v>
      </c>
      <c r="F117" s="481">
        <f>SUM(F110:F116)+1</f>
        <v>3.2</v>
      </c>
    </row>
    <row r="118" spans="1:12" x14ac:dyDescent="0.15">
      <c r="E118" s="481" t="s">
        <v>354</v>
      </c>
      <c r="F118" s="482">
        <v>0.3</v>
      </c>
    </row>
    <row r="119" spans="1:12" x14ac:dyDescent="0.15">
      <c r="E119" s="481" t="s">
        <v>355</v>
      </c>
      <c r="F119" s="481">
        <v>0.3</v>
      </c>
    </row>
    <row r="120" spans="1:12" x14ac:dyDescent="0.15">
      <c r="E120" s="481" t="s">
        <v>356</v>
      </c>
      <c r="F120" s="481">
        <v>0.3</v>
      </c>
    </row>
    <row r="121" spans="1:12" x14ac:dyDescent="0.15">
      <c r="E121" s="483" t="s">
        <v>358</v>
      </c>
      <c r="F121" s="481">
        <f>1+SUM(F118:F120)</f>
        <v>1.9</v>
      </c>
    </row>
    <row r="122" spans="1:12" x14ac:dyDescent="0.15">
      <c r="E122" s="483" t="s">
        <v>29</v>
      </c>
      <c r="F122" s="484">
        <f>F117*F121</f>
        <v>6.08</v>
      </c>
    </row>
    <row r="125" spans="1:12" ht="16" x14ac:dyDescent="0.2">
      <c r="A125" s="501" t="s">
        <v>416</v>
      </c>
      <c r="B125" s="488"/>
      <c r="C125" s="488"/>
      <c r="D125" s="488"/>
      <c r="E125" s="488"/>
      <c r="F125" s="488"/>
      <c r="G125" s="488"/>
      <c r="H125" s="488"/>
      <c r="I125" s="488"/>
      <c r="J125" s="488"/>
      <c r="K125" s="488"/>
      <c r="L125" s="188"/>
    </row>
    <row r="126" spans="1:12" x14ac:dyDescent="0.15">
      <c r="A126" s="489" t="s">
        <v>420</v>
      </c>
      <c r="B126" s="490" t="s">
        <v>421</v>
      </c>
      <c r="C126" s="490"/>
      <c r="D126" s="488"/>
      <c r="E126" s="488"/>
      <c r="F126" s="488"/>
      <c r="G126" s="488"/>
      <c r="H126" s="488"/>
      <c r="I126" s="488"/>
      <c r="J126" s="488"/>
      <c r="K126" s="488"/>
      <c r="L126" s="188"/>
    </row>
    <row r="127" spans="1:12" x14ac:dyDescent="0.15">
      <c r="A127" s="491"/>
      <c r="B127" s="490"/>
      <c r="C127" s="490"/>
      <c r="D127" s="488"/>
      <c r="E127" s="488"/>
      <c r="F127" s="488"/>
      <c r="G127" s="488"/>
      <c r="H127" s="488"/>
      <c r="I127" s="488"/>
      <c r="J127" s="488"/>
      <c r="K127" s="488"/>
      <c r="L127" s="188"/>
    </row>
    <row r="128" spans="1:12" x14ac:dyDescent="0.15">
      <c r="A128" s="492" t="s">
        <v>231</v>
      </c>
      <c r="B128" s="492" t="s">
        <v>237</v>
      </c>
      <c r="C128" s="492" t="s">
        <v>375</v>
      </c>
      <c r="D128" s="492" t="s">
        <v>417</v>
      </c>
      <c r="E128" s="492" t="s">
        <v>418</v>
      </c>
      <c r="F128" s="492" t="s">
        <v>419</v>
      </c>
      <c r="G128" s="492" t="s">
        <v>427</v>
      </c>
      <c r="H128" s="492" t="s">
        <v>422</v>
      </c>
      <c r="I128" s="492" t="s">
        <v>626</v>
      </c>
      <c r="J128" s="492" t="s">
        <v>423</v>
      </c>
      <c r="K128" s="492" t="s">
        <v>424</v>
      </c>
      <c r="L128" s="666"/>
    </row>
    <row r="129" spans="1:12" x14ac:dyDescent="0.15">
      <c r="A129" s="488">
        <v>1</v>
      </c>
      <c r="B129" s="488" t="s">
        <v>425</v>
      </c>
      <c r="C129" s="493">
        <v>6600</v>
      </c>
      <c r="D129" s="488">
        <v>220</v>
      </c>
      <c r="E129" s="494">
        <f>C129/D129</f>
        <v>30</v>
      </c>
      <c r="F129" s="488">
        <v>80</v>
      </c>
      <c r="G129" s="504">
        <f>F129/D129</f>
        <v>0.36363636363636365</v>
      </c>
      <c r="H129" s="488">
        <f>35*l_to_m3</f>
        <v>3.5000000000000003E-2</v>
      </c>
      <c r="I129" s="496">
        <f>F129/H129/60</f>
        <v>38.095238095238088</v>
      </c>
      <c r="J129" s="496">
        <f>D129/H129</f>
        <v>6285.7142857142853</v>
      </c>
      <c r="K129" s="495">
        <v>3.0000000000000001E-5</v>
      </c>
      <c r="L129" s="668"/>
    </row>
    <row r="130" spans="1:12" x14ac:dyDescent="0.15">
      <c r="A130" s="488">
        <v>2</v>
      </c>
      <c r="B130" s="488" t="s">
        <v>426</v>
      </c>
      <c r="C130" s="493">
        <v>1045</v>
      </c>
      <c r="D130" s="488">
        <v>2.1</v>
      </c>
      <c r="E130" s="494">
        <f>C130/D130</f>
        <v>497.61904761904759</v>
      </c>
      <c r="F130" s="488">
        <f>8*l_to_m3*60</f>
        <v>0.48</v>
      </c>
      <c r="G130" s="504">
        <f>F130/D130</f>
        <v>0.22857142857142856</v>
      </c>
      <c r="H130" s="495">
        <f>PI()*(0.089/2)^2*0.142</f>
        <v>8.8340171702250845E-4</v>
      </c>
      <c r="I130" s="496">
        <f>F130/H130/60</f>
        <v>9.0559027063744839</v>
      </c>
      <c r="J130" s="496">
        <f>D130/H130</f>
        <v>2377.1744604233022</v>
      </c>
      <c r="K130" s="495">
        <v>5.5000000000000002E-5</v>
      </c>
      <c r="L130" s="668"/>
    </row>
    <row r="131" spans="1:12" x14ac:dyDescent="0.15">
      <c r="A131" s="188"/>
      <c r="B131" s="188"/>
      <c r="C131" s="188"/>
      <c r="D131" s="188"/>
      <c r="E131" s="188"/>
      <c r="F131" s="188"/>
      <c r="G131" s="188"/>
      <c r="H131" s="497"/>
      <c r="I131" s="188"/>
      <c r="J131" s="188"/>
    </row>
    <row r="132" spans="1:12" x14ac:dyDescent="0.15">
      <c r="A132" s="188"/>
      <c r="B132" s="188"/>
      <c r="C132" s="188"/>
      <c r="D132" s="188"/>
      <c r="E132" s="188"/>
      <c r="F132" s="188"/>
      <c r="G132" s="188"/>
      <c r="H132" s="497"/>
      <c r="I132" s="188"/>
      <c r="J132" s="188"/>
    </row>
    <row r="133" spans="1:12" x14ac:dyDescent="0.15">
      <c r="A133" s="188"/>
      <c r="B133" s="188"/>
      <c r="C133" s="188"/>
      <c r="D133" s="188"/>
      <c r="E133" s="188"/>
      <c r="F133" s="188"/>
      <c r="G133" s="188"/>
      <c r="H133" s="188"/>
      <c r="I133" s="188"/>
      <c r="J133" s="188"/>
    </row>
    <row r="135" spans="1:12" x14ac:dyDescent="0.15">
      <c r="A135" s="87" t="s">
        <v>632</v>
      </c>
      <c r="B135" s="87">
        <v>0.25</v>
      </c>
      <c r="C135" s="87" t="s">
        <v>634</v>
      </c>
    </row>
    <row r="136" spans="1:12" x14ac:dyDescent="0.15">
      <c r="A136" s="87" t="s">
        <v>633</v>
      </c>
      <c r="B136" s="87">
        <f>0.00005</f>
        <v>5.0000000000000002E-5</v>
      </c>
      <c r="C136" s="87" t="s">
        <v>639</v>
      </c>
    </row>
    <row r="137" spans="1:12" x14ac:dyDescent="0.15">
      <c r="A137" s="87" t="s">
        <v>635</v>
      </c>
      <c r="B137" s="87">
        <v>34</v>
      </c>
      <c r="C137" s="87" t="s">
        <v>640</v>
      </c>
    </row>
    <row r="138" spans="1:12" x14ac:dyDescent="0.15">
      <c r="A138" s="87" t="s">
        <v>636</v>
      </c>
      <c r="B138" s="87">
        <v>2</v>
      </c>
      <c r="C138" s="87" t="s">
        <v>641</v>
      </c>
      <c r="E138" s="87" t="s">
        <v>649</v>
      </c>
    </row>
    <row r="139" spans="1:12" x14ac:dyDescent="0.15">
      <c r="A139" s="87" t="s">
        <v>637</v>
      </c>
      <c r="B139" s="87">
        <v>0.06</v>
      </c>
      <c r="C139" s="87" t="s">
        <v>642</v>
      </c>
      <c r="E139" s="87" t="s">
        <v>647</v>
      </c>
    </row>
    <row r="140" spans="1:12" x14ac:dyDescent="0.15">
      <c r="A140" s="87" t="s">
        <v>638</v>
      </c>
      <c r="B140" s="606">
        <v>1.1E-12</v>
      </c>
      <c r="C140" s="87" t="s">
        <v>643</v>
      </c>
      <c r="E140" s="87" t="s">
        <v>648</v>
      </c>
    </row>
    <row r="141" spans="1:12" x14ac:dyDescent="0.15">
      <c r="A141" s="87" t="s">
        <v>645</v>
      </c>
      <c r="B141" s="87">
        <v>4.3600000000000003</v>
      </c>
      <c r="C141" s="87" t="s">
        <v>644</v>
      </c>
      <c r="E141" s="87" t="s">
        <v>650</v>
      </c>
    </row>
    <row r="142" spans="1:12" x14ac:dyDescent="0.15">
      <c r="B142" s="606">
        <v>3.2400000000000001E-5</v>
      </c>
      <c r="C142" s="87" t="s">
        <v>646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D1CA0-F412-4738-A17C-9FCD22952F5F}">
  <sheetPr codeName="Sheet5"/>
  <dimension ref="A2:R146"/>
  <sheetViews>
    <sheetView workbookViewId="0">
      <selection activeCell="A6" sqref="A6"/>
    </sheetView>
  </sheetViews>
  <sheetFormatPr baseColWidth="10" defaultColWidth="9.1640625" defaultRowHeight="13" x14ac:dyDescent="0.15"/>
  <cols>
    <col min="1" max="3" width="9.33203125" style="20" bestFit="1" customWidth="1"/>
    <col min="4" max="5" width="12.33203125" style="20" bestFit="1" customWidth="1"/>
    <col min="6" max="7" width="9.33203125" style="20" bestFit="1" customWidth="1"/>
    <col min="8" max="8" width="12.33203125" style="20" bestFit="1" customWidth="1"/>
    <col min="9" max="12" width="9.33203125" style="20" bestFit="1" customWidth="1"/>
    <col min="13" max="13" width="9.1640625" style="20"/>
    <col min="14" max="14" width="9.33203125" style="20" bestFit="1" customWidth="1"/>
    <col min="15" max="15" width="9.1640625" style="142"/>
    <col min="16" max="16384" width="9.1640625" style="20"/>
  </cols>
  <sheetData>
    <row r="2" spans="1:18" x14ac:dyDescent="0.15">
      <c r="A2" s="7" t="s">
        <v>137</v>
      </c>
      <c r="B2" s="7">
        <f>0.0022</f>
        <v>2.2000000000000001E-3</v>
      </c>
      <c r="D2" s="7" t="s">
        <v>138</v>
      </c>
      <c r="E2" s="7">
        <f>10^(-5.86)</f>
        <v>1.3803842646028812E-6</v>
      </c>
      <c r="G2" s="7" t="s">
        <v>139</v>
      </c>
      <c r="H2" s="7">
        <f>10^(-8.92)</f>
        <v>1.2022644346174128E-9</v>
      </c>
    </row>
    <row r="3" spans="1:18" x14ac:dyDescent="0.15">
      <c r="A3" s="140" t="s">
        <v>140</v>
      </c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</row>
    <row r="4" spans="1:18" x14ac:dyDescent="0.15">
      <c r="A4" s="691" t="s">
        <v>409</v>
      </c>
      <c r="B4" s="691"/>
      <c r="C4" s="691"/>
      <c r="D4" s="691"/>
      <c r="E4" s="691"/>
      <c r="F4" s="140"/>
      <c r="G4" s="691" t="s">
        <v>408</v>
      </c>
      <c r="H4" s="691"/>
      <c r="I4" s="691"/>
      <c r="J4" s="691"/>
      <c r="K4" s="691"/>
      <c r="L4" s="691"/>
    </row>
    <row r="5" spans="1:18" ht="16" x14ac:dyDescent="0.2">
      <c r="A5" s="20" t="s">
        <v>651</v>
      </c>
      <c r="B5" s="20" t="s">
        <v>653</v>
      </c>
      <c r="C5" s="20" t="s">
        <v>655</v>
      </c>
      <c r="D5" s="20" t="s">
        <v>654</v>
      </c>
      <c r="E5" s="20" t="s">
        <v>652</v>
      </c>
      <c r="F5" s="141" t="s">
        <v>141</v>
      </c>
      <c r="G5" s="20" t="s">
        <v>651</v>
      </c>
      <c r="H5" s="20" t="s">
        <v>322</v>
      </c>
      <c r="I5" s="20" t="s">
        <v>323</v>
      </c>
      <c r="J5" s="20" t="s">
        <v>324</v>
      </c>
      <c r="K5" s="20" t="s">
        <v>325</v>
      </c>
      <c r="L5" s="20" t="s">
        <v>326</v>
      </c>
      <c r="N5" s="20" t="s">
        <v>327</v>
      </c>
      <c r="O5" s="142" t="s">
        <v>527</v>
      </c>
      <c r="P5" s="20" t="s">
        <v>360</v>
      </c>
      <c r="Q5" s="20" t="s">
        <v>465</v>
      </c>
      <c r="R5" s="20" t="s">
        <v>410</v>
      </c>
    </row>
    <row r="6" spans="1:18" x14ac:dyDescent="0.15">
      <c r="A6" s="142">
        <f>$B$2/(1+($E$2/D6)+($E$2*$H$2/D6^2))</f>
        <v>2.1999969631588063E-3</v>
      </c>
      <c r="B6" s="142">
        <f>$B$2/(1+(D6/$E$2)+($H$2/D6))</f>
        <v>3.0368411901185413E-9</v>
      </c>
      <c r="C6" s="142">
        <f>$B$2/(1+(D6/$H$2)+(D6^2/($E$2*$H$2)))</f>
        <v>3.6510861564607388E-18</v>
      </c>
      <c r="D6" s="143">
        <f t="shared" ref="D6:D69" si="0">10^(-F6)</f>
        <v>1</v>
      </c>
      <c r="E6" s="142">
        <f>10^(-(13.22+LOG(D6)))</f>
        <v>6.0255958607435464E-14</v>
      </c>
      <c r="F6" s="141">
        <v>0</v>
      </c>
      <c r="H6" s="142">
        <f>B6-$B$87</f>
        <v>-1.9012846569067541E-3</v>
      </c>
      <c r="I6" s="142">
        <f>2*(C6-$C$87)</f>
        <v>-5.7554307507710054E-4</v>
      </c>
      <c r="J6" s="142">
        <f>D6-$D$87</f>
        <v>0.99999999205671763</v>
      </c>
      <c r="K6" s="142">
        <f>E6-$E$87</f>
        <v>-7.58577569003586E-6</v>
      </c>
      <c r="L6" s="142">
        <f>J6-(H6+I6+K6)</f>
        <v>1.0024844055643916</v>
      </c>
      <c r="N6" s="142"/>
      <c r="P6" s="398">
        <f>A6/L6</f>
        <v>2.1945448237872824E-3</v>
      </c>
      <c r="Q6" s="514">
        <f t="shared" ref="Q6:Q37" si="1">A6/DIC_concentration</f>
        <v>0.99999861961763914</v>
      </c>
      <c r="R6" s="142">
        <f t="shared" ref="R6:R37" si="2">1/(molar_mass*mc_efficiency*A6)</f>
        <v>11478.436413960815</v>
      </c>
    </row>
    <row r="7" spans="1:18" x14ac:dyDescent="0.15">
      <c r="A7" s="142">
        <f t="shared" ref="A7:A70" si="3">$B$2/(1+($E$2/D7)+($E$2*$H$2/D7^2))</f>
        <v>2.1999961768448149E-3</v>
      </c>
      <c r="B7" s="142">
        <f t="shared" ref="B7:B70" si="4">$B$2/(1+(D7/$E$2)+($H$2/D7))</f>
        <v>3.8231551793663671E-9</v>
      </c>
      <c r="C7" s="142">
        <f t="shared" ref="C7:C70" si="5">$B$2/(1+(D7/$H$2)+(D7^2/($E$2*$H$2)))</f>
        <v>5.786579526247113E-18</v>
      </c>
      <c r="D7" s="143">
        <f t="shared" si="0"/>
        <v>0.79432823472428149</v>
      </c>
      <c r="E7" s="142">
        <f t="shared" ref="E7:E70" si="6">10^(-(13.22+LOG(D7)))</f>
        <v>7.5857757502917909E-14</v>
      </c>
      <c r="F7" s="141">
        <v>0.1</v>
      </c>
      <c r="H7" s="142">
        <f t="shared" ref="H7:H70" si="7">B7-$B$87</f>
        <v>-1.9012838705927649E-3</v>
      </c>
      <c r="I7" s="142">
        <f t="shared" ref="I7:I70" si="8">2*(C7-$C$87)</f>
        <v>-5.7554307507709621E-4</v>
      </c>
      <c r="J7" s="142">
        <f t="shared" ref="J7:J70" si="9">D7-$D$87</f>
        <v>0.79432822678099912</v>
      </c>
      <c r="K7" s="142">
        <f t="shared" ref="K7:K70" si="10">E7-$E$87</f>
        <v>-7.5857756744340611E-6</v>
      </c>
      <c r="L7" s="142">
        <f t="shared" ref="L7:L70" si="11">J7-(H7+I7+K7)</f>
        <v>0.79681263950234338</v>
      </c>
      <c r="N7" s="142"/>
      <c r="P7" s="398">
        <f t="shared" ref="P7:P70" si="12">A7/L7</f>
        <v>2.7609955813688429E-3</v>
      </c>
      <c r="Q7" s="514">
        <f t="shared" si="1"/>
        <v>0.99999826220218857</v>
      </c>
      <c r="R7" s="142">
        <f t="shared" si="2"/>
        <v>11478.440516538469</v>
      </c>
    </row>
    <row r="8" spans="1:18" x14ac:dyDescent="0.15">
      <c r="A8" s="142">
        <f t="shared" si="3"/>
        <v>2.1999951869349482E-3</v>
      </c>
      <c r="B8" s="142">
        <f t="shared" si="4"/>
        <v>4.8130650428499888E-9</v>
      </c>
      <c r="C8" s="142">
        <f t="shared" si="5"/>
        <v>9.1711063721527455E-18</v>
      </c>
      <c r="D8" s="143">
        <f t="shared" si="0"/>
        <v>0.63095734448019325</v>
      </c>
      <c r="E8" s="142">
        <f t="shared" si="6"/>
        <v>9.549925860214291E-14</v>
      </c>
      <c r="F8" s="141">
        <v>0.2</v>
      </c>
      <c r="H8" s="142">
        <f t="shared" si="7"/>
        <v>-1.9012828806829014E-3</v>
      </c>
      <c r="I8" s="142">
        <f t="shared" si="8"/>
        <v>-5.7554307507708949E-4</v>
      </c>
      <c r="J8" s="142">
        <f t="shared" si="9"/>
        <v>0.63095733653691088</v>
      </c>
      <c r="K8" s="142">
        <f t="shared" si="10"/>
        <v>-7.5857756547925605E-6</v>
      </c>
      <c r="L8" s="142">
        <f t="shared" si="11"/>
        <v>0.63344174826832567</v>
      </c>
      <c r="N8" s="142"/>
      <c r="P8" s="398">
        <f t="shared" si="12"/>
        <v>3.4730820836315181E-3</v>
      </c>
      <c r="Q8" s="514">
        <f t="shared" si="1"/>
        <v>0.9999978122431582</v>
      </c>
      <c r="R8" s="142">
        <f t="shared" si="2"/>
        <v>11478.445681377734</v>
      </c>
    </row>
    <row r="9" spans="1:18" x14ac:dyDescent="0.15">
      <c r="A9" s="142">
        <f t="shared" si="3"/>
        <v>2.199993940713527E-3</v>
      </c>
      <c r="B9" s="142">
        <f t="shared" si="4"/>
        <v>6.0592864586832253E-9</v>
      </c>
      <c r="C9" s="142">
        <f t="shared" si="5"/>
        <v>1.4535215822858354E-17</v>
      </c>
      <c r="D9" s="143">
        <f t="shared" si="0"/>
        <v>0.50118723362727224</v>
      </c>
      <c r="E9" s="142">
        <f t="shared" si="6"/>
        <v>1.2022644346174119E-13</v>
      </c>
      <c r="F9" s="141">
        <v>0.3</v>
      </c>
      <c r="H9" s="142">
        <f t="shared" si="7"/>
        <v>-1.9012816344614856E-3</v>
      </c>
      <c r="I9" s="142">
        <f t="shared" si="8"/>
        <v>-5.7554307507707875E-4</v>
      </c>
      <c r="J9" s="142">
        <f t="shared" si="9"/>
        <v>0.50118722568398988</v>
      </c>
      <c r="K9" s="142">
        <f t="shared" si="10"/>
        <v>-7.585775630065375E-6</v>
      </c>
      <c r="L9" s="142">
        <f t="shared" si="11"/>
        <v>0.50367163616915855</v>
      </c>
      <c r="N9" s="142"/>
      <c r="P9" s="398">
        <f t="shared" si="12"/>
        <v>4.3679131059400321E-3</v>
      </c>
      <c r="Q9" s="514">
        <f t="shared" si="1"/>
        <v>0.99999724577887583</v>
      </c>
      <c r="R9" s="142">
        <f t="shared" si="2"/>
        <v>11478.452183525136</v>
      </c>
    </row>
    <row r="10" spans="1:18" x14ac:dyDescent="0.15">
      <c r="A10" s="142">
        <f t="shared" si="3"/>
        <v>2.1999923718157171E-3</v>
      </c>
      <c r="B10" s="142">
        <f t="shared" si="4"/>
        <v>7.6281842602297465E-9</v>
      </c>
      <c r="C10" s="142">
        <f t="shared" si="5"/>
        <v>2.3036748180224406E-17</v>
      </c>
      <c r="D10" s="142">
        <f>10^(-F10)</f>
        <v>0.3981071705534972</v>
      </c>
      <c r="E10" s="142">
        <f t="shared" si="6"/>
        <v>1.5135612484362054E-13</v>
      </c>
      <c r="F10" s="141">
        <v>0.4</v>
      </c>
      <c r="H10" s="142">
        <f t="shared" si="7"/>
        <v>-1.901280065563684E-3</v>
      </c>
      <c r="I10" s="142">
        <f t="shared" si="8"/>
        <v>-5.7554307507706173E-4</v>
      </c>
      <c r="J10" s="142">
        <f t="shared" si="9"/>
        <v>0.39810716261021484</v>
      </c>
      <c r="K10" s="142">
        <f t="shared" si="10"/>
        <v>-7.5857755989356936E-6</v>
      </c>
      <c r="L10" s="142">
        <f t="shared" si="11"/>
        <v>0.40059157152645453</v>
      </c>
      <c r="N10" s="144">
        <f>10^(-acid_pH)/L10</f>
        <v>0.99379816963324885</v>
      </c>
      <c r="O10" s="142">
        <f>1/N10</f>
        <v>1.0062405330944006</v>
      </c>
      <c r="P10" s="398">
        <f t="shared" si="12"/>
        <v>5.491858861215288E-3</v>
      </c>
      <c r="Q10" s="514">
        <f t="shared" si="1"/>
        <v>0.99999653264350774</v>
      </c>
      <c r="R10" s="142">
        <f t="shared" si="2"/>
        <v>11478.460369243743</v>
      </c>
    </row>
    <row r="11" spans="1:18" x14ac:dyDescent="0.15">
      <c r="A11" s="142">
        <f t="shared" si="3"/>
        <v>2.1999903966935744E-3</v>
      </c>
      <c r="B11" s="142">
        <f t="shared" si="4"/>
        <v>9.6033063893306589E-9</v>
      </c>
      <c r="C11" s="142">
        <f t="shared" si="5"/>
        <v>3.6510752588410108E-17</v>
      </c>
      <c r="D11" s="142">
        <f t="shared" si="0"/>
        <v>0.31622776601683794</v>
      </c>
      <c r="E11" s="142">
        <f t="shared" si="6"/>
        <v>1.9054607179632417E-13</v>
      </c>
      <c r="F11" s="141">
        <v>0.5</v>
      </c>
      <c r="H11" s="142">
        <f t="shared" si="7"/>
        <v>-1.901278090441555E-3</v>
      </c>
      <c r="I11" s="142">
        <f t="shared" si="8"/>
        <v>-5.7554307507703473E-4</v>
      </c>
      <c r="J11" s="142">
        <f t="shared" si="9"/>
        <v>0.31622775807355558</v>
      </c>
      <c r="K11" s="142">
        <f t="shared" si="10"/>
        <v>-7.5857755597457467E-6</v>
      </c>
      <c r="L11" s="142">
        <f t="shared" si="11"/>
        <v>0.3187121650146339</v>
      </c>
      <c r="M11" s="142"/>
      <c r="N11" s="144">
        <f t="shared" ref="N11:N41" si="13">10^(-acid_pH)/L11</f>
        <v>1.2491119394053183</v>
      </c>
      <c r="O11" s="142">
        <f t="shared" ref="O11:O74" si="14">1/N11</f>
        <v>0.80056876285730127</v>
      </c>
      <c r="P11" s="398">
        <f t="shared" si="12"/>
        <v>6.9027499988667217E-3</v>
      </c>
      <c r="Q11" s="514">
        <f t="shared" si="1"/>
        <v>0.99999563486071563</v>
      </c>
      <c r="R11" s="142">
        <f t="shared" si="2"/>
        <v>11478.470674452927</v>
      </c>
    </row>
    <row r="12" spans="1:18" x14ac:dyDescent="0.15">
      <c r="A12" s="142">
        <f t="shared" si="3"/>
        <v>2.1999879101671565E-3</v>
      </c>
      <c r="B12" s="142">
        <f t="shared" si="4"/>
        <v>1.2089832786294652E-8</v>
      </c>
      <c r="C12" s="142">
        <f t="shared" si="5"/>
        <v>5.7865577826694664E-17</v>
      </c>
      <c r="D12" s="142">
        <f t="shared" si="0"/>
        <v>0.25118864315095801</v>
      </c>
      <c r="E12" s="142">
        <f t="shared" si="6"/>
        <v>2.3988329190194817E-13</v>
      </c>
      <c r="F12" s="141">
        <v>0.6</v>
      </c>
      <c r="H12" s="142">
        <f t="shared" si="7"/>
        <v>-1.9012756039151579E-3</v>
      </c>
      <c r="I12" s="142">
        <f t="shared" si="8"/>
        <v>-5.7554307507699212E-4</v>
      </c>
      <c r="J12" s="142">
        <f t="shared" si="9"/>
        <v>0.25118863520767565</v>
      </c>
      <c r="K12" s="142">
        <f t="shared" si="10"/>
        <v>-7.5857755104085271E-6</v>
      </c>
      <c r="L12" s="142">
        <f t="shared" si="11"/>
        <v>0.25367303966217819</v>
      </c>
      <c r="N12" s="144">
        <f t="shared" si="13"/>
        <v>1.5693712311078269</v>
      </c>
      <c r="O12" s="142">
        <f t="shared" si="14"/>
        <v>0.63719786636721709</v>
      </c>
      <c r="P12" s="398">
        <f t="shared" si="12"/>
        <v>8.6725334040106405E-3</v>
      </c>
      <c r="Q12" s="514">
        <f t="shared" si="1"/>
        <v>0.99999450462143469</v>
      </c>
      <c r="R12" s="142">
        <f t="shared" si="2"/>
        <v>11478.483647942661</v>
      </c>
    </row>
    <row r="13" spans="1:18" x14ac:dyDescent="0.15">
      <c r="A13" s="142">
        <f t="shared" si="3"/>
        <v>2.199984779823846E-3</v>
      </c>
      <c r="B13" s="142">
        <f t="shared" si="4"/>
        <v>1.5220176062324102E-8</v>
      </c>
      <c r="C13" s="142">
        <f t="shared" si="5"/>
        <v>9.1710629880928596E-17</v>
      </c>
      <c r="D13" s="142">
        <f t="shared" si="0"/>
        <v>0.19952623149688795</v>
      </c>
      <c r="E13" s="142">
        <f t="shared" si="6"/>
        <v>3.0199517204020016E-13</v>
      </c>
      <c r="F13" s="141">
        <v>0.7</v>
      </c>
      <c r="H13" s="142">
        <f t="shared" si="7"/>
        <v>-1.9012724735718819E-3</v>
      </c>
      <c r="I13" s="142">
        <f t="shared" si="8"/>
        <v>-5.7554307507692436E-4</v>
      </c>
      <c r="J13" s="142">
        <f t="shared" si="9"/>
        <v>0.19952622355360561</v>
      </c>
      <c r="K13" s="142">
        <f t="shared" si="10"/>
        <v>-7.5857754482966463E-6</v>
      </c>
      <c r="L13" s="142">
        <f t="shared" si="11"/>
        <v>0.20201062487770272</v>
      </c>
      <c r="N13" s="144">
        <f t="shared" si="13"/>
        <v>1.9707239200636668</v>
      </c>
      <c r="O13" s="142">
        <f t="shared" si="14"/>
        <v>0.50742774765107312</v>
      </c>
      <c r="P13" s="398">
        <f t="shared" si="12"/>
        <v>1.0890440941686693E-2</v>
      </c>
      <c r="Q13" s="514">
        <f t="shared" si="1"/>
        <v>0.99999308173811174</v>
      </c>
      <c r="R13" s="142">
        <f t="shared" si="2"/>
        <v>11478.49998059861</v>
      </c>
    </row>
    <row r="14" spans="1:18" x14ac:dyDescent="0.15">
      <c r="A14" s="142">
        <f t="shared" si="3"/>
        <v>2.199980838967761E-3</v>
      </c>
      <c r="B14" s="142">
        <f t="shared" si="4"/>
        <v>1.9161032093419471E-8</v>
      </c>
      <c r="C14" s="142">
        <f t="shared" si="5"/>
        <v>1.4535129260482507E-16</v>
      </c>
      <c r="D14" s="142">
        <f t="shared" si="0"/>
        <v>0.15848931924611132</v>
      </c>
      <c r="E14" s="142">
        <f t="shared" si="6"/>
        <v>3.8018939632056036E-13</v>
      </c>
      <c r="F14" s="141">
        <v>0.8</v>
      </c>
      <c r="H14" s="142">
        <f t="shared" si="7"/>
        <v>-1.9012685327158508E-3</v>
      </c>
      <c r="I14" s="142">
        <f t="shared" si="8"/>
        <v>-5.7554307507681713E-4</v>
      </c>
      <c r="J14" s="142">
        <f t="shared" si="9"/>
        <v>0.15848931130282898</v>
      </c>
      <c r="K14" s="142">
        <f t="shared" si="10"/>
        <v>-7.585775370102422E-6</v>
      </c>
      <c r="L14" s="142">
        <f t="shared" si="11"/>
        <v>0.16097370868599176</v>
      </c>
      <c r="N14" s="144">
        <f t="shared" si="13"/>
        <v>2.4731192056342381</v>
      </c>
      <c r="O14" s="142">
        <f t="shared" si="14"/>
        <v>0.40434767467811861</v>
      </c>
      <c r="P14" s="398">
        <f t="shared" si="12"/>
        <v>1.3666709035443919E-2</v>
      </c>
      <c r="Q14" s="514">
        <f t="shared" si="1"/>
        <v>0.99999129043989132</v>
      </c>
      <c r="R14" s="142">
        <f t="shared" si="2"/>
        <v>11478.520542194283</v>
      </c>
    </row>
    <row r="15" spans="1:18" x14ac:dyDescent="0.15">
      <c r="A15" s="142">
        <f t="shared" si="3"/>
        <v>2.1999758777439494E-3</v>
      </c>
      <c r="B15" s="142">
        <f t="shared" si="4"/>
        <v>2.412225581987201E-8</v>
      </c>
      <c r="C15" s="142">
        <f t="shared" si="5"/>
        <v>2.3036575466090208E-16</v>
      </c>
      <c r="D15" s="142">
        <f t="shared" si="0"/>
        <v>0.12589254117941667</v>
      </c>
      <c r="E15" s="142">
        <f t="shared" si="6"/>
        <v>4.7863009232263685E-13</v>
      </c>
      <c r="F15" s="141">
        <v>0.9</v>
      </c>
      <c r="H15" s="142">
        <f t="shared" si="7"/>
        <v>-1.9012635714921245E-3</v>
      </c>
      <c r="I15" s="142">
        <f t="shared" si="8"/>
        <v>-5.7554307507664713E-4</v>
      </c>
      <c r="J15" s="142">
        <f t="shared" si="9"/>
        <v>0.12589253323613434</v>
      </c>
      <c r="K15" s="142">
        <f t="shared" si="10"/>
        <v>-7.5857752716617267E-6</v>
      </c>
      <c r="L15" s="142">
        <f t="shared" si="11"/>
        <v>0.12837692565797476</v>
      </c>
      <c r="N15" s="144">
        <f t="shared" si="13"/>
        <v>3.1010804201227327</v>
      </c>
      <c r="O15" s="142">
        <f t="shared" si="14"/>
        <v>0.32246825767918091</v>
      </c>
      <c r="P15" s="398">
        <f t="shared" si="12"/>
        <v>1.7136848124912913E-2</v>
      </c>
      <c r="Q15" s="514">
        <f t="shared" si="1"/>
        <v>0.99998903533815875</v>
      </c>
      <c r="R15" s="142">
        <f t="shared" si="2"/>
        <v>11478.546427709669</v>
      </c>
    </row>
    <row r="16" spans="1:18" x14ac:dyDescent="0.15">
      <c r="A16" s="142">
        <f t="shared" si="3"/>
        <v>2.1999696319650094E-3</v>
      </c>
      <c r="B16" s="142">
        <f t="shared" si="4"/>
        <v>3.0368034625686902E-8</v>
      </c>
      <c r="C16" s="142">
        <f t="shared" si="5"/>
        <v>3.6510407979693479E-16</v>
      </c>
      <c r="D16" s="142">
        <f t="shared" si="0"/>
        <v>0.1</v>
      </c>
      <c r="E16" s="142">
        <f t="shared" si="6"/>
        <v>6.025595860743553E-13</v>
      </c>
      <c r="F16" s="141">
        <v>1</v>
      </c>
      <c r="H16" s="142">
        <f t="shared" si="7"/>
        <v>-1.9012573257133187E-3</v>
      </c>
      <c r="I16" s="142">
        <f t="shared" si="8"/>
        <v>-5.755430750763776E-4</v>
      </c>
      <c r="J16" s="142">
        <f t="shared" si="9"/>
        <v>9.9999992056717654E-2</v>
      </c>
      <c r="K16" s="142">
        <f t="shared" si="10"/>
        <v>-7.5857751477322329E-6</v>
      </c>
      <c r="L16" s="142">
        <f t="shared" si="11"/>
        <v>0.10248437823265508</v>
      </c>
      <c r="N16" s="144">
        <f t="shared" si="13"/>
        <v>3.884564432344348</v>
      </c>
      <c r="O16" s="142">
        <f t="shared" si="14"/>
        <v>0.25742911912430205</v>
      </c>
      <c r="P16" s="398">
        <f t="shared" si="12"/>
        <v>2.1466389999173774E-2</v>
      </c>
      <c r="Q16" s="514">
        <f t="shared" si="1"/>
        <v>0.99998619634773145</v>
      </c>
      <c r="R16" s="142">
        <f t="shared" si="2"/>
        <v>11478.57901564293</v>
      </c>
    </row>
    <row r="17" spans="1:18" x14ac:dyDescent="0.15">
      <c r="A17" s="142">
        <f t="shared" si="3"/>
        <v>2.1999617690455667E-3</v>
      </c>
      <c r="B17" s="142">
        <f t="shared" si="4"/>
        <v>3.8230953854643209E-8</v>
      </c>
      <c r="C17" s="142">
        <f t="shared" si="5"/>
        <v>5.7864890245140868E-16</v>
      </c>
      <c r="D17" s="142">
        <f t="shared" si="0"/>
        <v>7.9432823472428096E-2</v>
      </c>
      <c r="E17" s="142">
        <f t="shared" si="6"/>
        <v>7.5857757502917993E-13</v>
      </c>
      <c r="F17" s="141">
        <v>1.1000000000000001</v>
      </c>
      <c r="H17" s="142">
        <f t="shared" si="7"/>
        <v>-1.9012494627940895E-3</v>
      </c>
      <c r="I17" s="142">
        <f t="shared" si="8"/>
        <v>-5.7554307507595053E-4</v>
      </c>
      <c r="J17" s="142">
        <f t="shared" si="9"/>
        <v>7.9432815529145745E-2</v>
      </c>
      <c r="K17" s="142">
        <f t="shared" si="10"/>
        <v>-7.5857749917142435E-6</v>
      </c>
      <c r="L17" s="142">
        <f t="shared" si="11"/>
        <v>8.1917193842007505E-2</v>
      </c>
      <c r="N17" s="144">
        <f t="shared" si="13"/>
        <v>4.859873146061628</v>
      </c>
      <c r="O17" s="142">
        <f t="shared" si="14"/>
        <v>0.2057666877190788</v>
      </c>
      <c r="P17" s="398">
        <f t="shared" si="12"/>
        <v>2.6855922009347645E-2</v>
      </c>
      <c r="Q17" s="514">
        <f t="shared" si="1"/>
        <v>0.99998262229343937</v>
      </c>
      <c r="R17" s="142">
        <f t="shared" si="2"/>
        <v>11478.620041420463</v>
      </c>
    </row>
    <row r="18" spans="1:18" x14ac:dyDescent="0.15">
      <c r="A18" s="142">
        <f t="shared" si="3"/>
        <v>2.1999518702963197E-3</v>
      </c>
      <c r="B18" s="142">
        <f t="shared" si="4"/>
        <v>4.8129702763703188E-8</v>
      </c>
      <c r="C18" s="142">
        <f t="shared" si="5"/>
        <v>9.1709257983483561E-16</v>
      </c>
      <c r="D18" s="142">
        <f t="shared" si="0"/>
        <v>6.3095734448019317E-2</v>
      </c>
      <c r="E18" s="142">
        <f t="shared" si="6"/>
        <v>9.5499258602143024E-13</v>
      </c>
      <c r="F18" s="141">
        <v>1.2</v>
      </c>
      <c r="H18" s="142">
        <f t="shared" si="7"/>
        <v>-1.9012395640451807E-3</v>
      </c>
      <c r="I18" s="142">
        <f t="shared" si="8"/>
        <v>-5.7554307507527366E-4</v>
      </c>
      <c r="J18" s="142">
        <f t="shared" si="9"/>
        <v>6.3095726504736965E-2</v>
      </c>
      <c r="K18" s="142">
        <f t="shared" si="10"/>
        <v>-7.5857747952992326E-6</v>
      </c>
      <c r="L18" s="142">
        <f t="shared" si="11"/>
        <v>6.5580094918652715E-2</v>
      </c>
      <c r="N18" s="144">
        <f t="shared" si="13"/>
        <v>6.070548861622111</v>
      </c>
      <c r="O18" s="142">
        <f t="shared" si="14"/>
        <v>0.16472975060327413</v>
      </c>
      <c r="P18" s="398">
        <f t="shared" si="12"/>
        <v>3.354603059091632E-2</v>
      </c>
      <c r="Q18" s="514">
        <f t="shared" si="1"/>
        <v>0.99997812286196341</v>
      </c>
      <c r="R18" s="142">
        <f t="shared" si="2"/>
        <v>11478.671689814695</v>
      </c>
    </row>
    <row r="19" spans="1:18" x14ac:dyDescent="0.15">
      <c r="A19" s="142">
        <f t="shared" si="3"/>
        <v>2.1999394086358983E-3</v>
      </c>
      <c r="B19" s="142">
        <f t="shared" si="4"/>
        <v>6.0591362648697687E-8</v>
      </c>
      <c r="C19" s="142">
        <f t="shared" si="5"/>
        <v>1.4534855532994406E-15</v>
      </c>
      <c r="D19" s="142">
        <f t="shared" si="0"/>
        <v>5.0118723362727206E-2</v>
      </c>
      <c r="E19" s="142">
        <f t="shared" si="6"/>
        <v>1.2022644346174088E-12</v>
      </c>
      <c r="F19" s="141">
        <v>1.3</v>
      </c>
      <c r="H19" s="142">
        <f t="shared" si="7"/>
        <v>-1.9012271023852957E-3</v>
      </c>
      <c r="I19" s="142">
        <f t="shared" si="8"/>
        <v>-5.7554307507420085E-4</v>
      </c>
      <c r="J19" s="142">
        <f t="shared" si="9"/>
        <v>5.0118715419444862E-2</v>
      </c>
      <c r="K19" s="142">
        <f t="shared" si="10"/>
        <v>-7.5857745480273844E-6</v>
      </c>
      <c r="L19" s="142">
        <f t="shared" si="11"/>
        <v>5.2603071371452384E-2</v>
      </c>
      <c r="N19" s="144">
        <f t="shared" si="13"/>
        <v>7.568135475251915</v>
      </c>
      <c r="O19" s="142">
        <f t="shared" si="14"/>
        <v>0.1321329412336813</v>
      </c>
      <c r="P19" s="398">
        <f t="shared" si="12"/>
        <v>4.1821501126829683E-2</v>
      </c>
      <c r="Q19" s="514">
        <f t="shared" si="1"/>
        <v>0.9999724584708628</v>
      </c>
      <c r="R19" s="142">
        <f t="shared" si="2"/>
        <v>11478.736711291253</v>
      </c>
    </row>
    <row r="20" spans="1:18" x14ac:dyDescent="0.15">
      <c r="A20" s="142">
        <f t="shared" si="3"/>
        <v>2.1999237205354871E-3</v>
      </c>
      <c r="B20" s="142">
        <f t="shared" si="4"/>
        <v>7.6279462209428816E-8</v>
      </c>
      <c r="C20" s="142">
        <f t="shared" si="5"/>
        <v>2.3036029313070511E-15</v>
      </c>
      <c r="D20" s="142">
        <f t="shared" si="0"/>
        <v>3.9810717055349727E-2</v>
      </c>
      <c r="E20" s="142">
        <f t="shared" si="6"/>
        <v>1.5135612484362015E-12</v>
      </c>
      <c r="F20" s="141">
        <v>1.4</v>
      </c>
      <c r="H20" s="142">
        <f t="shared" si="7"/>
        <v>-1.9012114142857349E-3</v>
      </c>
      <c r="I20" s="142">
        <f t="shared" si="8"/>
        <v>-5.755430750725006E-4</v>
      </c>
      <c r="J20" s="142">
        <f t="shared" si="9"/>
        <v>3.9810709112067383E-2</v>
      </c>
      <c r="K20" s="142">
        <f t="shared" si="10"/>
        <v>-7.5857742367305706E-6</v>
      </c>
      <c r="L20" s="142">
        <f t="shared" si="11"/>
        <v>4.229504937566235E-2</v>
      </c>
      <c r="N20" s="144">
        <f t="shared" si="13"/>
        <v>9.412618649940109</v>
      </c>
      <c r="O20" s="142">
        <f t="shared" si="14"/>
        <v>0.106240360646754</v>
      </c>
      <c r="P20" s="398">
        <f t="shared" si="12"/>
        <v>5.2013740449760044E-2</v>
      </c>
      <c r="Q20" s="514">
        <f t="shared" si="1"/>
        <v>0.99996532751613043</v>
      </c>
      <c r="R20" s="142">
        <f t="shared" si="2"/>
        <v>11478.818568481318</v>
      </c>
    </row>
    <row r="21" spans="1:18" x14ac:dyDescent="0.15">
      <c r="A21" s="142">
        <f t="shared" si="3"/>
        <v>2.1999039707050871E-3</v>
      </c>
      <c r="B21" s="142">
        <f t="shared" si="4"/>
        <v>9.6029291262077449E-8</v>
      </c>
      <c r="C21" s="142">
        <f t="shared" si="5"/>
        <v>3.6509318274020578E-15</v>
      </c>
      <c r="D21" s="142">
        <f t="shared" si="0"/>
        <v>3.1622776601683784E-2</v>
      </c>
      <c r="E21" s="142">
        <f t="shared" si="6"/>
        <v>1.905460717963237E-12</v>
      </c>
      <c r="F21" s="141">
        <v>1.5</v>
      </c>
      <c r="H21" s="142">
        <f t="shared" si="7"/>
        <v>-1.9011916644566822E-3</v>
      </c>
      <c r="I21" s="142">
        <f t="shared" si="8"/>
        <v>-5.7554307506980592E-4</v>
      </c>
      <c r="J21" s="142">
        <f t="shared" si="9"/>
        <v>3.162276865840144E-2</v>
      </c>
      <c r="K21" s="142">
        <f t="shared" si="10"/>
        <v>-7.585773844831101E-6</v>
      </c>
      <c r="L21" s="142">
        <f t="shared" si="11"/>
        <v>3.4107089171772756E-2</v>
      </c>
      <c r="N21" s="144">
        <f t="shared" si="13"/>
        <v>11.672270493342868</v>
      </c>
      <c r="O21" s="142">
        <f t="shared" si="14"/>
        <v>8.5673134508863324E-2</v>
      </c>
      <c r="P21" s="398">
        <f t="shared" si="12"/>
        <v>6.4499903806676695E-2</v>
      </c>
      <c r="Q21" s="514">
        <f t="shared" si="1"/>
        <v>0.99995635032049401</v>
      </c>
      <c r="R21" s="142">
        <f t="shared" si="2"/>
        <v>11478.921620579473</v>
      </c>
    </row>
    <row r="22" spans="1:18" x14ac:dyDescent="0.15">
      <c r="A22" s="142">
        <f t="shared" si="3"/>
        <v>2.1998791076454942E-3</v>
      </c>
      <c r="B22" s="142">
        <f t="shared" si="4"/>
        <v>1.2089234871966343E-7</v>
      </c>
      <c r="C22" s="142">
        <f t="shared" si="5"/>
        <v>5.7862716028793129E-15</v>
      </c>
      <c r="D22" s="142">
        <f t="shared" si="0"/>
        <v>2.511886431509578E-2</v>
      </c>
      <c r="E22" s="142">
        <f t="shared" si="6"/>
        <v>2.3988329190194755E-12</v>
      </c>
      <c r="F22" s="141">
        <v>1.6</v>
      </c>
      <c r="H22" s="142">
        <f t="shared" si="7"/>
        <v>-1.9011668013992247E-3</v>
      </c>
      <c r="I22" s="142">
        <f t="shared" si="8"/>
        <v>-5.7554307506553525E-4</v>
      </c>
      <c r="J22" s="142">
        <f t="shared" si="9"/>
        <v>2.5118856371813433E-2</v>
      </c>
      <c r="K22" s="142">
        <f t="shared" si="10"/>
        <v>-7.5857733514588994E-6</v>
      </c>
      <c r="L22" s="142">
        <f t="shared" si="11"/>
        <v>2.7603152021629652E-2</v>
      </c>
      <c r="N22" s="144">
        <f t="shared" si="13"/>
        <v>14.422525740594516</v>
      </c>
      <c r="O22" s="142">
        <f t="shared" si="14"/>
        <v>6.9335983030027762E-2</v>
      </c>
      <c r="P22" s="398">
        <f t="shared" si="12"/>
        <v>7.9696663117374528E-2</v>
      </c>
      <c r="Q22" s="514">
        <f t="shared" si="1"/>
        <v>0.99994504892976999</v>
      </c>
      <c r="R22" s="142">
        <f t="shared" si="2"/>
        <v>11479.05135548687</v>
      </c>
    </row>
    <row r="23" spans="1:18" x14ac:dyDescent="0.15">
      <c r="A23" s="142">
        <f t="shared" si="3"/>
        <v>2.1998478077063619E-3</v>
      </c>
      <c r="B23" s="142">
        <f t="shared" si="4"/>
        <v>1.5219228446793826E-7</v>
      </c>
      <c r="C23" s="142">
        <f t="shared" si="5"/>
        <v>9.1704919932711791E-15</v>
      </c>
      <c r="D23" s="142">
        <f t="shared" si="0"/>
        <v>1.9952623149688792E-2</v>
      </c>
      <c r="E23" s="142">
        <f t="shared" si="6"/>
        <v>3.0199517204020161E-12</v>
      </c>
      <c r="F23" s="141">
        <v>1.7</v>
      </c>
      <c r="H23" s="142">
        <f t="shared" si="7"/>
        <v>-1.9011355014634764E-3</v>
      </c>
      <c r="I23" s="142">
        <f t="shared" si="8"/>
        <v>-5.7554307505876679E-4</v>
      </c>
      <c r="J23" s="142">
        <f t="shared" si="9"/>
        <v>1.9952615206406444E-2</v>
      </c>
      <c r="K23" s="142">
        <f t="shared" si="10"/>
        <v>-7.5857727303400984E-6</v>
      </c>
      <c r="L23" s="142">
        <f t="shared" si="11"/>
        <v>2.2436879555659026E-2</v>
      </c>
      <c r="N23" s="144">
        <f t="shared" si="13"/>
        <v>17.743428606723821</v>
      </c>
      <c r="O23" s="142">
        <f t="shared" si="14"/>
        <v>5.6358893321274611E-2</v>
      </c>
      <c r="P23" s="398">
        <f t="shared" si="12"/>
        <v>9.8046067513497731E-2</v>
      </c>
      <c r="Q23" s="514">
        <f t="shared" si="1"/>
        <v>0.99993082168470993</v>
      </c>
      <c r="R23" s="142">
        <f t="shared" si="2"/>
        <v>11479.214682062218</v>
      </c>
    </row>
    <row r="24" spans="1:18" x14ac:dyDescent="0.15">
      <c r="A24" s="142">
        <f t="shared" si="3"/>
        <v>2.1998084046829301E-3</v>
      </c>
      <c r="B24" s="142">
        <f t="shared" si="4"/>
        <v>1.9159530253581999E-7</v>
      </c>
      <c r="C24" s="142">
        <f t="shared" si="5"/>
        <v>1.4533989998460522E-14</v>
      </c>
      <c r="D24" s="142">
        <f t="shared" si="0"/>
        <v>1.5848931924611124E-2</v>
      </c>
      <c r="E24" s="142">
        <f t="shared" si="6"/>
        <v>3.8018939632056084E-12</v>
      </c>
      <c r="F24" s="141">
        <v>1.8</v>
      </c>
      <c r="H24" s="142">
        <f t="shared" si="7"/>
        <v>-1.9010960984454084E-3</v>
      </c>
      <c r="I24" s="142">
        <f t="shared" si="8"/>
        <v>-5.7554307504803981E-4</v>
      </c>
      <c r="J24" s="142">
        <f t="shared" si="9"/>
        <v>1.5848923981328776E-2</v>
      </c>
      <c r="K24" s="142">
        <f t="shared" si="10"/>
        <v>-7.5857719483978554E-6</v>
      </c>
      <c r="L24" s="142">
        <f t="shared" si="11"/>
        <v>1.8333148926770623E-2</v>
      </c>
      <c r="N24" s="144">
        <f t="shared" si="13"/>
        <v>21.715154998395775</v>
      </c>
      <c r="O24" s="142">
        <f t="shared" si="14"/>
        <v>4.6050788035999553E-2</v>
      </c>
      <c r="P24" s="398">
        <f t="shared" si="12"/>
        <v>0.11999075627813741</v>
      </c>
      <c r="Q24" s="514">
        <f t="shared" si="1"/>
        <v>0.99991291121951364</v>
      </c>
      <c r="R24" s="142">
        <f t="shared" si="2"/>
        <v>11479.420298044108</v>
      </c>
    </row>
    <row r="25" spans="1:18" x14ac:dyDescent="0.15">
      <c r="A25" s="142">
        <f t="shared" si="3"/>
        <v>2.1997588012207347E-3</v>
      </c>
      <c r="B25" s="142">
        <f t="shared" si="4"/>
        <v>2.4119875623126011E-7</v>
      </c>
      <c r="C25" s="142">
        <f t="shared" si="5"/>
        <v>2.3034302395844517E-14</v>
      </c>
      <c r="D25" s="142">
        <f t="shared" si="0"/>
        <v>1.2589254117941664E-2</v>
      </c>
      <c r="E25" s="142">
        <f t="shared" si="6"/>
        <v>4.7863009232263738E-12</v>
      </c>
      <c r="F25" s="141">
        <v>1.9</v>
      </c>
      <c r="H25" s="142">
        <f t="shared" si="7"/>
        <v>-1.901046494991713E-3</v>
      </c>
      <c r="I25" s="142">
        <f t="shared" si="8"/>
        <v>-5.7554307503103919E-4</v>
      </c>
      <c r="J25" s="142">
        <f t="shared" si="9"/>
        <v>1.2589246174659317E-2</v>
      </c>
      <c r="K25" s="142">
        <f t="shared" si="10"/>
        <v>-7.5857709639908957E-6</v>
      </c>
      <c r="L25" s="142">
        <f t="shared" si="11"/>
        <v>1.5073421515646061E-2</v>
      </c>
      <c r="N25" s="144">
        <f t="shared" si="13"/>
        <v>26.411201341398563</v>
      </c>
      <c r="O25" s="142">
        <f t="shared" si="14"/>
        <v>3.7862722981575912E-2</v>
      </c>
      <c r="P25" s="398">
        <f t="shared" si="12"/>
        <v>0.14593626264198922</v>
      </c>
      <c r="Q25" s="514">
        <f t="shared" si="1"/>
        <v>0.999890364191243</v>
      </c>
      <c r="R25" s="142">
        <f t="shared" si="2"/>
        <v>11479.679153237896</v>
      </c>
    </row>
    <row r="26" spans="1:18" x14ac:dyDescent="0.15">
      <c r="A26" s="142">
        <f t="shared" si="3"/>
        <v>2.1996963573396367E-3</v>
      </c>
      <c r="B26" s="142">
        <f t="shared" si="4"/>
        <v>3.0364262385759108E-7</v>
      </c>
      <c r="C26" s="142">
        <f t="shared" si="5"/>
        <v>3.6505872749789444E-14</v>
      </c>
      <c r="D26" s="142">
        <f t="shared" si="0"/>
        <v>0.01</v>
      </c>
      <c r="E26" s="142">
        <f t="shared" si="6"/>
        <v>6.0255958607435596E-12</v>
      </c>
      <c r="F26" s="141">
        <v>2</v>
      </c>
      <c r="H26" s="142">
        <f t="shared" si="7"/>
        <v>-1.9009840511240866E-3</v>
      </c>
      <c r="I26" s="142">
        <f t="shared" si="8"/>
        <v>-5.7554307500409612E-4</v>
      </c>
      <c r="J26" s="142">
        <f t="shared" si="9"/>
        <v>9.9999920567176524E-3</v>
      </c>
      <c r="K26" s="142">
        <f t="shared" si="10"/>
        <v>-7.585769724695958E-6</v>
      </c>
      <c r="L26" s="142">
        <f t="shared" si="11"/>
        <v>1.248410495257053E-2</v>
      </c>
      <c r="N26" s="144">
        <f t="shared" si="13"/>
        <v>31.889123975325539</v>
      </c>
      <c r="O26" s="142">
        <f t="shared" si="14"/>
        <v>3.1358653839903466E-2</v>
      </c>
      <c r="P26" s="398">
        <f t="shared" si="12"/>
        <v>0.17619976487675312</v>
      </c>
      <c r="Q26" s="514">
        <f t="shared" si="1"/>
        <v>0.99986198060892573</v>
      </c>
      <c r="R26" s="142">
        <f t="shared" si="2"/>
        <v>11480.005032633793</v>
      </c>
    </row>
    <row r="27" spans="1:18" x14ac:dyDescent="0.15">
      <c r="A27" s="142">
        <f t="shared" si="3"/>
        <v>2.1996177501872236E-3</v>
      </c>
      <c r="B27" s="142">
        <f t="shared" si="4"/>
        <v>3.8224975492071849E-7</v>
      </c>
      <c r="C27" s="142">
        <f t="shared" si="5"/>
        <v>5.7855841627223738E-14</v>
      </c>
      <c r="D27" s="142">
        <f t="shared" si="0"/>
        <v>7.9432823472428121E-3</v>
      </c>
      <c r="E27" s="142">
        <f t="shared" si="6"/>
        <v>7.5857757502918081E-12</v>
      </c>
      <c r="F27" s="141">
        <v>2.1</v>
      </c>
      <c r="H27" s="142">
        <f t="shared" si="7"/>
        <v>-1.9009054439930236E-3</v>
      </c>
      <c r="I27" s="142">
        <f t="shared" si="8"/>
        <v>-5.7554307496139611E-4</v>
      </c>
      <c r="J27" s="142">
        <f t="shared" si="9"/>
        <v>7.9432744039604642E-3</v>
      </c>
      <c r="K27" s="142">
        <f t="shared" si="10"/>
        <v>-7.5857681645160688E-6</v>
      </c>
      <c r="L27" s="142">
        <f t="shared" si="11"/>
        <v>1.04273086910794E-2</v>
      </c>
      <c r="N27" s="144">
        <f t="shared" si="13"/>
        <v>38.179283106299451</v>
      </c>
      <c r="O27" s="142">
        <f t="shared" si="14"/>
        <v>2.619221521828427E-2</v>
      </c>
      <c r="P27" s="398">
        <f t="shared" si="12"/>
        <v>0.21094779250843551</v>
      </c>
      <c r="Q27" s="514">
        <f t="shared" si="1"/>
        <v>0.99982625008510162</v>
      </c>
      <c r="R27" s="142">
        <f t="shared" si="2"/>
        <v>11480.415290509385</v>
      </c>
    </row>
    <row r="28" spans="1:18" x14ac:dyDescent="0.15">
      <c r="A28" s="142">
        <f t="shared" si="3"/>
        <v>2.1995187976266489E-3</v>
      </c>
      <c r="B28" s="142">
        <f t="shared" si="4"/>
        <v>4.8120228166032366E-7</v>
      </c>
      <c r="C28" s="142">
        <f t="shared" si="5"/>
        <v>9.1691204509803401E-14</v>
      </c>
      <c r="D28" s="142">
        <f t="shared" si="0"/>
        <v>6.3095734448019251E-3</v>
      </c>
      <c r="E28" s="142">
        <f t="shared" si="6"/>
        <v>9.5499258602143472E-12</v>
      </c>
      <c r="F28" s="141">
        <v>2.2000000000000002</v>
      </c>
      <c r="H28" s="142">
        <f t="shared" si="7"/>
        <v>-1.900806491466284E-3</v>
      </c>
      <c r="I28" s="142">
        <f t="shared" si="8"/>
        <v>-5.7554307489372542E-4</v>
      </c>
      <c r="J28" s="142">
        <f t="shared" si="9"/>
        <v>6.3095655015195781E-3</v>
      </c>
      <c r="K28" s="142">
        <f t="shared" si="10"/>
        <v>-7.5857662003659585E-6</v>
      </c>
      <c r="L28" s="142">
        <f t="shared" si="11"/>
        <v>8.7935008340799536E-3</v>
      </c>
      <c r="N28" s="144">
        <f t="shared" si="13"/>
        <v>45.27288710892018</v>
      </c>
      <c r="O28" s="142">
        <f t="shared" si="14"/>
        <v>2.2088275430593614E-2</v>
      </c>
      <c r="P28" s="398">
        <f t="shared" si="12"/>
        <v>0.25013004935443101</v>
      </c>
      <c r="Q28" s="514">
        <f t="shared" si="1"/>
        <v>0.99978127164847674</v>
      </c>
      <c r="R28" s="142">
        <f t="shared" si="2"/>
        <v>11480.931774610672</v>
      </c>
    </row>
    <row r="29" spans="1:18" x14ac:dyDescent="0.15">
      <c r="A29" s="142">
        <f t="shared" si="3"/>
        <v>2.1993942363811077E-3</v>
      </c>
      <c r="B29" s="142">
        <f t="shared" si="4"/>
        <v>6.0576347357973618E-7</v>
      </c>
      <c r="C29" s="142">
        <f t="shared" si="5"/>
        <v>1.4531253615626649E-13</v>
      </c>
      <c r="D29" s="142">
        <f t="shared" si="0"/>
        <v>5.0118723362727212E-3</v>
      </c>
      <c r="E29" s="142">
        <f t="shared" si="6"/>
        <v>1.2022644346174101E-11</v>
      </c>
      <c r="F29" s="141">
        <v>2.2999999999999998</v>
      </c>
      <c r="H29" s="142">
        <f t="shared" si="7"/>
        <v>-1.9006819302743645E-3</v>
      </c>
      <c r="I29" s="142">
        <f t="shared" si="8"/>
        <v>-5.7554307478648275E-4</v>
      </c>
      <c r="J29" s="142">
        <f t="shared" si="9"/>
        <v>5.0118643929903742E-3</v>
      </c>
      <c r="K29" s="142">
        <f t="shared" si="10"/>
        <v>-7.5857637276474725E-6</v>
      </c>
      <c r="L29" s="142">
        <f t="shared" si="11"/>
        <v>7.4956751617788683E-3</v>
      </c>
      <c r="N29" s="144">
        <f t="shared" si="13"/>
        <v>53.111582607459034</v>
      </c>
      <c r="O29" s="142">
        <f t="shared" si="14"/>
        <v>1.8828284733875718E-2</v>
      </c>
      <c r="P29" s="398">
        <f t="shared" si="12"/>
        <v>0.29342176507274753</v>
      </c>
      <c r="Q29" s="514">
        <f t="shared" si="1"/>
        <v>0.9997246529005035</v>
      </c>
      <c r="R29" s="142">
        <f t="shared" si="2"/>
        <v>11481.581989628135</v>
      </c>
    </row>
    <row r="30" spans="1:18" x14ac:dyDescent="0.15">
      <c r="A30" s="142">
        <f t="shared" si="3"/>
        <v>2.1992374431052918E-3</v>
      </c>
      <c r="B30" s="142">
        <f t="shared" si="4"/>
        <v>7.6255666441960598E-7</v>
      </c>
      <c r="C30" s="142">
        <f t="shared" si="5"/>
        <v>2.3028843106180119E-13</v>
      </c>
      <c r="D30" s="142">
        <f t="shared" si="0"/>
        <v>3.9810717055349717E-3</v>
      </c>
      <c r="E30" s="142">
        <f t="shared" si="6"/>
        <v>1.5135612484362034E-11</v>
      </c>
      <c r="F30" s="141">
        <v>2.4</v>
      </c>
      <c r="H30" s="142">
        <f t="shared" si="7"/>
        <v>-1.9005251370835246E-3</v>
      </c>
      <c r="I30" s="142">
        <f t="shared" si="8"/>
        <v>-5.7554307461653092E-4</v>
      </c>
      <c r="J30" s="142">
        <f t="shared" si="9"/>
        <v>3.9810637622526247E-3</v>
      </c>
      <c r="K30" s="142">
        <f t="shared" si="10"/>
        <v>-7.5857606146793347E-6</v>
      </c>
      <c r="L30" s="142">
        <f t="shared" si="11"/>
        <v>6.4647177345673601E-3</v>
      </c>
      <c r="N30" s="144">
        <f t="shared" si="13"/>
        <v>61.581524035424856</v>
      </c>
      <c r="O30" s="142">
        <f t="shared" si="14"/>
        <v>1.6238636760999105E-2</v>
      </c>
      <c r="P30" s="398">
        <f t="shared" si="12"/>
        <v>0.340190791524554</v>
      </c>
      <c r="Q30" s="514">
        <f t="shared" si="1"/>
        <v>0.99965338322967801</v>
      </c>
      <c r="R30" s="142">
        <f t="shared" si="2"/>
        <v>11482.40056192798</v>
      </c>
    </row>
    <row r="31" spans="1:18" x14ac:dyDescent="0.15">
      <c r="A31" s="142">
        <f t="shared" si="3"/>
        <v>2.1990400838227311E-3</v>
      </c>
      <c r="B31" s="142">
        <f t="shared" si="4"/>
        <v>9.5991581231936222E-7</v>
      </c>
      <c r="C31" s="142">
        <f t="shared" si="5"/>
        <v>3.6494981320425974E-13</v>
      </c>
      <c r="D31" s="142">
        <f t="shared" si="0"/>
        <v>3.1622776601683764E-3</v>
      </c>
      <c r="E31" s="142">
        <f t="shared" si="6"/>
        <v>1.9054607179632392E-11</v>
      </c>
      <c r="F31" s="141">
        <v>2.5</v>
      </c>
      <c r="H31" s="142">
        <f t="shared" si="7"/>
        <v>-1.9003277779356248E-3</v>
      </c>
      <c r="I31" s="142">
        <f t="shared" si="8"/>
        <v>-5.7554307434720816E-4</v>
      </c>
      <c r="J31" s="142">
        <f t="shared" si="9"/>
        <v>3.1622697168860289E-3</v>
      </c>
      <c r="K31" s="142">
        <f t="shared" si="10"/>
        <v>-7.5857566956846394E-6</v>
      </c>
      <c r="L31" s="142">
        <f t="shared" si="11"/>
        <v>5.6457263258645465E-3</v>
      </c>
      <c r="N31" s="144">
        <f t="shared" si="13"/>
        <v>70.514783674452005</v>
      </c>
      <c r="O31" s="142">
        <f t="shared" si="14"/>
        <v>1.4181423353955589E-2</v>
      </c>
      <c r="P31" s="398">
        <f t="shared" si="12"/>
        <v>0.389505257055829</v>
      </c>
      <c r="Q31" s="514">
        <f t="shared" si="1"/>
        <v>0.99956367446487771</v>
      </c>
      <c r="R31" s="142">
        <f t="shared" si="2"/>
        <v>11483.431083542227</v>
      </c>
    </row>
    <row r="32" spans="1:18" x14ac:dyDescent="0.15">
      <c r="A32" s="142">
        <f t="shared" si="3"/>
        <v>2.19879167352396E-3</v>
      </c>
      <c r="B32" s="142">
        <f t="shared" si="4"/>
        <v>1.2083258976992235E-6</v>
      </c>
      <c r="C32" s="142">
        <f t="shared" si="5"/>
        <v>5.7834113597161467E-13</v>
      </c>
      <c r="D32" s="142">
        <f t="shared" si="0"/>
        <v>2.5118864315095777E-3</v>
      </c>
      <c r="E32" s="142">
        <f t="shared" si="6"/>
        <v>2.3988329190194783E-11</v>
      </c>
      <c r="F32" s="141">
        <v>2.6</v>
      </c>
      <c r="H32" s="142">
        <f t="shared" si="7"/>
        <v>-1.9000793678502451E-3</v>
      </c>
      <c r="I32" s="142">
        <f t="shared" si="8"/>
        <v>-5.7554307392042553E-4</v>
      </c>
      <c r="J32" s="142">
        <f t="shared" si="9"/>
        <v>2.5118784882272303E-3</v>
      </c>
      <c r="K32" s="142">
        <f t="shared" si="10"/>
        <v>-7.5857517619626285E-6</v>
      </c>
      <c r="L32" s="142">
        <f t="shared" si="11"/>
        <v>4.9950866817598631E-3</v>
      </c>
      <c r="N32" s="144">
        <f t="shared" si="13"/>
        <v>79.699752159903767</v>
      </c>
      <c r="O32" s="142">
        <f t="shared" si="14"/>
        <v>1.2547090460126814E-2</v>
      </c>
      <c r="P32" s="398">
        <f t="shared" si="12"/>
        <v>0.44019089429480818</v>
      </c>
      <c r="Q32" s="514">
        <f t="shared" si="1"/>
        <v>0.99945076069270899</v>
      </c>
      <c r="R32" s="142">
        <f t="shared" si="2"/>
        <v>11484.728433618966</v>
      </c>
    </row>
    <row r="33" spans="1:18" x14ac:dyDescent="0.15">
      <c r="A33" s="142">
        <f t="shared" si="3"/>
        <v>2.1984790232063515E-3</v>
      </c>
      <c r="B33" s="142">
        <f t="shared" si="4"/>
        <v>1.5209758771697625E-6</v>
      </c>
      <c r="C33" s="142">
        <f t="shared" si="5"/>
        <v>9.1647859497649594E-13</v>
      </c>
      <c r="D33" s="142">
        <f t="shared" si="0"/>
        <v>1.9952623149688781E-3</v>
      </c>
      <c r="E33" s="142">
        <f t="shared" si="6"/>
        <v>3.0199517204020087E-11</v>
      </c>
      <c r="F33" s="141">
        <v>2.7</v>
      </c>
      <c r="H33" s="142">
        <f t="shared" si="7"/>
        <v>-1.8997667178707745E-3</v>
      </c>
      <c r="I33" s="142">
        <f t="shared" si="8"/>
        <v>-5.7554307324415063E-4</v>
      </c>
      <c r="J33" s="142">
        <f t="shared" si="9"/>
        <v>1.9952543716865306E-3</v>
      </c>
      <c r="K33" s="142">
        <f t="shared" si="10"/>
        <v>-7.5857455507746145E-6</v>
      </c>
      <c r="L33" s="142">
        <f t="shared" si="11"/>
        <v>4.478149908352231E-3</v>
      </c>
      <c r="N33" s="144">
        <f t="shared" si="13"/>
        <v>88.899920436112367</v>
      </c>
      <c r="O33" s="142">
        <f t="shared" si="14"/>
        <v>1.124860399305584E-2</v>
      </c>
      <c r="P33" s="398">
        <f t="shared" si="12"/>
        <v>0.49093466458234275</v>
      </c>
      <c r="Q33" s="514">
        <f t="shared" si="1"/>
        <v>0.99930864691197785</v>
      </c>
      <c r="R33" s="142">
        <f t="shared" si="2"/>
        <v>11486.361700961761</v>
      </c>
    </row>
    <row r="34" spans="1:18" x14ac:dyDescent="0.15">
      <c r="A34" s="142">
        <f t="shared" si="3"/>
        <v>2.1980855460695041E-3</v>
      </c>
      <c r="B34" s="142">
        <f t="shared" si="4"/>
        <v>1.9144524782352624E-6</v>
      </c>
      <c r="C34" s="142">
        <f t="shared" si="5"/>
        <v>1.4522607184483165E-12</v>
      </c>
      <c r="D34" s="142">
        <f t="shared" si="0"/>
        <v>1.5848931924611134E-3</v>
      </c>
      <c r="E34" s="142">
        <f t="shared" si="6"/>
        <v>3.801893963205585E-11</v>
      </c>
      <c r="F34" s="141">
        <v>2.8</v>
      </c>
      <c r="H34" s="142">
        <f t="shared" si="7"/>
        <v>-1.8993732412697091E-3</v>
      </c>
      <c r="I34" s="142">
        <f t="shared" si="8"/>
        <v>-5.7554307217258635E-4</v>
      </c>
      <c r="J34" s="142">
        <f t="shared" si="9"/>
        <v>1.5848852491787662E-3</v>
      </c>
      <c r="K34" s="142">
        <f t="shared" si="10"/>
        <v>-7.5857377313521868E-6</v>
      </c>
      <c r="L34" s="142">
        <f t="shared" si="11"/>
        <v>4.0673873003524135E-3</v>
      </c>
      <c r="N34" s="144">
        <f t="shared" si="13"/>
        <v>97.877861426917406</v>
      </c>
      <c r="O34" s="142">
        <f t="shared" si="14"/>
        <v>1.0216814971449609E-2</v>
      </c>
      <c r="P34" s="398">
        <f t="shared" si="12"/>
        <v>0.54041707458718125</v>
      </c>
      <c r="Q34" s="514">
        <f t="shared" si="1"/>
        <v>0.99912979366795629</v>
      </c>
      <c r="R34" s="142">
        <f t="shared" si="2"/>
        <v>11488.417863299468</v>
      </c>
    </row>
    <row r="35" spans="1:18" x14ac:dyDescent="0.15">
      <c r="A35" s="142">
        <f t="shared" si="3"/>
        <v>2.1975903877546137E-3</v>
      </c>
      <c r="B35" s="142">
        <f t="shared" si="4"/>
        <v>2.4096099442267768E-6</v>
      </c>
      <c r="C35" s="142">
        <f t="shared" si="5"/>
        <v>2.3011596319400995E-12</v>
      </c>
      <c r="D35" s="142">
        <f t="shared" si="0"/>
        <v>1.2589254117941662E-3</v>
      </c>
      <c r="E35" s="142">
        <f t="shared" si="6"/>
        <v>4.786300923226362E-11</v>
      </c>
      <c r="F35" s="141">
        <v>2.9</v>
      </c>
      <c r="H35" s="142">
        <f t="shared" si="7"/>
        <v>-1.8988780838037175E-3</v>
      </c>
      <c r="I35" s="142">
        <f t="shared" si="8"/>
        <v>-5.7554307047478852E-4</v>
      </c>
      <c r="J35" s="142">
        <f t="shared" si="9"/>
        <v>1.258917468511819E-3</v>
      </c>
      <c r="K35" s="142">
        <f t="shared" si="10"/>
        <v>-7.5857278872825864E-6</v>
      </c>
      <c r="L35" s="142">
        <f t="shared" si="11"/>
        <v>3.7409243506776073E-3</v>
      </c>
      <c r="N35" s="144">
        <f t="shared" si="13"/>
        <v>106.41946568135937</v>
      </c>
      <c r="O35" s="142">
        <f t="shared" si="14"/>
        <v>9.3967771177708697E-3</v>
      </c>
      <c r="P35" s="398">
        <f t="shared" si="12"/>
        <v>0.58744582401313628</v>
      </c>
      <c r="Q35" s="514">
        <f t="shared" si="1"/>
        <v>0.99890472170664257</v>
      </c>
      <c r="R35" s="142">
        <f t="shared" si="2"/>
        <v>11491.006419229474</v>
      </c>
    </row>
    <row r="36" spans="1:18" x14ac:dyDescent="0.15">
      <c r="A36" s="142">
        <f t="shared" si="3"/>
        <v>2.1969673372118081E-3</v>
      </c>
      <c r="B36" s="142">
        <f t="shared" si="4"/>
        <v>3.032659142133672E-6</v>
      </c>
      <c r="C36" s="142">
        <f t="shared" si="5"/>
        <v>3.6460582289046674E-12</v>
      </c>
      <c r="D36" s="142">
        <f t="shared" si="0"/>
        <v>1E-3</v>
      </c>
      <c r="E36" s="142">
        <f t="shared" si="6"/>
        <v>6.0255958607435443E-11</v>
      </c>
      <c r="F36" s="141">
        <v>3</v>
      </c>
      <c r="H36" s="142">
        <f t="shared" si="7"/>
        <v>-1.8982550346058106E-3</v>
      </c>
      <c r="I36" s="142">
        <f t="shared" si="8"/>
        <v>-5.7554306778499135E-4</v>
      </c>
      <c r="J36" s="142">
        <f t="shared" si="9"/>
        <v>9.9999205671765282E-4</v>
      </c>
      <c r="K36" s="142">
        <f t="shared" si="10"/>
        <v>-7.5857154943332115E-6</v>
      </c>
      <c r="L36" s="142">
        <f t="shared" si="11"/>
        <v>3.4813758746027879E-3</v>
      </c>
      <c r="N36" s="144">
        <f t="shared" si="13"/>
        <v>114.35340075105213</v>
      </c>
      <c r="O36" s="142">
        <f t="shared" si="14"/>
        <v>8.7448208223995412E-3</v>
      </c>
      <c r="P36" s="398">
        <f t="shared" si="12"/>
        <v>0.63106295221927855</v>
      </c>
      <c r="Q36" s="514">
        <f t="shared" si="1"/>
        <v>0.99862151691445822</v>
      </c>
      <c r="R36" s="142">
        <f t="shared" si="2"/>
        <v>11494.265219515493</v>
      </c>
    </row>
    <row r="37" spans="1:18" x14ac:dyDescent="0.15">
      <c r="A37" s="142">
        <f t="shared" si="3"/>
        <v>2.1961834647782714E-3</v>
      </c>
      <c r="B37" s="142">
        <f t="shared" si="4"/>
        <v>3.8165294451773473E-6</v>
      </c>
      <c r="C37" s="142">
        <f t="shared" si="5"/>
        <v>5.7765510717361782E-12</v>
      </c>
      <c r="D37" s="142">
        <f t="shared" si="0"/>
        <v>7.9432823472428099E-4</v>
      </c>
      <c r="E37" s="142">
        <f t="shared" si="6"/>
        <v>7.5857757502918162E-11</v>
      </c>
      <c r="F37" s="141">
        <v>3.1</v>
      </c>
      <c r="H37" s="142">
        <f t="shared" si="7"/>
        <v>-1.8974711643027669E-3</v>
      </c>
      <c r="I37" s="142">
        <f t="shared" si="8"/>
        <v>-5.7554306352400569E-4</v>
      </c>
      <c r="J37" s="142">
        <f t="shared" si="9"/>
        <v>7.9432029144193379E-4</v>
      </c>
      <c r="K37" s="142">
        <f t="shared" si="10"/>
        <v>-7.5856998925343161E-6</v>
      </c>
      <c r="L37" s="142">
        <f t="shared" si="11"/>
        <v>3.2749202191612405E-3</v>
      </c>
      <c r="N37" s="144">
        <f t="shared" si="13"/>
        <v>121.56240271876267</v>
      </c>
      <c r="O37" s="142">
        <f t="shared" si="14"/>
        <v>8.2262276627875011E-3</v>
      </c>
      <c r="P37" s="398">
        <f t="shared" si="12"/>
        <v>0.67060670728056671</v>
      </c>
      <c r="Q37" s="514">
        <f t="shared" si="1"/>
        <v>0.99826521126285062</v>
      </c>
      <c r="R37" s="142">
        <f t="shared" si="2"/>
        <v>11498.367808299099</v>
      </c>
    </row>
    <row r="38" spans="1:18" x14ac:dyDescent="0.15">
      <c r="A38" s="142">
        <f t="shared" si="3"/>
        <v>2.1951974221716738E-3</v>
      </c>
      <c r="B38" s="142">
        <f t="shared" si="4"/>
        <v>4.8025686772201669E-6</v>
      </c>
      <c r="C38" s="142">
        <f t="shared" si="5"/>
        <v>9.1511059597637514E-12</v>
      </c>
      <c r="D38" s="142">
        <f t="shared" si="0"/>
        <v>6.3095734448019244E-4</v>
      </c>
      <c r="E38" s="142">
        <f t="shared" si="6"/>
        <v>9.5499258602143585E-11</v>
      </c>
      <c r="F38" s="141">
        <v>3.2</v>
      </c>
      <c r="H38" s="142">
        <f t="shared" si="7"/>
        <v>-1.896485125070724E-3</v>
      </c>
      <c r="I38" s="142">
        <f t="shared" si="8"/>
        <v>-5.7554305677489585E-4</v>
      </c>
      <c r="J38" s="142">
        <f t="shared" si="9"/>
        <v>6.3094940119784524E-4</v>
      </c>
      <c r="K38" s="142">
        <f t="shared" si="10"/>
        <v>-7.5856802510332169E-6</v>
      </c>
      <c r="L38" s="142">
        <f t="shared" si="11"/>
        <v>3.1105632632944984E-3</v>
      </c>
      <c r="N38" s="144">
        <f t="shared" si="13"/>
        <v>127.98555658753874</v>
      </c>
      <c r="O38" s="142">
        <f t="shared" si="14"/>
        <v>7.813381655421614E-3</v>
      </c>
      <c r="P38" s="398">
        <f t="shared" si="12"/>
        <v>0.70572344503505424</v>
      </c>
      <c r="Q38" s="514">
        <f t="shared" ref="Q38:Q69" si="15">A38/DIC_concentration</f>
        <v>0.99781701007803347</v>
      </c>
      <c r="R38" s="142">
        <f t="shared" ref="R38:R69" si="16">1/(molar_mass*mc_efficiency*A38)</f>
        <v>11503.532665204815</v>
      </c>
    </row>
    <row r="39" spans="1:18" x14ac:dyDescent="0.15">
      <c r="A39" s="142">
        <f t="shared" si="3"/>
        <v>2.1939573252655223E-3</v>
      </c>
      <c r="B39" s="142">
        <f t="shared" si="4"/>
        <v>6.0426602391453187E-6</v>
      </c>
      <c r="C39" s="142">
        <f t="shared" si="5"/>
        <v>1.4495332300111982E-11</v>
      </c>
      <c r="D39" s="142">
        <f t="shared" si="0"/>
        <v>5.0118723362727209E-4</v>
      </c>
      <c r="E39" s="142">
        <f t="shared" si="6"/>
        <v>1.2022644346174114E-10</v>
      </c>
      <c r="F39" s="141">
        <v>3.3</v>
      </c>
      <c r="H39" s="142">
        <f t="shared" si="7"/>
        <v>-1.8952450335087989E-3</v>
      </c>
      <c r="I39" s="142">
        <f t="shared" si="8"/>
        <v>-5.7554304608644323E-4</v>
      </c>
      <c r="J39" s="142">
        <f t="shared" si="9"/>
        <v>5.0117929034492489E-4</v>
      </c>
      <c r="K39" s="142">
        <f t="shared" si="10"/>
        <v>-7.5856555238483566E-6</v>
      </c>
      <c r="L39" s="142">
        <f t="shared" si="11"/>
        <v>2.9795530254640152E-3</v>
      </c>
      <c r="N39" s="144">
        <f t="shared" si="13"/>
        <v>133.613051068792</v>
      </c>
      <c r="O39" s="142">
        <f t="shared" si="14"/>
        <v>7.4842988166263797E-3</v>
      </c>
      <c r="P39" s="398">
        <f t="shared" si="12"/>
        <v>0.73633773472578168</v>
      </c>
      <c r="Q39" s="514">
        <f t="shared" si="15"/>
        <v>0.99725332966614644</v>
      </c>
      <c r="R39" s="142">
        <f t="shared" si="16"/>
        <v>11510.034840567869</v>
      </c>
    </row>
    <row r="40" spans="1:18" x14ac:dyDescent="0.15">
      <c r="A40" s="142">
        <f t="shared" si="3"/>
        <v>2.1923981248353395E-3</v>
      </c>
      <c r="B40" s="142">
        <f t="shared" si="4"/>
        <v>7.6018522074344E-6</v>
      </c>
      <c r="C40" s="142">
        <f t="shared" si="5"/>
        <v>2.2957226652083388E-11</v>
      </c>
      <c r="D40" s="142">
        <f t="shared" si="0"/>
        <v>3.9810717055349708E-4</v>
      </c>
      <c r="E40" s="142">
        <f t="shared" si="6"/>
        <v>1.5135612484362048E-10</v>
      </c>
      <c r="F40" s="141">
        <v>3.4</v>
      </c>
      <c r="H40" s="142">
        <f t="shared" si="7"/>
        <v>-1.8936858415405098E-3</v>
      </c>
      <c r="I40" s="142">
        <f t="shared" si="8"/>
        <v>-5.7554302916265447E-4</v>
      </c>
      <c r="J40" s="142">
        <f t="shared" si="9"/>
        <v>3.9809922727114983E-4</v>
      </c>
      <c r="K40" s="142">
        <f t="shared" si="10"/>
        <v>-7.5856243941669748E-6</v>
      </c>
      <c r="L40" s="142">
        <f t="shared" si="11"/>
        <v>2.8749137223684812E-3</v>
      </c>
      <c r="N40" s="144">
        <f t="shared" si="13"/>
        <v>138.47621494029354</v>
      </c>
      <c r="O40" s="142">
        <f t="shared" si="14"/>
        <v>7.2214567709780889E-3</v>
      </c>
      <c r="P40" s="398">
        <f t="shared" si="12"/>
        <v>0.76259614602595616</v>
      </c>
      <c r="Q40" s="514">
        <f t="shared" si="15"/>
        <v>0.99654460219788155</v>
      </c>
      <c r="R40" s="142">
        <f t="shared" si="16"/>
        <v>11518.220603487267</v>
      </c>
    </row>
    <row r="41" spans="1:18" x14ac:dyDescent="0.15">
      <c r="A41" s="142">
        <f t="shared" si="3"/>
        <v>2.1904383534395474E-3</v>
      </c>
      <c r="B41" s="142">
        <f t="shared" si="4"/>
        <v>9.561610208224406E-6</v>
      </c>
      <c r="C41" s="142">
        <f t="shared" si="5"/>
        <v>3.6352228129173542E-11</v>
      </c>
      <c r="D41" s="142">
        <f t="shared" si="0"/>
        <v>3.1622776601683783E-4</v>
      </c>
      <c r="E41" s="142">
        <f t="shared" si="6"/>
        <v>1.9054607179632416E-10</v>
      </c>
      <c r="F41" s="141">
        <v>3.5</v>
      </c>
      <c r="H41" s="142">
        <f t="shared" si="7"/>
        <v>-1.8917260835397199E-3</v>
      </c>
      <c r="I41" s="142">
        <f t="shared" si="8"/>
        <v>-5.7554300237265153E-4</v>
      </c>
      <c r="J41" s="142">
        <f t="shared" si="9"/>
        <v>3.1621982273449058E-4</v>
      </c>
      <c r="K41" s="142">
        <f t="shared" si="10"/>
        <v>-7.5855852042200227E-6</v>
      </c>
      <c r="L41" s="142">
        <f t="shared" si="11"/>
        <v>2.7910744938510821E-3</v>
      </c>
      <c r="N41" s="144">
        <f t="shared" si="13"/>
        <v>142.63580976808504</v>
      </c>
      <c r="O41" s="142">
        <f t="shared" si="14"/>
        <v>7.0108621504370036E-3</v>
      </c>
      <c r="P41" s="398">
        <f t="shared" si="12"/>
        <v>0.78480110733884922</v>
      </c>
      <c r="Q41" s="514">
        <f t="shared" si="15"/>
        <v>0.99565379701797607</v>
      </c>
      <c r="R41" s="142">
        <f t="shared" si="16"/>
        <v>11528.525882900261</v>
      </c>
    </row>
    <row r="42" spans="1:18" x14ac:dyDescent="0.15">
      <c r="A42" s="142">
        <f t="shared" si="3"/>
        <v>2.1879761193642142E-3</v>
      </c>
      <c r="B42" s="142">
        <f t="shared" si="4"/>
        <v>1.2023823086150228E-5</v>
      </c>
      <c r="C42" s="142">
        <f t="shared" si="5"/>
        <v>5.7549635537951593E-11</v>
      </c>
      <c r="D42" s="142">
        <f t="shared" si="0"/>
        <v>2.5118864315095774E-4</v>
      </c>
      <c r="E42" s="142">
        <f t="shared" si="6"/>
        <v>2.3988329190194809E-10</v>
      </c>
      <c r="F42" s="141">
        <v>3.6</v>
      </c>
      <c r="H42" s="142">
        <f t="shared" si="7"/>
        <v>-1.8892638706617941E-3</v>
      </c>
      <c r="I42" s="142">
        <f t="shared" si="8"/>
        <v>-5.7554295997783677E-4</v>
      </c>
      <c r="J42" s="142">
        <f t="shared" si="9"/>
        <v>2.5118069986861048E-4</v>
      </c>
      <c r="K42" s="142">
        <f t="shared" si="10"/>
        <v>-7.5855358669999164E-6</v>
      </c>
      <c r="L42" s="142">
        <f t="shared" si="11"/>
        <v>2.7235730663752412E-3</v>
      </c>
      <c r="N42" s="144">
        <f t="shared" ref="N42:N73" si="17">10^(-acid_pH)/L42</f>
        <v>146.17091623810612</v>
      </c>
      <c r="O42" s="142">
        <f t="shared" si="14"/>
        <v>6.8413062306529101E-3</v>
      </c>
      <c r="P42" s="398">
        <f t="shared" si="12"/>
        <v>0.80334768557399339</v>
      </c>
      <c r="Q42" s="514">
        <f t="shared" si="15"/>
        <v>0.99453459971100633</v>
      </c>
      <c r="R42" s="142">
        <f t="shared" si="16"/>
        <v>11541.499483944632</v>
      </c>
    </row>
    <row r="43" spans="1:18" x14ac:dyDescent="0.15">
      <c r="A43" s="142">
        <f t="shared" si="3"/>
        <v>2.1848842033215729E-3</v>
      </c>
      <c r="B43" s="142">
        <f t="shared" si="4"/>
        <v>1.5115705597294097E-5</v>
      </c>
      <c r="C43" s="142">
        <f t="shared" si="5"/>
        <v>9.1081133079274016E-11</v>
      </c>
      <c r="D43" s="142">
        <f t="shared" si="0"/>
        <v>1.9952623149688758E-4</v>
      </c>
      <c r="E43" s="142">
        <f t="shared" si="6"/>
        <v>3.0199517204020115E-10</v>
      </c>
      <c r="F43" s="141">
        <v>3.7</v>
      </c>
      <c r="H43" s="142">
        <f t="shared" si="7"/>
        <v>-1.8861719881506501E-3</v>
      </c>
      <c r="I43" s="142">
        <f t="shared" si="8"/>
        <v>-5.7554289291484163E-4</v>
      </c>
      <c r="J43" s="142">
        <f t="shared" si="9"/>
        <v>1.9951828821454032E-4</v>
      </c>
      <c r="K43" s="142">
        <f t="shared" si="10"/>
        <v>-7.5854737551197783E-6</v>
      </c>
      <c r="L43" s="142">
        <f t="shared" si="11"/>
        <v>2.6688186430351519E-3</v>
      </c>
      <c r="N43" s="144">
        <f t="shared" si="17"/>
        <v>149.16981024261139</v>
      </c>
      <c r="O43" s="142">
        <f t="shared" si="14"/>
        <v>6.7037693375998075E-3</v>
      </c>
      <c r="P43" s="398">
        <f t="shared" si="12"/>
        <v>0.81867091607123299</v>
      </c>
      <c r="Q43" s="514">
        <f t="shared" si="15"/>
        <v>0.99312918332798761</v>
      </c>
      <c r="R43" s="142">
        <f t="shared" si="16"/>
        <v>11557.832316300823</v>
      </c>
    </row>
    <row r="44" spans="1:18" x14ac:dyDescent="0.15">
      <c r="A44" s="142">
        <f t="shared" si="3"/>
        <v>2.1810041042589446E-3</v>
      </c>
      <c r="B44" s="142">
        <f t="shared" si="4"/>
        <v>1.8995751643543136E-5</v>
      </c>
      <c r="C44" s="142">
        <f t="shared" si="5"/>
        <v>1.4409751217615593E-10</v>
      </c>
      <c r="D44" s="142">
        <f t="shared" si="0"/>
        <v>1.584893192461112E-4</v>
      </c>
      <c r="E44" s="142">
        <f t="shared" si="6"/>
        <v>3.801893963205603E-10</v>
      </c>
      <c r="F44" s="141">
        <v>3.8</v>
      </c>
      <c r="H44" s="142">
        <f t="shared" si="7"/>
        <v>-1.8822919421044011E-3</v>
      </c>
      <c r="I44" s="142">
        <f t="shared" si="8"/>
        <v>-5.7554278688208343E-4</v>
      </c>
      <c r="J44" s="142">
        <f t="shared" si="9"/>
        <v>1.5848137596376395E-4</v>
      </c>
      <c r="K44" s="142">
        <f t="shared" si="10"/>
        <v>-7.5853955608954979E-6</v>
      </c>
      <c r="L44" s="142">
        <f t="shared" si="11"/>
        <v>2.6239015005111439E-3</v>
      </c>
      <c r="N44" s="144">
        <f t="shared" si="17"/>
        <v>151.72336708368996</v>
      </c>
      <c r="O44" s="142">
        <f t="shared" si="14"/>
        <v>6.5909425767515708E-3</v>
      </c>
      <c r="P44" s="398">
        <f t="shared" si="12"/>
        <v>0.83120654637153046</v>
      </c>
      <c r="Q44" s="514">
        <f t="shared" si="15"/>
        <v>0.99136550193588391</v>
      </c>
      <c r="R44" s="142">
        <f t="shared" si="16"/>
        <v>11578.394191562278</v>
      </c>
    </row>
    <row r="45" spans="1:18" x14ac:dyDescent="0.15">
      <c r="A45" s="142">
        <f t="shared" si="3"/>
        <v>2.1761388837521494E-3</v>
      </c>
      <c r="B45" s="142">
        <f t="shared" si="4"/>
        <v>2.3860888378135943E-5</v>
      </c>
      <c r="C45" s="142">
        <f t="shared" si="5"/>
        <v>2.2786971497004875E-10</v>
      </c>
      <c r="D45" s="142">
        <f t="shared" si="0"/>
        <v>1.2589254117941672E-4</v>
      </c>
      <c r="E45" s="142">
        <f t="shared" si="6"/>
        <v>4.7863009232263674E-10</v>
      </c>
      <c r="F45" s="141">
        <v>3.9</v>
      </c>
      <c r="H45" s="142">
        <f>B45-$B$87</f>
        <v>-1.8774268053698084E-3</v>
      </c>
      <c r="I45" s="142">
        <f t="shared" si="8"/>
        <v>-5.7554261933767789E-4</v>
      </c>
      <c r="J45" s="142">
        <f t="shared" si="9"/>
        <v>1.2588459789706946E-4</v>
      </c>
      <c r="K45" s="142">
        <f t="shared" si="10"/>
        <v>-7.5852971201994963E-6</v>
      </c>
      <c r="L45" s="142">
        <f t="shared" si="11"/>
        <v>2.5864393197247556E-3</v>
      </c>
      <c r="N45" s="144">
        <f t="shared" si="17"/>
        <v>153.92093969398172</v>
      </c>
      <c r="O45" s="142">
        <f t="shared" si="14"/>
        <v>6.4968418331394825E-3</v>
      </c>
      <c r="P45" s="398">
        <f t="shared" si="12"/>
        <v>0.8413647546866595</v>
      </c>
      <c r="Q45" s="514">
        <f t="shared" si="15"/>
        <v>0.98915403806915869</v>
      </c>
      <c r="R45" s="142">
        <f t="shared" si="16"/>
        <v>11604.28015007216</v>
      </c>
    </row>
    <row r="46" spans="1:18" s="146" customFormat="1" x14ac:dyDescent="0.15">
      <c r="A46" s="145">
        <f t="shared" si="3"/>
        <v>2.1700446845025019E-3</v>
      </c>
      <c r="B46" s="145">
        <f t="shared" si="4"/>
        <v>2.9954955359723773E-5</v>
      </c>
      <c r="C46" s="145">
        <f t="shared" si="5"/>
        <v>3.6013777469548134E-10</v>
      </c>
      <c r="D46" s="145">
        <f t="shared" si="0"/>
        <v>1E-4</v>
      </c>
      <c r="E46" s="145">
        <f t="shared" si="6"/>
        <v>6.0255958607435515E-10</v>
      </c>
      <c r="F46" s="141">
        <v>4</v>
      </c>
      <c r="H46" s="142">
        <f t="shared" si="7"/>
        <v>-1.8713327383882204E-3</v>
      </c>
      <c r="I46" s="142">
        <f t="shared" si="8"/>
        <v>-5.7554235480155843E-4</v>
      </c>
      <c r="J46" s="142">
        <f t="shared" si="9"/>
        <v>9.9992056717652765E-5</v>
      </c>
      <c r="K46" s="142">
        <f t="shared" si="10"/>
        <v>-7.5851731907057446E-6</v>
      </c>
      <c r="L46" s="142">
        <f t="shared" si="11"/>
        <v>2.5544523230981377E-3</v>
      </c>
      <c r="N46" s="144">
        <f t="shared" si="17"/>
        <v>155.84834641605585</v>
      </c>
      <c r="O46" s="142">
        <f t="shared" si="14"/>
        <v>6.4164941303283393E-3</v>
      </c>
      <c r="P46" s="398">
        <f>A46/L46</f>
        <v>0.8495146552082008</v>
      </c>
      <c r="Q46" s="514">
        <f t="shared" si="15"/>
        <v>0.98638394750113711</v>
      </c>
      <c r="R46" s="142">
        <f t="shared" si="16"/>
        <v>11636.868785637274</v>
      </c>
    </row>
    <row r="47" spans="1:18" s="146" customFormat="1" x14ac:dyDescent="0.15">
      <c r="A47" s="145">
        <f t="shared" si="3"/>
        <v>2.1624208635377534E-3</v>
      </c>
      <c r="B47" s="145">
        <f t="shared" si="4"/>
        <v>3.757856768760838E-5</v>
      </c>
      <c r="C47" s="145">
        <f t="shared" si="5"/>
        <v>5.6877463823701092E-10</v>
      </c>
      <c r="D47" s="146">
        <f t="shared" si="0"/>
        <v>7.9432823472428153E-5</v>
      </c>
      <c r="E47" s="145">
        <f t="shared" si="6"/>
        <v>7.5857757502917976E-10</v>
      </c>
      <c r="F47" s="141">
        <v>4.0999999999999996</v>
      </c>
      <c r="H47" s="142">
        <f t="shared" si="7"/>
        <v>-1.8637091260603358E-3</v>
      </c>
      <c r="I47" s="142">
        <f t="shared" si="8"/>
        <v>-5.7554193752783135E-4</v>
      </c>
      <c r="J47" s="142">
        <f t="shared" si="9"/>
        <v>7.9424880190080913E-5</v>
      </c>
      <c r="K47" s="142">
        <f t="shared" si="10"/>
        <v>-7.5850171727167892E-6</v>
      </c>
      <c r="L47" s="142">
        <f t="shared" si="11"/>
        <v>2.5262609609509649E-3</v>
      </c>
      <c r="N47" s="144">
        <f t="shared" si="17"/>
        <v>157.58750845899823</v>
      </c>
      <c r="O47" s="142">
        <f t="shared" si="14"/>
        <v>6.3456806302650834E-3</v>
      </c>
      <c r="P47" s="398">
        <f t="shared" si="12"/>
        <v>0.85597683571207528</v>
      </c>
      <c r="Q47" s="514">
        <f t="shared" si="15"/>
        <v>0.98291857433534235</v>
      </c>
      <c r="R47" s="142">
        <f t="shared" si="16"/>
        <v>11677.895676243032</v>
      </c>
    </row>
    <row r="48" spans="1:18" s="146" customFormat="1" x14ac:dyDescent="0.15">
      <c r="A48" s="145">
        <f t="shared" si="3"/>
        <v>2.1528988085856961E-3</v>
      </c>
      <c r="B48" s="145">
        <f t="shared" si="4"/>
        <v>4.7100293936704911E-5</v>
      </c>
      <c r="C48" s="145">
        <f t="shared" si="5"/>
        <v>8.9747759900913766E-10</v>
      </c>
      <c r="D48" s="146">
        <f t="shared" si="0"/>
        <v>6.3095734448019279E-5</v>
      </c>
      <c r="E48" s="145">
        <f t="shared" si="6"/>
        <v>9.5499258602143329E-10</v>
      </c>
      <c r="F48" s="141">
        <v>4.2</v>
      </c>
      <c r="H48" s="142">
        <f t="shared" si="7"/>
        <v>-1.8541873998112394E-3</v>
      </c>
      <c r="I48" s="142">
        <f t="shared" si="8"/>
        <v>-5.7554128012190977E-4</v>
      </c>
      <c r="J48" s="142">
        <f t="shared" si="9"/>
        <v>6.308779116567204E-5</v>
      </c>
      <c r="K48" s="142">
        <f t="shared" si="10"/>
        <v>-7.5848207577057974E-6</v>
      </c>
      <c r="L48" s="142">
        <f t="shared" si="11"/>
        <v>2.500401291856527E-3</v>
      </c>
      <c r="N48" s="144">
        <f t="shared" si="17"/>
        <v>159.21731117724147</v>
      </c>
      <c r="O48" s="142">
        <f t="shared" si="14"/>
        <v>6.2807240783434365E-3</v>
      </c>
      <c r="P48" s="398">
        <f t="shared" si="12"/>
        <v>0.86102131509746049</v>
      </c>
      <c r="Q48" s="514">
        <f t="shared" si="15"/>
        <v>0.97859036753895268</v>
      </c>
      <c r="R48" s="142">
        <f t="shared" si="16"/>
        <v>11729.545834583094</v>
      </c>
    </row>
    <row r="49" spans="1:18" s="146" customFormat="1" x14ac:dyDescent="0.15">
      <c r="A49" s="145">
        <f t="shared" si="3"/>
        <v>2.141029730063279E-3</v>
      </c>
      <c r="B49" s="145">
        <f t="shared" si="4"/>
        <v>5.8968855372406337E-5</v>
      </c>
      <c r="C49" s="145">
        <f t="shared" si="5"/>
        <v>1.414564314642276E-9</v>
      </c>
      <c r="D49" s="146">
        <f t="shared" si="0"/>
        <v>5.0118723362727238E-5</v>
      </c>
      <c r="E49" s="145">
        <f t="shared" si="6"/>
        <v>1.2022644346174043E-9</v>
      </c>
      <c r="F49" s="141">
        <v>4.3</v>
      </c>
      <c r="H49" s="142">
        <f t="shared" si="7"/>
        <v>-1.842318838375538E-3</v>
      </c>
      <c r="I49" s="142">
        <f t="shared" si="8"/>
        <v>-5.7554024594847852E-4</v>
      </c>
      <c r="J49" s="142">
        <f t="shared" si="9"/>
        <v>5.0110780080379998E-5</v>
      </c>
      <c r="K49" s="142">
        <f t="shared" si="10"/>
        <v>-7.5845734858572012E-6</v>
      </c>
      <c r="L49" s="142">
        <f t="shared" si="11"/>
        <v>2.4755544378902536E-3</v>
      </c>
      <c r="N49" s="144">
        <f t="shared" si="17"/>
        <v>160.81535693990912</v>
      </c>
      <c r="O49" s="142">
        <f t="shared" si="14"/>
        <v>6.2183116029998538E-3</v>
      </c>
      <c r="P49" s="398">
        <f t="shared" si="12"/>
        <v>0.86486877335161039</v>
      </c>
      <c r="Q49" s="514">
        <f t="shared" si="15"/>
        <v>0.97319533184694496</v>
      </c>
      <c r="R49" s="142">
        <f t="shared" si="16"/>
        <v>11794.570107057274</v>
      </c>
    </row>
    <row r="50" spans="1:18" s="146" customFormat="1" x14ac:dyDescent="0.15">
      <c r="A50" s="145">
        <f t="shared" si="3"/>
        <v>2.1262720849265422E-3</v>
      </c>
      <c r="B50" s="145">
        <f t="shared" si="4"/>
        <v>7.3725688593256691E-5</v>
      </c>
      <c r="C50" s="145">
        <f t="shared" si="5"/>
        <v>2.2264802010502936E-9</v>
      </c>
      <c r="D50" s="146">
        <f t="shared" si="0"/>
        <v>3.9810717055349634E-5</v>
      </c>
      <c r="E50" s="145">
        <f t="shared" si="6"/>
        <v>1.5135612484362064E-9</v>
      </c>
      <c r="F50" s="141">
        <v>4.4000000000000004</v>
      </c>
      <c r="H50" s="142">
        <f t="shared" si="7"/>
        <v>-1.8275620051546877E-3</v>
      </c>
      <c r="I50" s="142">
        <f t="shared" si="8"/>
        <v>-5.755386221167057E-4</v>
      </c>
      <c r="J50" s="142">
        <f t="shared" si="9"/>
        <v>3.9802773773002394E-5</v>
      </c>
      <c r="K50" s="142">
        <f t="shared" si="10"/>
        <v>-7.5842621890433828E-6</v>
      </c>
      <c r="L50" s="142">
        <f t="shared" si="11"/>
        <v>2.450487663233439E-3</v>
      </c>
      <c r="N50" s="144">
        <f t="shared" si="17"/>
        <v>162.46038554962217</v>
      </c>
      <c r="O50" s="142">
        <f t="shared" si="14"/>
        <v>6.1553467118576934E-3</v>
      </c>
      <c r="P50" s="398">
        <f t="shared" si="12"/>
        <v>0.86769344601429588</v>
      </c>
      <c r="Q50" s="514">
        <f t="shared" si="15"/>
        <v>0.96648731133024635</v>
      </c>
      <c r="R50" s="142">
        <f t="shared" si="16"/>
        <v>11876.431728349418</v>
      </c>
    </row>
    <row r="51" spans="1:18" s="146" customFormat="1" x14ac:dyDescent="0.15">
      <c r="A51" s="145">
        <f t="shared" si="3"/>
        <v>2.1079798440281077E-3</v>
      </c>
      <c r="B51" s="145">
        <f t="shared" si="4"/>
        <v>9.2016657596142369E-5</v>
      </c>
      <c r="C51" s="145">
        <f t="shared" si="5"/>
        <v>3.4983757502913185E-9</v>
      </c>
      <c r="D51" s="146">
        <f t="shared" si="0"/>
        <v>3.1622776601683748E-5</v>
      </c>
      <c r="E51" s="145">
        <f t="shared" si="6"/>
        <v>1.9054607179632502E-9</v>
      </c>
      <c r="F51" s="141">
        <v>4.5</v>
      </c>
      <c r="H51" s="142">
        <f t="shared" si="7"/>
        <v>-1.8092710361518019E-3</v>
      </c>
      <c r="I51" s="142">
        <f t="shared" si="8"/>
        <v>-5.7553607832560726E-4</v>
      </c>
      <c r="J51" s="142">
        <f t="shared" si="9"/>
        <v>3.1614833319336508E-5</v>
      </c>
      <c r="K51" s="142">
        <f t="shared" si="10"/>
        <v>-7.5838702895738551E-6</v>
      </c>
      <c r="L51" s="142">
        <f t="shared" si="11"/>
        <v>2.4240058180863195E-3</v>
      </c>
      <c r="N51" s="144">
        <f t="shared" si="17"/>
        <v>164.23523721893991</v>
      </c>
      <c r="O51" s="142">
        <f t="shared" si="14"/>
        <v>6.088827324351306E-3</v>
      </c>
      <c r="P51" s="398">
        <f t="shared" si="12"/>
        <v>0.86962656124822957</v>
      </c>
      <c r="Q51" s="514">
        <f t="shared" si="15"/>
        <v>0.95817265637641247</v>
      </c>
      <c r="R51" s="142">
        <f t="shared" si="16"/>
        <v>11979.490849528511</v>
      </c>
    </row>
    <row r="52" spans="1:18" s="146" customFormat="1" x14ac:dyDescent="0.15">
      <c r="A52" s="145">
        <f t="shared" si="3"/>
        <v>2.0853936120648116E-3</v>
      </c>
      <c r="B52" s="145">
        <f t="shared" si="4"/>
        <v>1.146009027911202E-4</v>
      </c>
      <c r="C52" s="145">
        <f t="shared" si="5"/>
        <v>5.485144068317159E-9</v>
      </c>
      <c r="D52" s="146">
        <f t="shared" si="0"/>
        <v>2.5118864315095791E-5</v>
      </c>
      <c r="E52" s="145">
        <f t="shared" si="6"/>
        <v>2.3988329190194835E-9</v>
      </c>
      <c r="F52" s="141">
        <v>4.5999999999999996</v>
      </c>
      <c r="H52" s="142">
        <f t="shared" si="7"/>
        <v>-1.7866867909568241E-3</v>
      </c>
      <c r="I52" s="142">
        <f t="shared" si="8"/>
        <v>-5.7553210478897114E-4</v>
      </c>
      <c r="J52" s="142">
        <f t="shared" si="9"/>
        <v>2.5110921032748548E-5</v>
      </c>
      <c r="K52" s="142">
        <f t="shared" si="10"/>
        <v>-7.5833769173727996E-6</v>
      </c>
      <c r="L52" s="142">
        <f t="shared" si="11"/>
        <v>2.3949131936959168E-3</v>
      </c>
      <c r="N52" s="144">
        <f t="shared" si="17"/>
        <v>166.23031331633518</v>
      </c>
      <c r="O52" s="142">
        <f t="shared" si="14"/>
        <v>6.0157499558880492E-3</v>
      </c>
      <c r="P52" s="398">
        <f t="shared" si="12"/>
        <v>0.87075958224880656</v>
      </c>
      <c r="Q52" s="514">
        <f t="shared" si="15"/>
        <v>0.94790618730218701</v>
      </c>
      <c r="R52" s="142">
        <f t="shared" si="16"/>
        <v>12109.236887669356</v>
      </c>
    </row>
    <row r="53" spans="1:18" s="146" customFormat="1" x14ac:dyDescent="0.15">
      <c r="A53" s="145">
        <f t="shared" si="3"/>
        <v>2.0576376752703424E-3</v>
      </c>
      <c r="B53" s="145">
        <f t="shared" si="4"/>
        <v>1.4235374706816629E-4</v>
      </c>
      <c r="C53" s="145">
        <f t="shared" si="5"/>
        <v>8.57766149095282E-9</v>
      </c>
      <c r="D53" s="146">
        <f t="shared" si="0"/>
        <v>1.9952623149688769E-5</v>
      </c>
      <c r="E53" s="145">
        <f t="shared" si="6"/>
        <v>3.0199517204020151E-9</v>
      </c>
      <c r="F53" s="141">
        <v>4.7</v>
      </c>
      <c r="G53" s="145"/>
      <c r="H53" s="142">
        <f t="shared" si="7"/>
        <v>-1.758933946679778E-3</v>
      </c>
      <c r="I53" s="142">
        <f t="shared" si="8"/>
        <v>-5.7552591975412585E-4</v>
      </c>
      <c r="J53" s="142">
        <f t="shared" si="9"/>
        <v>1.9944679867341526E-5</v>
      </c>
      <c r="K53" s="142">
        <f t="shared" si="10"/>
        <v>-7.5827557985714165E-6</v>
      </c>
      <c r="L53" s="142">
        <f t="shared" si="11"/>
        <v>2.3619873020998172E-3</v>
      </c>
      <c r="N53" s="144">
        <f t="shared" si="17"/>
        <v>168.54754900654129</v>
      </c>
      <c r="O53" s="142">
        <f t="shared" si="14"/>
        <v>5.9330438555424518E-3</v>
      </c>
      <c r="P53" s="398">
        <f t="shared" si="12"/>
        <v>0.87114679805479622</v>
      </c>
      <c r="Q53" s="514">
        <f t="shared" si="15"/>
        <v>0.93528985239561013</v>
      </c>
      <c r="R53" s="142">
        <f t="shared" si="16"/>
        <v>12272.581104060246</v>
      </c>
    </row>
    <row r="54" spans="1:18" s="146" customFormat="1" x14ac:dyDescent="0.15">
      <c r="A54" s="145">
        <f t="shared" si="3"/>
        <v>2.0237273459352174E-3</v>
      </c>
      <c r="B54" s="145">
        <f t="shared" si="4"/>
        <v>1.7625928343080238E-4</v>
      </c>
      <c r="C54" s="145">
        <f t="shared" si="5"/>
        <v>1.3370633980131969E-8</v>
      </c>
      <c r="D54" s="146">
        <f t="shared" si="0"/>
        <v>1.5848931924611131E-5</v>
      </c>
      <c r="E54" s="145">
        <f t="shared" si="6"/>
        <v>3.8018939632055936E-9</v>
      </c>
      <c r="F54" s="141">
        <v>4.8</v>
      </c>
      <c r="H54" s="142">
        <f t="shared" si="7"/>
        <v>-1.7250284103171418E-3</v>
      </c>
      <c r="I54" s="142">
        <f t="shared" si="8"/>
        <v>-5.7551633380914752E-4</v>
      </c>
      <c r="J54" s="142">
        <f t="shared" si="9"/>
        <v>1.5840988642263888E-5</v>
      </c>
      <c r="K54" s="142">
        <f t="shared" si="10"/>
        <v>-7.5819738563286128E-6</v>
      </c>
      <c r="L54" s="142">
        <f t="shared" si="11"/>
        <v>2.3239677066248816E-3</v>
      </c>
      <c r="N54" s="144">
        <f t="shared" si="17"/>
        <v>171.30494947009041</v>
      </c>
      <c r="O54" s="142">
        <f t="shared" si="14"/>
        <v>5.8375429495374767E-3</v>
      </c>
      <c r="P54" s="398">
        <f t="shared" si="12"/>
        <v>0.87080699966967023</v>
      </c>
      <c r="Q54" s="514">
        <f t="shared" si="15"/>
        <v>0.91987606633418972</v>
      </c>
      <c r="R54" s="142">
        <f t="shared" si="16"/>
        <v>12478.225045111205</v>
      </c>
    </row>
    <row r="55" spans="1:18" s="146" customFormat="1" x14ac:dyDescent="0.15">
      <c r="A55" s="145">
        <f t="shared" si="3"/>
        <v>1.9825923151676416E-3</v>
      </c>
      <c r="B55" s="145">
        <f t="shared" si="4"/>
        <v>2.173869245422353E-4</v>
      </c>
      <c r="C55" s="145">
        <f t="shared" si="5"/>
        <v>2.0760290123583627E-8</v>
      </c>
      <c r="D55" s="146">
        <f t="shared" si="0"/>
        <v>1.2589254117941658E-5</v>
      </c>
      <c r="E55" s="145">
        <f t="shared" si="6"/>
        <v>4.7863009232263728E-9</v>
      </c>
      <c r="F55" s="141">
        <v>4.9000000000000004</v>
      </c>
      <c r="H55" s="142">
        <f t="shared" si="7"/>
        <v>-1.683900769205709E-3</v>
      </c>
      <c r="I55" s="142">
        <f t="shared" si="8"/>
        <v>-5.7550155449686061E-4</v>
      </c>
      <c r="J55" s="142">
        <f t="shared" si="9"/>
        <v>1.2581310835594414E-5</v>
      </c>
      <c r="K55" s="142">
        <f t="shared" si="10"/>
        <v>-7.5809894493685924E-6</v>
      </c>
      <c r="L55" s="142">
        <f t="shared" si="11"/>
        <v>2.2795646239875326E-3</v>
      </c>
      <c r="N55" s="144">
        <f t="shared" si="17"/>
        <v>174.64175674787737</v>
      </c>
      <c r="O55" s="142">
        <f t="shared" si="14"/>
        <v>5.7260074487435215E-3</v>
      </c>
      <c r="P55" s="398">
        <f t="shared" si="12"/>
        <v>0.86972411060651933</v>
      </c>
      <c r="Q55" s="514">
        <f t="shared" si="15"/>
        <v>0.90117832507620066</v>
      </c>
      <c r="R55" s="142">
        <f t="shared" si="16"/>
        <v>12737.124551191446</v>
      </c>
    </row>
    <row r="56" spans="1:18" s="146" customFormat="1" x14ac:dyDescent="0.15">
      <c r="A56" s="145">
        <f t="shared" si="3"/>
        <v>1.9331227021845191E-3</v>
      </c>
      <c r="B56" s="145">
        <f t="shared" si="4"/>
        <v>2.6684521596421112E-4</v>
      </c>
      <c r="C56" s="145">
        <f t="shared" si="5"/>
        <v>3.2081851270157371E-8</v>
      </c>
      <c r="D56" s="146">
        <f t="shared" si="0"/>
        <v>1.0000000000000001E-5</v>
      </c>
      <c r="E56" s="145">
        <f t="shared" si="6"/>
        <v>6.0255958607435582E-9</v>
      </c>
      <c r="F56" s="141">
        <v>5</v>
      </c>
      <c r="H56" s="142">
        <f t="shared" si="7"/>
        <v>-1.6344424777837332E-3</v>
      </c>
      <c r="I56" s="142">
        <f t="shared" si="8"/>
        <v>-5.7547891137456754E-4</v>
      </c>
      <c r="J56" s="142">
        <f t="shared" si="9"/>
        <v>9.9920567176527575E-6</v>
      </c>
      <c r="K56" s="142">
        <f t="shared" si="10"/>
        <v>-7.5797501544310755E-6</v>
      </c>
      <c r="L56" s="142">
        <f t="shared" si="11"/>
        <v>2.2274931960303843E-3</v>
      </c>
      <c r="N56" s="144">
        <f t="shared" si="17"/>
        <v>178.7243037433129</v>
      </c>
      <c r="O56" s="142">
        <f t="shared" si="14"/>
        <v>5.5952099353886323E-3</v>
      </c>
      <c r="P56" s="398">
        <f t="shared" si="12"/>
        <v>0.86784673714359128</v>
      </c>
      <c r="Q56" s="514">
        <f t="shared" si="15"/>
        <v>0.87869213735659957</v>
      </c>
      <c r="R56" s="142">
        <f t="shared" si="16"/>
        <v>13063.074177334278</v>
      </c>
    </row>
    <row r="57" spans="1:18" s="146" customFormat="1" x14ac:dyDescent="0.15">
      <c r="A57" s="145">
        <f t="shared" si="3"/>
        <v>1.8742443618246834E-3</v>
      </c>
      <c r="B57" s="145">
        <f t="shared" si="4"/>
        <v>3.2570634052577749E-4</v>
      </c>
      <c r="C57" s="145">
        <f t="shared" si="5"/>
        <v>4.9297649538978499E-8</v>
      </c>
      <c r="D57" s="146">
        <f t="shared" si="0"/>
        <v>7.9432823472428065E-6</v>
      </c>
      <c r="E57" s="145">
        <f t="shared" si="6"/>
        <v>7.5857757502918059E-9</v>
      </c>
      <c r="F57" s="141">
        <v>5.0999999999999996</v>
      </c>
      <c r="H57" s="142">
        <f t="shared" si="7"/>
        <v>-1.5755813532221667E-3</v>
      </c>
      <c r="I57" s="142">
        <f t="shared" si="8"/>
        <v>-5.7544447977802985E-4</v>
      </c>
      <c r="J57" s="142">
        <f t="shared" si="9"/>
        <v>7.9353390648955632E-6</v>
      </c>
      <c r="K57" s="142">
        <f t="shared" si="10"/>
        <v>-7.5781899745415268E-6</v>
      </c>
      <c r="L57" s="142">
        <f t="shared" si="11"/>
        <v>2.1665393620396338E-3</v>
      </c>
      <c r="N57" s="144">
        <f t="shared" si="17"/>
        <v>183.75256758719087</v>
      </c>
      <c r="O57" s="142">
        <f t="shared" si="14"/>
        <v>5.4421008268387789E-3</v>
      </c>
      <c r="P57" s="398">
        <f t="shared" si="12"/>
        <v>0.8650866883213344</v>
      </c>
      <c r="Q57" s="514">
        <f t="shared" si="15"/>
        <v>0.85192925537485609</v>
      </c>
      <c r="R57" s="142">
        <f t="shared" si="16"/>
        <v>13473.443360363366</v>
      </c>
    </row>
    <row r="58" spans="1:18" s="146" customFormat="1" x14ac:dyDescent="0.15">
      <c r="A58" s="145">
        <f t="shared" si="3"/>
        <v>1.8050277169828191E-3</v>
      </c>
      <c r="B58" s="145">
        <f t="shared" si="4"/>
        <v>3.9489703693802828E-4</v>
      </c>
      <c r="C58" s="145">
        <f t="shared" si="5"/>
        <v>7.5246079152549555E-8</v>
      </c>
      <c r="D58" s="146">
        <f t="shared" si="0"/>
        <v>6.3095734448019212E-6</v>
      </c>
      <c r="E58" s="145">
        <f t="shared" si="6"/>
        <v>9.5499258602143453E-9</v>
      </c>
      <c r="F58" s="141">
        <v>5.2</v>
      </c>
      <c r="H58" s="142">
        <f t="shared" si="7"/>
        <v>-1.5063906568099159E-3</v>
      </c>
      <c r="I58" s="142">
        <f t="shared" si="8"/>
        <v>-5.7539258291880273E-4</v>
      </c>
      <c r="J58" s="142">
        <f t="shared" si="9"/>
        <v>6.3016301624546787E-6</v>
      </c>
      <c r="K58" s="142">
        <f t="shared" si="10"/>
        <v>-7.576225824431604E-6</v>
      </c>
      <c r="L58" s="142">
        <f t="shared" si="11"/>
        <v>2.0956610957156051E-3</v>
      </c>
      <c r="N58" s="144">
        <f t="shared" si="17"/>
        <v>189.9673431774786</v>
      </c>
      <c r="O58" s="142">
        <f t="shared" si="14"/>
        <v>5.2640626713705285E-3</v>
      </c>
      <c r="P58" s="398">
        <f t="shared" si="12"/>
        <v>0.86131661301201778</v>
      </c>
      <c r="Q58" s="514">
        <f t="shared" si="15"/>
        <v>0.82046714408309951</v>
      </c>
      <c r="R58" s="142">
        <f t="shared" si="16"/>
        <v>13990.103872053514</v>
      </c>
    </row>
    <row r="59" spans="1:18" s="146" customFormat="1" x14ac:dyDescent="0.15">
      <c r="A59" s="145">
        <f t="shared" si="3"/>
        <v>1.7248287551237652E-3</v>
      </c>
      <c r="B59" s="145">
        <f t="shared" si="4"/>
        <v>4.7505728657049024E-4</v>
      </c>
      <c r="C59" s="145">
        <f t="shared" si="5"/>
        <v>1.1395830574453687E-7</v>
      </c>
      <c r="D59" s="146">
        <f t="shared" si="0"/>
        <v>5.011872336272719E-6</v>
      </c>
      <c r="E59" s="145">
        <f t="shared" si="6"/>
        <v>1.2022644346174099E-8</v>
      </c>
      <c r="F59" s="141">
        <v>5.3</v>
      </c>
      <c r="H59" s="142">
        <f t="shared" si="7"/>
        <v>-1.426230407177454E-3</v>
      </c>
      <c r="I59" s="142">
        <f t="shared" si="8"/>
        <v>-5.7531515846561874E-4</v>
      </c>
      <c r="J59" s="142">
        <f t="shared" si="9"/>
        <v>5.0039290539254766E-6</v>
      </c>
      <c r="K59" s="142">
        <f t="shared" si="10"/>
        <v>-7.5737531059456444E-6</v>
      </c>
      <c r="L59" s="142">
        <f t="shared" si="11"/>
        <v>2.0141232478029436E-3</v>
      </c>
      <c r="N59" s="144">
        <f t="shared" si="17"/>
        <v>197.65780023032977</v>
      </c>
      <c r="O59" s="142">
        <f t="shared" si="14"/>
        <v>5.059248857544222E-3</v>
      </c>
      <c r="P59" s="398">
        <f t="shared" si="12"/>
        <v>0.85636703563461269</v>
      </c>
      <c r="Q59" s="514">
        <f t="shared" si="15"/>
        <v>0.78401307051080238</v>
      </c>
      <c r="R59" s="142">
        <f t="shared" si="16"/>
        <v>14640.598481159515</v>
      </c>
    </row>
    <row r="60" spans="1:18" s="146" customFormat="1" x14ac:dyDescent="0.15">
      <c r="A60" s="145">
        <f t="shared" si="3"/>
        <v>1.6334512239120592E-3</v>
      </c>
      <c r="B60" s="145">
        <f t="shared" si="4"/>
        <v>5.6637773274710005E-4</v>
      </c>
      <c r="C60" s="145">
        <f t="shared" si="5"/>
        <v>1.7104334084070007E-7</v>
      </c>
      <c r="D60" s="146">
        <f t="shared" si="0"/>
        <v>3.9810717055349657E-6</v>
      </c>
      <c r="E60" s="145">
        <f t="shared" si="6"/>
        <v>1.5135612484362029E-8</v>
      </c>
      <c r="F60" s="141">
        <v>5.4</v>
      </c>
      <c r="H60" s="142">
        <f t="shared" si="7"/>
        <v>-1.3349099610008442E-3</v>
      </c>
      <c r="I60" s="142">
        <f t="shared" si="8"/>
        <v>-5.7520098839542637E-4</v>
      </c>
      <c r="J60" s="142">
        <f t="shared" si="9"/>
        <v>3.9731284231877233E-6</v>
      </c>
      <c r="K60" s="142">
        <f t="shared" si="10"/>
        <v>-7.5706401378074564E-6</v>
      </c>
      <c r="L60" s="142">
        <f t="shared" si="11"/>
        <v>1.9216547179572658E-3</v>
      </c>
      <c r="N60" s="144">
        <f t="shared" si="17"/>
        <v>207.16893978575314</v>
      </c>
      <c r="O60" s="142">
        <f t="shared" si="14"/>
        <v>4.8269784120832252E-3</v>
      </c>
      <c r="P60" s="398">
        <f t="shared" si="12"/>
        <v>0.85002326830515673</v>
      </c>
      <c r="Q60" s="514">
        <f t="shared" si="15"/>
        <v>0.74247782905093596</v>
      </c>
      <c r="R60" s="142">
        <f t="shared" si="16"/>
        <v>15459.613903895048</v>
      </c>
    </row>
    <row r="61" spans="1:18" s="146" customFormat="1" x14ac:dyDescent="0.15">
      <c r="A61" s="145">
        <f t="shared" si="3"/>
        <v>1.5313063852326642E-3</v>
      </c>
      <c r="B61" s="145">
        <f t="shared" si="4"/>
        <v>6.684394811645153E-4</v>
      </c>
      <c r="C61" s="145">
        <f t="shared" si="5"/>
        <v>2.5413360282076641E-7</v>
      </c>
      <c r="D61" s="146">
        <f t="shared" si="0"/>
        <v>3.1622776601683767E-6</v>
      </c>
      <c r="E61" s="145">
        <f t="shared" si="6"/>
        <v>1.9054607179632389E-8</v>
      </c>
      <c r="F61" s="141">
        <v>5.5</v>
      </c>
      <c r="H61" s="142">
        <f t="shared" si="7"/>
        <v>-1.2328482125834291E-3</v>
      </c>
      <c r="I61" s="142">
        <f t="shared" si="8"/>
        <v>-5.7503480787146632E-4</v>
      </c>
      <c r="J61" s="142">
        <f t="shared" si="9"/>
        <v>3.1543343778211337E-6</v>
      </c>
      <c r="K61" s="142">
        <f t="shared" si="10"/>
        <v>-7.5667211431121862E-6</v>
      </c>
      <c r="L61" s="142">
        <f t="shared" si="11"/>
        <v>1.8186040759758286E-3</v>
      </c>
      <c r="N61" s="144">
        <f t="shared" si="17"/>
        <v>218.90810419518081</v>
      </c>
      <c r="O61" s="142">
        <f t="shared" si="14"/>
        <v>4.5681269027317015E-3</v>
      </c>
      <c r="P61" s="398">
        <f t="shared" si="12"/>
        <v>0.84202295896152879</v>
      </c>
      <c r="Q61" s="514">
        <f t="shared" si="15"/>
        <v>0.69604835692393818</v>
      </c>
      <c r="R61" s="142">
        <f t="shared" si="16"/>
        <v>16490.837820602719</v>
      </c>
    </row>
    <row r="62" spans="1:18" s="146" customFormat="1" x14ac:dyDescent="0.15">
      <c r="A62" s="145">
        <f t="shared" si="3"/>
        <v>1.4195344321095284E-3</v>
      </c>
      <c r="B62" s="145">
        <f t="shared" si="4"/>
        <v>7.8009219229245477E-4</v>
      </c>
      <c r="C62" s="145">
        <f t="shared" si="5"/>
        <v>3.7337559801710683E-7</v>
      </c>
      <c r="D62" s="146">
        <f t="shared" si="0"/>
        <v>2.5118864315095806E-6</v>
      </c>
      <c r="E62" s="145">
        <f t="shared" si="6"/>
        <v>2.3988329190194778E-8</v>
      </c>
      <c r="F62" s="141">
        <v>5.6</v>
      </c>
      <c r="H62" s="142">
        <f t="shared" si="7"/>
        <v>-1.1211955014554895E-3</v>
      </c>
      <c r="I62" s="142">
        <f t="shared" si="8"/>
        <v>-5.7479632388107358E-4</v>
      </c>
      <c r="J62" s="142">
        <f t="shared" si="9"/>
        <v>2.5039431491623377E-6</v>
      </c>
      <c r="K62" s="142">
        <f t="shared" si="10"/>
        <v>-7.5617874211016238E-6</v>
      </c>
      <c r="L62" s="142">
        <f t="shared" si="11"/>
        <v>1.7060575559068268E-3</v>
      </c>
      <c r="N62" s="144">
        <f t="shared" si="17"/>
        <v>233.34920277170244</v>
      </c>
      <c r="O62" s="142">
        <f t="shared" si="14"/>
        <v>4.2854228260567557E-3</v>
      </c>
      <c r="P62" s="398">
        <f t="shared" si="12"/>
        <v>0.83205541758818224</v>
      </c>
      <c r="Q62" s="514">
        <f t="shared" si="15"/>
        <v>0.64524292368614922</v>
      </c>
      <c r="R62" s="142">
        <f t="shared" si="16"/>
        <v>17789.300971726498</v>
      </c>
    </row>
    <row r="63" spans="1:18" s="146" customFormat="1" x14ac:dyDescent="0.15">
      <c r="A63" s="145">
        <f t="shared" si="3"/>
        <v>1.3000459788483805E-3</v>
      </c>
      <c r="B63" s="145">
        <f t="shared" si="4"/>
        <v>8.994120717859339E-4</v>
      </c>
      <c r="C63" s="145">
        <f t="shared" si="5"/>
        <v>5.4194936568561417E-7</v>
      </c>
      <c r="D63" s="146">
        <f t="shared" si="0"/>
        <v>1.9952623149688749E-6</v>
      </c>
      <c r="E63" s="145">
        <f t="shared" si="6"/>
        <v>3.0199517204020188E-8</v>
      </c>
      <c r="F63" s="141">
        <v>5.7</v>
      </c>
      <c r="H63" s="142">
        <f t="shared" si="7"/>
        <v>-1.0018756219620103E-3</v>
      </c>
      <c r="I63" s="142">
        <f t="shared" si="8"/>
        <v>-5.7445917634573655E-4</v>
      </c>
      <c r="J63" s="142">
        <f t="shared" si="9"/>
        <v>1.987319032621632E-6</v>
      </c>
      <c r="K63" s="142">
        <f t="shared" si="10"/>
        <v>-7.5555762330877981E-6</v>
      </c>
      <c r="L63" s="142">
        <f t="shared" si="11"/>
        <v>1.5858776935734561E-3</v>
      </c>
      <c r="N63" s="144">
        <f t="shared" si="17"/>
        <v>251.03270710393991</v>
      </c>
      <c r="O63" s="142">
        <f t="shared" si="14"/>
        <v>3.9835446605208727E-3</v>
      </c>
      <c r="P63" s="398">
        <f t="shared" si="12"/>
        <v>0.81976433877381083</v>
      </c>
      <c r="Q63" s="514">
        <f t="shared" si="15"/>
        <v>0.59092999038562743</v>
      </c>
      <c r="R63" s="142">
        <f t="shared" si="16"/>
        <v>19424.332418530837</v>
      </c>
    </row>
    <row r="64" spans="1:18" s="146" customFormat="1" x14ac:dyDescent="0.15">
      <c r="A64" s="145">
        <f t="shared" si="3"/>
        <v>1.1754495918372394E-3</v>
      </c>
      <c r="B64" s="145">
        <f t="shared" si="4"/>
        <v>1.0237737963189706E-3</v>
      </c>
      <c r="C64" s="145">
        <f t="shared" si="5"/>
        <v>7.7661184379006731E-7</v>
      </c>
      <c r="D64" s="146">
        <f t="shared" si="0"/>
        <v>1.5848931924611111E-6</v>
      </c>
      <c r="E64" s="145">
        <f t="shared" si="6"/>
        <v>3.8018939632056113E-8</v>
      </c>
      <c r="F64" s="141">
        <v>5.8</v>
      </c>
      <c r="H64" s="142">
        <f t="shared" si="7"/>
        <v>-8.775138974289737E-4</v>
      </c>
      <c r="I64" s="142">
        <f t="shared" si="8"/>
        <v>-5.7398985138952768E-4</v>
      </c>
      <c r="J64" s="142">
        <f t="shared" si="9"/>
        <v>1.5769499101138682E-6</v>
      </c>
      <c r="K64" s="142">
        <f t="shared" si="10"/>
        <v>-7.5477568106597622E-6</v>
      </c>
      <c r="L64" s="142">
        <f t="shared" si="11"/>
        <v>1.460628455539275E-3</v>
      </c>
      <c r="N64" s="144">
        <f t="shared" si="17"/>
        <v>272.55882154268522</v>
      </c>
      <c r="O64" s="142">
        <f t="shared" si="14"/>
        <v>3.6689327989458992E-3</v>
      </c>
      <c r="P64" s="398">
        <f t="shared" si="12"/>
        <v>0.8047560537243228</v>
      </c>
      <c r="Q64" s="514">
        <f t="shared" si="15"/>
        <v>0.53429526901692703</v>
      </c>
      <c r="R64" s="142">
        <f t="shared" si="16"/>
        <v>21483.29067268236</v>
      </c>
    </row>
    <row r="65" spans="1:18" s="146" customFormat="1" x14ac:dyDescent="0.15">
      <c r="A65" s="145">
        <f t="shared" si="3"/>
        <v>1.0488550360286349E-3</v>
      </c>
      <c r="B65" s="145">
        <f t="shared" si="4"/>
        <v>1.1500466779203725E-3</v>
      </c>
      <c r="C65" s="145">
        <f t="shared" si="5"/>
        <v>1.0982860509925406E-6</v>
      </c>
      <c r="D65" s="146">
        <f t="shared" si="0"/>
        <v>1.2589254117941642E-6</v>
      </c>
      <c r="E65" s="145">
        <f t="shared" si="6"/>
        <v>4.7863009232263782E-8</v>
      </c>
      <c r="F65" s="141">
        <v>5.9</v>
      </c>
      <c r="H65" s="142">
        <f t="shared" si="7"/>
        <v>-7.5124101582757182E-4</v>
      </c>
      <c r="I65" s="142">
        <f t="shared" si="8"/>
        <v>-5.7334650297512267E-4</v>
      </c>
      <c r="J65" s="142">
        <f t="shared" si="9"/>
        <v>1.2509821294469213E-6</v>
      </c>
      <c r="K65" s="142">
        <f t="shared" si="10"/>
        <v>-7.5379127410595547E-6</v>
      </c>
      <c r="L65" s="142">
        <f t="shared" si="11"/>
        <v>1.333376413673201E-3</v>
      </c>
      <c r="N65" s="144">
        <f t="shared" si="17"/>
        <v>298.57073101869781</v>
      </c>
      <c r="O65" s="142">
        <f t="shared" si="14"/>
        <v>3.3492901216006185E-3</v>
      </c>
      <c r="P65" s="398">
        <f t="shared" si="12"/>
        <v>0.78661586126248983</v>
      </c>
      <c r="Q65" s="514">
        <f t="shared" si="15"/>
        <v>0.47675228910392498</v>
      </c>
      <c r="R65" s="142">
        <f t="shared" si="16"/>
        <v>24076.277831625754</v>
      </c>
    </row>
    <row r="66" spans="1:18" s="146" customFormat="1" x14ac:dyDescent="0.15">
      <c r="A66" s="145">
        <f t="shared" si="3"/>
        <v>9.2357661619247905E-4</v>
      </c>
      <c r="B66" s="145">
        <f t="shared" si="4"/>
        <v>1.2748906281472726E-3</v>
      </c>
      <c r="C66" s="145">
        <f t="shared" si="5"/>
        <v>1.5327556602485191E-6</v>
      </c>
      <c r="D66" s="146">
        <f t="shared" si="0"/>
        <v>9.9999999999999995E-7</v>
      </c>
      <c r="E66" s="145">
        <f t="shared" si="6"/>
        <v>6.0255958607435649E-8</v>
      </c>
      <c r="F66" s="141">
        <v>6</v>
      </c>
      <c r="H66" s="142">
        <f t="shared" si="7"/>
        <v>-6.263970656006717E-4</v>
      </c>
      <c r="I66" s="142">
        <f t="shared" si="8"/>
        <v>-5.7247756375661079E-4</v>
      </c>
      <c r="J66" s="142">
        <f t="shared" si="9"/>
        <v>9.9205671765275705E-7</v>
      </c>
      <c r="K66" s="142">
        <f t="shared" si="10"/>
        <v>-7.5255197916843828E-6</v>
      </c>
      <c r="L66" s="142">
        <f t="shared" si="11"/>
        <v>1.2073922058666194E-3</v>
      </c>
      <c r="N66" s="144">
        <f t="shared" si="17"/>
        <v>329.72481404064661</v>
      </c>
      <c r="O66" s="142">
        <f t="shared" si="14"/>
        <v>3.0328320994267833E-3</v>
      </c>
      <c r="P66" s="398">
        <f t="shared" si="12"/>
        <v>0.76493504902955001</v>
      </c>
      <c r="Q66" s="514">
        <f t="shared" si="15"/>
        <v>0.41980755281476317</v>
      </c>
      <c r="R66" s="142">
        <f t="shared" si="16"/>
        <v>27342.101142221291</v>
      </c>
    </row>
    <row r="67" spans="1:18" s="146" customFormat="1" x14ac:dyDescent="0.15">
      <c r="A67" s="145">
        <f t="shared" si="3"/>
        <v>8.0279340086896888E-4</v>
      </c>
      <c r="B67" s="145">
        <f t="shared" si="4"/>
        <v>1.3950950373446207E-3</v>
      </c>
      <c r="C67" s="145">
        <f t="shared" si="5"/>
        <v>2.1115617864104831E-6</v>
      </c>
      <c r="D67" s="146">
        <f t="shared" si="0"/>
        <v>7.9432823472428114E-7</v>
      </c>
      <c r="E67" s="145">
        <f t="shared" si="6"/>
        <v>7.5857757502918145E-8</v>
      </c>
      <c r="F67" s="141">
        <v>6.1</v>
      </c>
      <c r="H67" s="142">
        <f t="shared" si="7"/>
        <v>-5.0619265640332355E-4</v>
      </c>
      <c r="I67" s="142">
        <f t="shared" si="8"/>
        <v>-5.7131995150428686E-4</v>
      </c>
      <c r="J67" s="142">
        <f t="shared" si="9"/>
        <v>7.8638495237703834E-7</v>
      </c>
      <c r="K67" s="142">
        <f t="shared" si="10"/>
        <v>-7.5099179927889001E-6</v>
      </c>
      <c r="L67" s="142">
        <f t="shared" si="11"/>
        <v>1.0858089108527764E-3</v>
      </c>
      <c r="N67" s="144">
        <f t="shared" si="17"/>
        <v>366.64570218053416</v>
      </c>
      <c r="O67" s="142">
        <f t="shared" si="14"/>
        <v>2.7274286703832845E-3</v>
      </c>
      <c r="P67" s="398">
        <f t="shared" si="12"/>
        <v>0.73935053658609984</v>
      </c>
      <c r="Q67" s="514">
        <f t="shared" si="15"/>
        <v>0.36490609130407675</v>
      </c>
      <c r="R67" s="142">
        <f t="shared" si="16"/>
        <v>31455.820669665602</v>
      </c>
    </row>
    <row r="68" spans="1:18" s="146" customFormat="1" x14ac:dyDescent="0.15">
      <c r="A68" s="145">
        <f t="shared" si="3"/>
        <v>6.8923810389669702E-4</v>
      </c>
      <c r="B68" s="145">
        <f t="shared" si="4"/>
        <v>1.5078886734689464E-3</v>
      </c>
      <c r="C68" s="145">
        <f t="shared" si="5"/>
        <v>2.8732226343567898E-6</v>
      </c>
      <c r="D68" s="146">
        <f t="shared" si="0"/>
        <v>6.3095734448019254E-7</v>
      </c>
      <c r="E68" s="145">
        <f t="shared" si="6"/>
        <v>9.5499258602143212E-8</v>
      </c>
      <c r="F68" s="141">
        <v>6.2</v>
      </c>
      <c r="H68" s="142">
        <f t="shared" si="7"/>
        <v>-3.9339902027899789E-4</v>
      </c>
      <c r="I68" s="142">
        <f t="shared" si="8"/>
        <v>-5.6979662980839426E-4</v>
      </c>
      <c r="J68" s="142">
        <f t="shared" si="9"/>
        <v>6.2301406213294974E-7</v>
      </c>
      <c r="K68" s="142">
        <f t="shared" si="10"/>
        <v>-7.4902764916896759E-6</v>
      </c>
      <c r="L68" s="142">
        <f t="shared" si="11"/>
        <v>9.713089406412147E-4</v>
      </c>
      <c r="N68" s="144">
        <f t="shared" si="17"/>
        <v>409.8666797926154</v>
      </c>
      <c r="O68" s="142">
        <f t="shared" si="14"/>
        <v>2.4398177488006117E-3</v>
      </c>
      <c r="P68" s="398">
        <f t="shared" si="12"/>
        <v>0.70959719926153764</v>
      </c>
      <c r="Q68" s="514">
        <f t="shared" si="15"/>
        <v>0.31329004722577136</v>
      </c>
      <c r="R68" s="142">
        <f t="shared" si="16"/>
        <v>36638.318615521734</v>
      </c>
    </row>
    <row r="69" spans="1:18" s="146" customFormat="1" x14ac:dyDescent="0.15">
      <c r="A69" s="145">
        <f t="shared" si="3"/>
        <v>5.8497637543029673E-4</v>
      </c>
      <c r="B69" s="145">
        <f t="shared" si="4"/>
        <v>1.6111587239848431E-3</v>
      </c>
      <c r="C69" s="145">
        <f t="shared" si="5"/>
        <v>3.8649005848602785E-6</v>
      </c>
      <c r="D69" s="146">
        <f t="shared" si="0"/>
        <v>5.0118723362727218E-7</v>
      </c>
      <c r="E69" s="145">
        <f t="shared" si="6"/>
        <v>1.202264434617409E-7</v>
      </c>
      <c r="F69" s="141">
        <v>6.3</v>
      </c>
      <c r="H69" s="142">
        <f t="shared" si="7"/>
        <v>-2.9012896976310116E-4</v>
      </c>
      <c r="I69" s="142">
        <f t="shared" si="8"/>
        <v>-5.6781327390738724E-4</v>
      </c>
      <c r="J69" s="142">
        <f t="shared" si="9"/>
        <v>4.9324395128002938E-7</v>
      </c>
      <c r="K69" s="142">
        <f t="shared" si="10"/>
        <v>-7.4655493068300777E-6</v>
      </c>
      <c r="L69" s="142">
        <f t="shared" si="11"/>
        <v>8.659010369285985E-4</v>
      </c>
      <c r="N69" s="144">
        <f t="shared" si="17"/>
        <v>459.76058876844235</v>
      </c>
      <c r="O69" s="142">
        <f t="shared" si="14"/>
        <v>2.175045065691023E-3</v>
      </c>
      <c r="P69" s="398">
        <f t="shared" si="12"/>
        <v>0.67556955181072664</v>
      </c>
      <c r="Q69" s="514">
        <f t="shared" si="15"/>
        <v>0.26589835246831667</v>
      </c>
      <c r="R69" s="142">
        <f t="shared" si="16"/>
        <v>43168.453143000879</v>
      </c>
    </row>
    <row r="70" spans="1:18" s="146" customFormat="1" x14ac:dyDescent="0.15">
      <c r="A70" s="145">
        <f t="shared" si="3"/>
        <v>4.9130833240399114E-4</v>
      </c>
      <c r="B70" s="145">
        <f t="shared" si="4"/>
        <v>1.7035470377884541E-3</v>
      </c>
      <c r="C70" s="145">
        <f t="shared" si="5"/>
        <v>5.1446298075550133E-6</v>
      </c>
      <c r="D70" s="146">
        <f t="shared" ref="D70:D133" si="18">10^(-F70)</f>
        <v>3.9810717055349618E-7</v>
      </c>
      <c r="E70" s="145">
        <f t="shared" si="6"/>
        <v>1.5135612484362072E-7</v>
      </c>
      <c r="F70" s="141">
        <v>6.4</v>
      </c>
      <c r="H70" s="142">
        <f t="shared" si="7"/>
        <v>-1.9774065595949014E-4</v>
      </c>
      <c r="I70" s="142">
        <f t="shared" si="8"/>
        <v>-5.6525381546199778E-4</v>
      </c>
      <c r="J70" s="142">
        <f t="shared" si="9"/>
        <v>3.9016388820625339E-7</v>
      </c>
      <c r="K70" s="142">
        <f t="shared" si="10"/>
        <v>-7.434419625448198E-6</v>
      </c>
      <c r="L70" s="142">
        <f t="shared" si="11"/>
        <v>7.7081905493514233E-4</v>
      </c>
      <c r="N70" s="144">
        <f t="shared" si="17"/>
        <v>516.47292319076678</v>
      </c>
      <c r="O70" s="142">
        <f t="shared" si="14"/>
        <v>1.9362099252406219E-3</v>
      </c>
      <c r="P70" s="398">
        <f t="shared" si="12"/>
        <v>0.63738477825425632</v>
      </c>
      <c r="Q70" s="514">
        <f t="shared" ref="Q70:Q101" si="19">A70/DIC_concentration</f>
        <v>0.22332196927454143</v>
      </c>
      <c r="R70" s="142">
        <f t="shared" ref="R70:R101" si="20">1/(molar_mass*mc_efficiency*A70)</f>
        <v>51398.528351765679</v>
      </c>
    </row>
    <row r="71" spans="1:18" s="146" customFormat="1" x14ac:dyDescent="0.15">
      <c r="A71" s="145">
        <f t="shared" ref="A71:A134" si="21">$B$2/(1+($E$2/D71)+($E$2*$H$2/D71^2))</f>
        <v>4.0878864432056396E-4</v>
      </c>
      <c r="B71" s="145">
        <f t="shared" ref="B71:B134" si="22">$B$2/(1+(D71/$E$2)+($H$2/D71))</f>
        <v>1.7844271528592007E-3</v>
      </c>
      <c r="C71" s="145">
        <f t="shared" ref="C71:C134" si="23">$B$2/(1+(D71/$H$2)+(D71^2/($E$2*$H$2)))</f>
        <v>6.7842028202355843E-6</v>
      </c>
      <c r="D71" s="146">
        <f t="shared" si="18"/>
        <v>3.1622776601683734E-7</v>
      </c>
      <c r="E71" s="145">
        <f t="shared" ref="E71:E134" si="24">10^(-(13.22+LOG(D71)))</f>
        <v>1.9054607179632443E-7</v>
      </c>
      <c r="F71" s="141">
        <v>6.5</v>
      </c>
      <c r="H71" s="142">
        <f t="shared" ref="H71:H134" si="25">B71-$B$87</f>
        <v>-1.1686054088874361E-4</v>
      </c>
      <c r="I71" s="142">
        <f t="shared" ref="I71:I87" si="26">2*(C71-$C$87)</f>
        <v>-5.6197466943663668E-4</v>
      </c>
      <c r="J71" s="142">
        <f t="shared" ref="J71:J134" si="27">D71-$D$87</f>
        <v>3.0828448366959454E-7</v>
      </c>
      <c r="K71" s="142">
        <f t="shared" ref="K71:K134" si="28">E71-$E$87</f>
        <v>-7.3952296784954942E-6</v>
      </c>
      <c r="L71" s="142">
        <f t="shared" ref="L71:L134" si="29">J71-(H71+I71+K71)</f>
        <v>6.8653872448754536E-4</v>
      </c>
      <c r="N71" s="144">
        <f t="shared" si="17"/>
        <v>579.87576862566232</v>
      </c>
      <c r="O71" s="142">
        <f t="shared" si="14"/>
        <v>1.7245073067461594E-3</v>
      </c>
      <c r="P71" s="398">
        <f t="shared" ref="P71:P134" si="30">A71/L71</f>
        <v>0.59543421185119161</v>
      </c>
      <c r="Q71" s="514">
        <f t="shared" si="19"/>
        <v>0.18581302014571088</v>
      </c>
      <c r="R71" s="142">
        <f t="shared" si="20"/>
        <v>61774.038010514603</v>
      </c>
    </row>
    <row r="72" spans="1:18" s="146" customFormat="1" x14ac:dyDescent="0.15">
      <c r="A72" s="145">
        <f t="shared" si="21"/>
        <v>3.3733476672410403E-4</v>
      </c>
      <c r="B72" s="145">
        <f t="shared" si="22"/>
        <v>1.8537924248812172E-3</v>
      </c>
      <c r="C72" s="145">
        <f t="shared" si="23"/>
        <v>8.8728083946790516E-6</v>
      </c>
      <c r="D72" s="146">
        <f t="shared" si="18"/>
        <v>2.511886431509578E-7</v>
      </c>
      <c r="E72" s="145">
        <f t="shared" si="24"/>
        <v>2.3988329190194845E-7</v>
      </c>
      <c r="F72" s="141">
        <v>6.6</v>
      </c>
      <c r="H72" s="142">
        <f t="shared" si="25"/>
        <v>-4.7495268866727105E-5</v>
      </c>
      <c r="I72" s="142">
        <f t="shared" si="26"/>
        <v>-5.5779745828774972E-4</v>
      </c>
      <c r="J72" s="142">
        <f t="shared" si="27"/>
        <v>2.4324536080371501E-7</v>
      </c>
      <c r="K72" s="142">
        <f t="shared" si="28"/>
        <v>-7.3458924583898704E-6</v>
      </c>
      <c r="L72" s="142">
        <f t="shared" si="29"/>
        <v>6.128818649736705E-4</v>
      </c>
      <c r="N72" s="144">
        <f t="shared" si="17"/>
        <v>649.5659168681716</v>
      </c>
      <c r="O72" s="142">
        <f t="shared" si="14"/>
        <v>1.5394896407456497E-3</v>
      </c>
      <c r="P72" s="398">
        <f t="shared" si="30"/>
        <v>0.55040748634093783</v>
      </c>
      <c r="Q72" s="514">
        <f t="shared" si="19"/>
        <v>0.15333398487459274</v>
      </c>
      <c r="R72" s="142">
        <f t="shared" si="20"/>
        <v>74858.946493287294</v>
      </c>
    </row>
    <row r="73" spans="1:18" s="146" customFormat="1" x14ac:dyDescent="0.15">
      <c r="A73" s="145">
        <f t="shared" si="21"/>
        <v>2.7638202594983466E-4</v>
      </c>
      <c r="B73" s="145">
        <f t="shared" si="22"/>
        <v>1.9120964535741666E-3</v>
      </c>
      <c r="C73" s="145">
        <f t="shared" si="23"/>
        <v>1.152152047599899E-5</v>
      </c>
      <c r="D73" s="146">
        <f t="shared" si="18"/>
        <v>1.9952623149688761E-7</v>
      </c>
      <c r="E73" s="145">
        <f t="shared" si="24"/>
        <v>3.0199517204020165E-7</v>
      </c>
      <c r="F73" s="141">
        <v>6.7</v>
      </c>
      <c r="H73" s="142">
        <f t="shared" si="25"/>
        <v>1.0808759826222295E-5</v>
      </c>
      <c r="I73" s="142">
        <f t="shared" si="26"/>
        <v>-5.5250003412510979E-4</v>
      </c>
      <c r="J73" s="142">
        <f t="shared" si="27"/>
        <v>1.9158294914964481E-7</v>
      </c>
      <c r="K73" s="142">
        <f t="shared" si="28"/>
        <v>-7.2837805782516172E-6</v>
      </c>
      <c r="L73" s="142">
        <f t="shared" si="29"/>
        <v>5.4916663782628877E-4</v>
      </c>
      <c r="N73" s="144">
        <f t="shared" si="17"/>
        <v>724.92963543685914</v>
      </c>
      <c r="O73" s="142">
        <f t="shared" si="14"/>
        <v>1.3794442261935908E-3</v>
      </c>
      <c r="P73" s="398">
        <f t="shared" si="30"/>
        <v>0.50327533923730317</v>
      </c>
      <c r="Q73" s="514">
        <f t="shared" si="19"/>
        <v>0.1256281936135612</v>
      </c>
      <c r="R73" s="142">
        <f t="shared" si="20"/>
        <v>91368.189250876865</v>
      </c>
    </row>
    <row r="74" spans="1:18" s="146" customFormat="1" x14ac:dyDescent="0.15">
      <c r="A74" s="145">
        <f t="shared" si="21"/>
        <v>2.2504770193116453E-4</v>
      </c>
      <c r="B74" s="145">
        <f t="shared" si="22"/>
        <v>1.960083543853327E-3</v>
      </c>
      <c r="C74" s="145">
        <f t="shared" si="23"/>
        <v>1.4868754215508666E-5</v>
      </c>
      <c r="D74" s="146">
        <f t="shared" si="18"/>
        <v>1.5848931924611122E-7</v>
      </c>
      <c r="E74" s="145">
        <f t="shared" si="24"/>
        <v>3.8018939632056089E-7</v>
      </c>
      <c r="F74" s="141">
        <v>6.8</v>
      </c>
      <c r="H74" s="142">
        <f t="shared" si="25"/>
        <v>5.8795850105382731E-5</v>
      </c>
      <c r="I74" s="142">
        <f t="shared" si="26"/>
        <v>-5.4580556664609052E-4</v>
      </c>
      <c r="J74" s="142">
        <f t="shared" si="27"/>
        <v>1.505460368988684E-7</v>
      </c>
      <c r="K74" s="142">
        <f t="shared" si="28"/>
        <v>-7.205586353971258E-6</v>
      </c>
      <c r="L74" s="142">
        <f t="shared" si="29"/>
        <v>4.9436584893157789E-4</v>
      </c>
      <c r="N74" s="144">
        <f t="shared" ref="N74:N87" si="31">10^(-acid_pH)/L74</f>
        <v>805.28857608972248</v>
      </c>
      <c r="O74" s="142">
        <f t="shared" si="14"/>
        <v>1.2417908681329455E-3</v>
      </c>
      <c r="P74" s="398">
        <f t="shared" si="30"/>
        <v>0.4552250168929286</v>
      </c>
      <c r="Q74" s="514">
        <f t="shared" si="19"/>
        <v>0.10229440996871114</v>
      </c>
      <c r="R74" s="142">
        <f t="shared" si="20"/>
        <v>112209.65615658344</v>
      </c>
    </row>
    <row r="75" spans="1:18" s="146" customFormat="1" x14ac:dyDescent="0.15">
      <c r="A75" s="145">
        <f t="shared" si="21"/>
        <v>1.822777202771047E-4</v>
      </c>
      <c r="B75" s="145">
        <f t="shared" si="22"/>
        <v>1.9986354592653162E-3</v>
      </c>
      <c r="C75" s="145">
        <f t="shared" si="23"/>
        <v>1.9086820457579276E-5</v>
      </c>
      <c r="D75" s="146">
        <f t="shared" si="18"/>
        <v>1.2589254117941651E-7</v>
      </c>
      <c r="E75" s="145">
        <f t="shared" si="24"/>
        <v>4.7863009232263745E-7</v>
      </c>
      <c r="F75" s="141">
        <v>6.9</v>
      </c>
      <c r="H75" s="142">
        <f t="shared" si="25"/>
        <v>9.7347765517371947E-5</v>
      </c>
      <c r="I75" s="142">
        <f t="shared" si="26"/>
        <v>-5.3736943416194923E-4</v>
      </c>
      <c r="J75" s="142">
        <f t="shared" si="27"/>
        <v>1.179492588321737E-7</v>
      </c>
      <c r="K75" s="142">
        <f t="shared" si="28"/>
        <v>-7.1071456579691811E-6</v>
      </c>
      <c r="L75" s="142">
        <f t="shared" si="29"/>
        <v>4.4724676356137867E-4</v>
      </c>
      <c r="N75" s="144">
        <f t="shared" si="31"/>
        <v>890.1286783685407</v>
      </c>
      <c r="O75" s="142">
        <f t="shared" ref="O75:O86" si="32">1/N75</f>
        <v>1.1234330769264004E-3</v>
      </c>
      <c r="P75" s="398">
        <f t="shared" si="30"/>
        <v>0.40755514657198744</v>
      </c>
      <c r="Q75" s="514">
        <f t="shared" si="19"/>
        <v>8.2853509216865767E-2</v>
      </c>
      <c r="R75" s="142">
        <f t="shared" si="20"/>
        <v>138538.73756011168</v>
      </c>
    </row>
    <row r="76" spans="1:18" s="146" customFormat="1" x14ac:dyDescent="0.15">
      <c r="A76" s="145">
        <f t="shared" si="21"/>
        <v>1.4696253814643553E-4</v>
      </c>
      <c r="B76" s="145">
        <f t="shared" si="22"/>
        <v>2.0286477514344027E-3</v>
      </c>
      <c r="C76" s="145">
        <f t="shared" si="23"/>
        <v>2.4389710419161683E-5</v>
      </c>
      <c r="D76" s="146">
        <f t="shared" si="18"/>
        <v>9.9999999999999995E-8</v>
      </c>
      <c r="E76" s="145">
        <f t="shared" si="24"/>
        <v>6.0255958607435604E-7</v>
      </c>
      <c r="F76" s="141">
        <v>7</v>
      </c>
      <c r="H76" s="142">
        <f t="shared" si="25"/>
        <v>1.2736005768645845E-4</v>
      </c>
      <c r="I76" s="142">
        <f t="shared" si="26"/>
        <v>-5.2676365423878443E-4</v>
      </c>
      <c r="J76" s="142">
        <f t="shared" si="27"/>
        <v>9.2056717652757187E-8</v>
      </c>
      <c r="K76" s="142">
        <f t="shared" si="28"/>
        <v>-6.9832161642174622E-6</v>
      </c>
      <c r="L76" s="142">
        <f t="shared" si="29"/>
        <v>4.0647886943419618E-4</v>
      </c>
      <c r="N76" s="144">
        <f t="shared" si="31"/>
        <v>979.40434421018722</v>
      </c>
      <c r="O76" s="142">
        <f t="shared" si="32"/>
        <v>1.0210287568271116E-3</v>
      </c>
      <c r="P76" s="398">
        <f t="shared" si="30"/>
        <v>0.36155025315584555</v>
      </c>
      <c r="Q76" s="514">
        <f t="shared" si="19"/>
        <v>6.6801153702925234E-2</v>
      </c>
      <c r="R76" s="142">
        <f t="shared" si="20"/>
        <v>171829.67558278888</v>
      </c>
    </row>
    <row r="77" spans="1:18" s="146" customFormat="1" x14ac:dyDescent="0.15">
      <c r="A77" s="145">
        <f t="shared" si="21"/>
        <v>1.1801919741954853E-4</v>
      </c>
      <c r="B77" s="145">
        <f t="shared" si="22"/>
        <v>2.0509385908402699E-3</v>
      </c>
      <c r="C77" s="145">
        <f t="shared" si="23"/>
        <v>3.1042211740181939E-5</v>
      </c>
      <c r="D77" s="146">
        <f t="shared" si="18"/>
        <v>7.943282347242818E-8</v>
      </c>
      <c r="E77" s="145">
        <f t="shared" si="24"/>
        <v>7.5857757502918092E-7</v>
      </c>
      <c r="F77" s="141">
        <v>7.1</v>
      </c>
      <c r="H77" s="142">
        <f t="shared" si="25"/>
        <v>1.4965089709232564E-4</v>
      </c>
      <c r="I77" s="142">
        <f t="shared" si="26"/>
        <v>-5.1345865159674396E-4</v>
      </c>
      <c r="J77" s="142">
        <f t="shared" si="27"/>
        <v>7.1489541125185371E-8</v>
      </c>
      <c r="K77" s="142">
        <f t="shared" si="28"/>
        <v>-6.8271981752626381E-6</v>
      </c>
      <c r="L77" s="142">
        <f t="shared" si="29"/>
        <v>3.7070644222080614E-4</v>
      </c>
      <c r="N77" s="144">
        <f t="shared" si="31"/>
        <v>1073.9148965648949</v>
      </c>
      <c r="O77" s="142">
        <f t="shared" si="32"/>
        <v>9.3117248228763319E-4</v>
      </c>
      <c r="P77" s="398">
        <f t="shared" si="30"/>
        <v>0.31836295240116719</v>
      </c>
      <c r="Q77" s="514">
        <f t="shared" si="19"/>
        <v>5.3645089736158419E-2</v>
      </c>
      <c r="R77" s="142">
        <f t="shared" si="20"/>
        <v>213969.64057258083</v>
      </c>
    </row>
    <row r="78" spans="1:18" s="146" customFormat="1" x14ac:dyDescent="0.15">
      <c r="A78" s="145">
        <f t="shared" si="21"/>
        <v>9.4442952534270049E-5</v>
      </c>
      <c r="B78" s="145">
        <f t="shared" si="22"/>
        <v>2.0661866720696506E-3</v>
      </c>
      <c r="C78" s="145">
        <f t="shared" si="23"/>
        <v>3.9370375396079379E-5</v>
      </c>
      <c r="D78" s="146">
        <f t="shared" si="18"/>
        <v>6.3095734448019177E-8</v>
      </c>
      <c r="E78" s="145">
        <f t="shared" si="24"/>
        <v>9.5499258602143498E-7</v>
      </c>
      <c r="F78" s="141">
        <v>7.2</v>
      </c>
      <c r="H78" s="142">
        <f t="shared" si="25"/>
        <v>1.6489897832170633E-4</v>
      </c>
      <c r="I78" s="142">
        <f t="shared" si="26"/>
        <v>-4.9680232428494901E-4</v>
      </c>
      <c r="J78" s="142">
        <f t="shared" si="27"/>
        <v>5.5152452100776369E-8</v>
      </c>
      <c r="K78" s="142">
        <f t="shared" si="28"/>
        <v>-6.6307831642703835E-6</v>
      </c>
      <c r="L78" s="142">
        <f t="shared" si="29"/>
        <v>3.3858928157961388E-4</v>
      </c>
      <c r="N78" s="144">
        <f t="shared" si="31"/>
        <v>1175.7819642022207</v>
      </c>
      <c r="O78" s="142">
        <f t="shared" si="32"/>
        <v>8.5049782225440885E-4</v>
      </c>
      <c r="P78" s="398">
        <f t="shared" si="30"/>
        <v>0.27893072129651358</v>
      </c>
      <c r="Q78" s="514">
        <f t="shared" si="19"/>
        <v>4.2928614788304564E-2</v>
      </c>
      <c r="R78" s="142">
        <f t="shared" si="20"/>
        <v>267383.90292660531</v>
      </c>
    </row>
    <row r="79" spans="1:18" s="146" customFormat="1" x14ac:dyDescent="0.15">
      <c r="A79" s="145">
        <f t="shared" si="21"/>
        <v>7.5334776236351584E-5</v>
      </c>
      <c r="B79" s="145">
        <f t="shared" si="22"/>
        <v>2.0748920306971723E-3</v>
      </c>
      <c r="C79" s="145">
        <f t="shared" si="23"/>
        <v>4.9773193066475831E-5</v>
      </c>
      <c r="D79" s="146">
        <f t="shared" si="18"/>
        <v>5.0118723362727164E-8</v>
      </c>
      <c r="E79" s="145">
        <f t="shared" si="24"/>
        <v>1.2022644346174125E-6</v>
      </c>
      <c r="F79" s="141">
        <v>7.3</v>
      </c>
      <c r="H79" s="142">
        <f t="shared" si="25"/>
        <v>1.7360433694922801E-4</v>
      </c>
      <c r="I79" s="142">
        <f t="shared" si="26"/>
        <v>-4.7599668894415613E-4</v>
      </c>
      <c r="J79" s="142">
        <f t="shared" si="27"/>
        <v>4.2175441015484355E-8</v>
      </c>
      <c r="K79" s="142">
        <f t="shared" si="28"/>
        <v>-6.3835113156744064E-6</v>
      </c>
      <c r="L79" s="142">
        <f t="shared" si="29"/>
        <v>3.08818038751618E-4</v>
      </c>
      <c r="N79" s="144">
        <f t="shared" si="31"/>
        <v>1289.131853057633</v>
      </c>
      <c r="O79" s="142">
        <f t="shared" si="32"/>
        <v>7.7571584134558907E-4</v>
      </c>
      <c r="P79" s="398">
        <f t="shared" si="30"/>
        <v>0.24394551736967432</v>
      </c>
      <c r="Q79" s="514">
        <f t="shared" si="19"/>
        <v>3.4243080107432537E-2</v>
      </c>
      <c r="R79" s="142">
        <f t="shared" si="20"/>
        <v>335204.09184331069</v>
      </c>
    </row>
    <row r="80" spans="1:18" s="146" customFormat="1" x14ac:dyDescent="0.15">
      <c r="A80" s="145">
        <f t="shared" si="21"/>
        <v>5.9911526589954445E-5</v>
      </c>
      <c r="B80" s="145">
        <f t="shared" si="22"/>
        <v>2.0773534035603935E-3</v>
      </c>
      <c r="C80" s="145">
        <f t="shared" si="23"/>
        <v>6.2735069849652173E-5</v>
      </c>
      <c r="D80" s="146">
        <f t="shared" si="18"/>
        <v>3.981071705534957E-8</v>
      </c>
      <c r="E80" s="145">
        <f t="shared" si="24"/>
        <v>1.5135612484362091E-6</v>
      </c>
      <c r="F80" s="141">
        <v>7.4</v>
      </c>
      <c r="H80" s="142">
        <f t="shared" si="25"/>
        <v>1.7606570981244926E-4</v>
      </c>
      <c r="I80" s="142">
        <f t="shared" si="26"/>
        <v>-4.5007293537780346E-4</v>
      </c>
      <c r="J80" s="142">
        <f t="shared" si="27"/>
        <v>3.1867434708106762E-8</v>
      </c>
      <c r="K80" s="142">
        <f t="shared" si="28"/>
        <v>-6.0722145018556092E-6</v>
      </c>
      <c r="L80" s="142">
        <f t="shared" si="29"/>
        <v>2.8011130750191791E-4</v>
      </c>
      <c r="N80" s="144">
        <f t="shared" si="31"/>
        <v>1421.2463399064009</v>
      </c>
      <c r="O80" s="142">
        <f t="shared" si="32"/>
        <v>7.0360779262647539E-4</v>
      </c>
      <c r="P80" s="398">
        <f t="shared" si="30"/>
        <v>0.21388471291736139</v>
      </c>
      <c r="Q80" s="514">
        <f t="shared" si="19"/>
        <v>2.7232512086342926E-2</v>
      </c>
      <c r="R80" s="142">
        <f t="shared" si="20"/>
        <v>421496.94207190216</v>
      </c>
    </row>
    <row r="81" spans="1:18" s="146" customFormat="1" x14ac:dyDescent="0.15">
      <c r="A81" s="145">
        <f t="shared" si="21"/>
        <v>4.7504737922952585E-5</v>
      </c>
      <c r="B81" s="145">
        <f t="shared" si="22"/>
        <v>2.0736570209788623E-3</v>
      </c>
      <c r="C81" s="145">
        <f t="shared" si="23"/>
        <v>7.8838241098184934E-5</v>
      </c>
      <c r="D81" s="146">
        <f t="shared" si="18"/>
        <v>3.1622776601683699E-8</v>
      </c>
      <c r="E81" s="145">
        <f t="shared" si="24"/>
        <v>1.9054607179632462E-6</v>
      </c>
      <c r="F81" s="141">
        <v>7.5</v>
      </c>
      <c r="H81" s="142">
        <f t="shared" si="25"/>
        <v>1.7236932723091805E-4</v>
      </c>
      <c r="I81" s="142">
        <f t="shared" si="26"/>
        <v>-4.1786659288073791E-4</v>
      </c>
      <c r="J81" s="142">
        <f t="shared" si="27"/>
        <v>2.3679494254440891E-8</v>
      </c>
      <c r="K81" s="142">
        <f t="shared" si="28"/>
        <v>-5.6803150323285725E-6</v>
      </c>
      <c r="L81" s="142">
        <f t="shared" si="29"/>
        <v>2.5120126017640288E-4</v>
      </c>
      <c r="N81" s="144">
        <f t="shared" si="31"/>
        <v>1584.8135884108683</v>
      </c>
      <c r="O81" s="142">
        <f t="shared" si="32"/>
        <v>6.3098903701521434E-4</v>
      </c>
      <c r="P81" s="398">
        <f t="shared" si="30"/>
        <v>0.18911026915069212</v>
      </c>
      <c r="Q81" s="514">
        <f t="shared" si="19"/>
        <v>2.1593062692251173E-2</v>
      </c>
      <c r="R81" s="142">
        <f t="shared" si="20"/>
        <v>531579.08782660903</v>
      </c>
    </row>
    <row r="82" spans="1:18" s="146" customFormat="1" x14ac:dyDescent="0.15">
      <c r="A82" s="145">
        <f t="shared" si="21"/>
        <v>3.7552687672637762E-5</v>
      </c>
      <c r="B82" s="145">
        <f t="shared" si="22"/>
        <v>2.0636736799323789E-3</v>
      </c>
      <c r="C82" s="145">
        <f t="shared" si="23"/>
        <v>9.8773632394983532E-5</v>
      </c>
      <c r="D82" s="146">
        <f t="shared" si="18"/>
        <v>2.5118864315095751E-8</v>
      </c>
      <c r="E82" s="145">
        <f t="shared" si="24"/>
        <v>2.3988329190194872E-6</v>
      </c>
      <c r="F82" s="141">
        <v>7.6</v>
      </c>
      <c r="H82" s="142">
        <f t="shared" si="25"/>
        <v>1.623859861844346E-4</v>
      </c>
      <c r="I82" s="142">
        <f t="shared" si="26"/>
        <v>-3.7799581028714077E-4</v>
      </c>
      <c r="J82" s="142">
        <f t="shared" si="27"/>
        <v>1.7175581967852943E-8</v>
      </c>
      <c r="K82" s="142">
        <f t="shared" si="28"/>
        <v>-5.1869428312723316E-6</v>
      </c>
      <c r="L82" s="142">
        <f t="shared" si="29"/>
        <v>2.2081394251594635E-4</v>
      </c>
      <c r="N82" s="144">
        <f t="shared" si="31"/>
        <v>1802.9077603410274</v>
      </c>
      <c r="O82" s="142">
        <f t="shared" si="32"/>
        <v>5.5465954609394208E-4</v>
      </c>
      <c r="P82" s="398">
        <f t="shared" si="30"/>
        <v>0.17006483940626099</v>
      </c>
      <c r="Q82" s="514">
        <f t="shared" si="19"/>
        <v>1.7069403487562619E-2</v>
      </c>
      <c r="R82" s="142">
        <f t="shared" si="20"/>
        <v>672455.86980782601</v>
      </c>
    </row>
    <row r="83" spans="1:18" s="146" customFormat="1" x14ac:dyDescent="0.15">
      <c r="A83" s="145">
        <f t="shared" si="21"/>
        <v>2.9589065341706825E-5</v>
      </c>
      <c r="B83" s="145">
        <f t="shared" si="22"/>
        <v>2.0470631803936852E-3</v>
      </c>
      <c r="C83" s="145">
        <f t="shared" si="23"/>
        <v>1.2334775426460785E-4</v>
      </c>
      <c r="D83" s="146">
        <f t="shared" si="18"/>
        <v>1.9952623149688773E-8</v>
      </c>
      <c r="E83" s="145">
        <f t="shared" si="24"/>
        <v>3.0199517204020095E-6</v>
      </c>
      <c r="F83" s="141">
        <v>7.7</v>
      </c>
      <c r="H83" s="142">
        <f t="shared" si="25"/>
        <v>1.4577548664574096E-4</v>
      </c>
      <c r="I83" s="142">
        <f t="shared" si="26"/>
        <v>-3.288475665478921E-4</v>
      </c>
      <c r="J83" s="142">
        <f t="shared" si="27"/>
        <v>1.2009340802445964E-8</v>
      </c>
      <c r="K83" s="142">
        <f t="shared" si="28"/>
        <v>-4.5658240298898092E-6</v>
      </c>
      <c r="L83" s="142">
        <f t="shared" si="29"/>
        <v>1.8764991327284338E-4</v>
      </c>
      <c r="N83" s="144">
        <f t="shared" si="31"/>
        <v>2121.5419906677416</v>
      </c>
      <c r="O83" s="142">
        <f t="shared" si="32"/>
        <v>4.713552710240048E-4</v>
      </c>
      <c r="P83" s="398">
        <f t="shared" si="30"/>
        <v>0.15768227560374226</v>
      </c>
      <c r="Q83" s="514">
        <f t="shared" si="19"/>
        <v>1.3449575155321284E-2</v>
      </c>
      <c r="R83" s="142">
        <f t="shared" si="20"/>
        <v>853441.12633834826</v>
      </c>
    </row>
    <row r="84" spans="1:18" s="146" customFormat="1" x14ac:dyDescent="0.15">
      <c r="A84" s="145">
        <f t="shared" si="21"/>
        <v>2.3230448691468968E-5</v>
      </c>
      <c r="B84" s="145">
        <f t="shared" si="22"/>
        <v>2.0232874988612296E-3</v>
      </c>
      <c r="C84" s="145">
        <f t="shared" si="23"/>
        <v>1.5348205244730142E-4</v>
      </c>
      <c r="D84" s="146">
        <f t="shared" si="18"/>
        <v>1.5848931924611133E-8</v>
      </c>
      <c r="E84" s="145">
        <f t="shared" si="24"/>
        <v>3.8018939632055997E-6</v>
      </c>
      <c r="F84" s="141">
        <v>7.8</v>
      </c>
      <c r="H84" s="142">
        <f t="shared" si="25"/>
        <v>1.2199980511328531E-4</v>
      </c>
      <c r="I84" s="142">
        <f t="shared" si="26"/>
        <v>-2.6857897018250497E-4</v>
      </c>
      <c r="J84" s="142">
        <f t="shared" si="27"/>
        <v>7.9056495773683241E-9</v>
      </c>
      <c r="K84" s="142">
        <f t="shared" si="28"/>
        <v>-3.7838817870862191E-6</v>
      </c>
      <c r="L84" s="142">
        <f t="shared" si="29"/>
        <v>1.5037095250588323E-4</v>
      </c>
      <c r="N84" s="144">
        <f t="shared" si="31"/>
        <v>2647.5004907475154</v>
      </c>
      <c r="O84" s="142">
        <f t="shared" si="32"/>
        <v>3.7771475529269966E-4</v>
      </c>
      <c r="P84" s="398">
        <f t="shared" si="30"/>
        <v>0.15448760750890422</v>
      </c>
      <c r="Q84" s="514">
        <f t="shared" si="19"/>
        <v>1.0559294859758621E-2</v>
      </c>
      <c r="R84" s="142">
        <f t="shared" si="20"/>
        <v>1087044.2318145523</v>
      </c>
    </row>
    <row r="85" spans="1:18" s="146" customFormat="1" x14ac:dyDescent="0.15">
      <c r="A85" s="145">
        <f t="shared" si="21"/>
        <v>1.8163938697182073E-5</v>
      </c>
      <c r="B85" s="145">
        <f t="shared" si="22"/>
        <v>1.9916362737541593E-3</v>
      </c>
      <c r="C85" s="145">
        <f t="shared" si="23"/>
        <v>1.9019978754865864E-4</v>
      </c>
      <c r="D85" s="146">
        <f t="shared" si="18"/>
        <v>1.2589254117941638E-8</v>
      </c>
      <c r="E85" s="145">
        <f t="shared" si="24"/>
        <v>4.7863009232263885E-6</v>
      </c>
      <c r="F85" s="141">
        <v>7.9</v>
      </c>
      <c r="H85" s="142">
        <f t="shared" si="25"/>
        <v>9.0348580006215009E-5</v>
      </c>
      <c r="I85" s="142">
        <f t="shared" si="26"/>
        <v>-1.9514349997979053E-4</v>
      </c>
      <c r="J85" s="142">
        <f t="shared" si="27"/>
        <v>4.6459717706988291E-9</v>
      </c>
      <c r="K85" s="142">
        <f t="shared" si="28"/>
        <v>-2.7994748270654302E-6</v>
      </c>
      <c r="L85" s="142">
        <f t="shared" si="29"/>
        <v>1.0759904077241165E-4</v>
      </c>
      <c r="N85" s="144">
        <f t="shared" si="31"/>
        <v>3699.9137510487149</v>
      </c>
      <c r="O85" s="142">
        <f t="shared" si="32"/>
        <v>2.7027657055966696E-4</v>
      </c>
      <c r="P85" s="398">
        <f t="shared" si="30"/>
        <v>0.16881134410483797</v>
      </c>
      <c r="Q85" s="514">
        <f t="shared" si="19"/>
        <v>8.2563357714463964E-3</v>
      </c>
      <c r="R85" s="142">
        <f t="shared" si="20"/>
        <v>1390256.0272592693</v>
      </c>
    </row>
    <row r="86" spans="1:18" s="146" customFormat="1" x14ac:dyDescent="0.15">
      <c r="A86" s="145">
        <f t="shared" si="21"/>
        <v>1.4135701854415529E-5</v>
      </c>
      <c r="B86" s="145">
        <f t="shared" si="22"/>
        <v>1.9512700408952967E-3</v>
      </c>
      <c r="C86" s="145">
        <f t="shared" si="23"/>
        <v>2.3459425725028796E-4</v>
      </c>
      <c r="D86" s="146">
        <f t="shared" si="18"/>
        <v>1E-8</v>
      </c>
      <c r="E86" s="145">
        <f t="shared" si="24"/>
        <v>6.025595860743557E-6</v>
      </c>
      <c r="F86" s="141">
        <v>8</v>
      </c>
      <c r="H86" s="142">
        <f t="shared" si="25"/>
        <v>4.9982347147352378E-5</v>
      </c>
      <c r="I86" s="142">
        <f t="shared" si="26"/>
        <v>-1.0635456057653188E-4</v>
      </c>
      <c r="J86" s="142">
        <f t="shared" si="27"/>
        <v>2.0567176527571915E-9</v>
      </c>
      <c r="K86" s="142">
        <f t="shared" si="28"/>
        <v>-1.5601798895482617E-6</v>
      </c>
      <c r="L86" s="142">
        <f t="shared" si="29"/>
        <v>5.7934450036380521E-5</v>
      </c>
      <c r="N86" s="144">
        <f t="shared" si="31"/>
        <v>6871.6829158385344</v>
      </c>
      <c r="O86" s="142">
        <f t="shared" si="32"/>
        <v>1.4552475896335395E-4</v>
      </c>
      <c r="P86" s="398">
        <f t="shared" si="30"/>
        <v>0.24399475347636634</v>
      </c>
      <c r="Q86" s="514">
        <f t="shared" si="19"/>
        <v>6.4253190247343314E-3</v>
      </c>
      <c r="R86" s="142">
        <f t="shared" si="20"/>
        <v>1786435.8991582152</v>
      </c>
    </row>
    <row r="87" spans="1:18" s="146" customFormat="1" x14ac:dyDescent="0.15">
      <c r="A87" s="147">
        <f t="shared" si="21"/>
        <v>1.0940768713502265E-5</v>
      </c>
      <c r="B87" s="147">
        <f t="shared" si="22"/>
        <v>1.9012876937479443E-3</v>
      </c>
      <c r="C87" s="147">
        <f t="shared" si="23"/>
        <v>2.877715375385539E-4</v>
      </c>
      <c r="D87" s="140">
        <f t="shared" si="18"/>
        <v>7.9432823472428087E-9</v>
      </c>
      <c r="E87" s="147">
        <f t="shared" si="24"/>
        <v>7.5857757502918187E-6</v>
      </c>
      <c r="F87" s="140">
        <v>8.1</v>
      </c>
      <c r="G87" s="147">
        <f>2*($A$87-A87)</f>
        <v>0</v>
      </c>
      <c r="H87" s="142">
        <f t="shared" si="25"/>
        <v>0</v>
      </c>
      <c r="I87" s="142">
        <f t="shared" si="26"/>
        <v>0</v>
      </c>
      <c r="J87" s="142">
        <f t="shared" si="27"/>
        <v>0</v>
      </c>
      <c r="K87" s="142">
        <f t="shared" si="28"/>
        <v>0</v>
      </c>
      <c r="L87" s="142">
        <f t="shared" si="29"/>
        <v>0</v>
      </c>
      <c r="M87" s="140"/>
      <c r="N87" s="144" t="e">
        <f t="shared" si="31"/>
        <v>#DIV/0!</v>
      </c>
      <c r="O87" s="142">
        <v>0</v>
      </c>
      <c r="P87" s="398" t="e">
        <f t="shared" si="30"/>
        <v>#DIV/0!</v>
      </c>
      <c r="Q87" s="514">
        <f t="shared" si="19"/>
        <v>4.9730766879555743E-3</v>
      </c>
      <c r="R87" s="142">
        <f t="shared" si="20"/>
        <v>2308112.5205910355</v>
      </c>
    </row>
    <row r="88" spans="1:18" s="146" customFormat="1" x14ac:dyDescent="0.15">
      <c r="A88" s="145">
        <f t="shared" si="21"/>
        <v>8.4141892058832465E-6</v>
      </c>
      <c r="B88" s="145">
        <f t="shared" si="22"/>
        <v>1.8408240241281877E-3</v>
      </c>
      <c r="C88" s="145">
        <f t="shared" si="23"/>
        <v>3.5076178666592896E-4</v>
      </c>
      <c r="D88" s="146">
        <f t="shared" si="18"/>
        <v>6.3095734448019329E-9</v>
      </c>
      <c r="E88" s="145">
        <f t="shared" si="24"/>
        <v>9.5499258602143265E-6</v>
      </c>
      <c r="F88" s="141">
        <v>8.1999999999999993</v>
      </c>
      <c r="G88" s="145">
        <f>2*($A$87-A88)</f>
        <v>5.0531590152380368E-6</v>
      </c>
      <c r="H88" s="142">
        <f t="shared" si="25"/>
        <v>-6.0463669619756528E-5</v>
      </c>
      <c r="I88" s="145"/>
      <c r="J88" s="142">
        <f t="shared" si="27"/>
        <v>-1.6337089024408758E-9</v>
      </c>
      <c r="K88" s="142">
        <f t="shared" si="28"/>
        <v>1.9641501099225078E-6</v>
      </c>
      <c r="L88" s="142">
        <f t="shared" si="29"/>
        <v>5.849788580093158E-5</v>
      </c>
      <c r="N88" s="145"/>
      <c r="O88" s="145"/>
      <c r="P88" s="398">
        <f t="shared" si="30"/>
        <v>0.14383749242693572</v>
      </c>
      <c r="Q88" s="514">
        <f t="shared" si="19"/>
        <v>3.8246314572196573E-3</v>
      </c>
      <c r="R88" s="142">
        <f t="shared" si="20"/>
        <v>3001183.4336775495</v>
      </c>
    </row>
    <row r="89" spans="1:18" s="146" customFormat="1" x14ac:dyDescent="0.15">
      <c r="A89" s="145">
        <f t="shared" si="21"/>
        <v>6.4235036674791253E-6</v>
      </c>
      <c r="B89" s="145">
        <f t="shared" si="22"/>
        <v>1.7691798176968981E-3</v>
      </c>
      <c r="C89" s="145">
        <f t="shared" si="23"/>
        <v>4.2439667863562296E-4</v>
      </c>
      <c r="D89" s="146">
        <f t="shared" si="18"/>
        <v>5.0118723362727114E-9</v>
      </c>
      <c r="E89" s="145">
        <f t="shared" si="24"/>
        <v>1.2022644346174118E-5</v>
      </c>
      <c r="F89" s="141">
        <v>8.3000000000000007</v>
      </c>
      <c r="G89" s="145">
        <f t="shared" ref="G89:G146" si="33">2*($A$87-A89)</f>
        <v>9.0345300920462793E-6</v>
      </c>
      <c r="H89" s="142">
        <f t="shared" si="25"/>
        <v>-1.3210787605104617E-4</v>
      </c>
      <c r="I89" s="145"/>
      <c r="J89" s="142">
        <f t="shared" si="27"/>
        <v>-2.9314100109700973E-9</v>
      </c>
      <c r="K89" s="142">
        <f t="shared" si="28"/>
        <v>4.4368685958822995E-6</v>
      </c>
      <c r="L89" s="142">
        <f t="shared" si="29"/>
        <v>1.2766807604515289E-4</v>
      </c>
      <c r="N89" s="145"/>
      <c r="O89" s="145"/>
      <c r="P89" s="398">
        <f t="shared" si="30"/>
        <v>5.0314094693549687E-2</v>
      </c>
      <c r="Q89" s="514">
        <f t="shared" si="19"/>
        <v>2.9197743943086933E-3</v>
      </c>
      <c r="R89" s="142">
        <f t="shared" si="20"/>
        <v>3931269.6870359993</v>
      </c>
    </row>
    <row r="90" spans="1:18" s="146" customFormat="1" x14ac:dyDescent="0.15">
      <c r="A90" s="145">
        <f t="shared" si="21"/>
        <v>4.862418904101922E-6</v>
      </c>
      <c r="B90" s="145">
        <f t="shared" si="22"/>
        <v>1.6859798163891488E-3</v>
      </c>
      <c r="C90" s="145">
        <f t="shared" si="23"/>
        <v>5.091577647067493E-4</v>
      </c>
      <c r="D90" s="146">
        <f t="shared" si="18"/>
        <v>3.9810717055349665E-9</v>
      </c>
      <c r="E90" s="145">
        <f t="shared" si="24"/>
        <v>1.5135612484362051E-5</v>
      </c>
      <c r="F90" s="141">
        <v>8.4</v>
      </c>
      <c r="G90" s="145">
        <f t="shared" si="33"/>
        <v>1.2156699618800686E-5</v>
      </c>
      <c r="H90" s="142">
        <f t="shared" si="25"/>
        <v>-2.1530787735879551E-4</v>
      </c>
      <c r="I90" s="145"/>
      <c r="J90" s="142">
        <f t="shared" si="27"/>
        <v>-3.9622106417078422E-9</v>
      </c>
      <c r="K90" s="142">
        <f t="shared" si="28"/>
        <v>7.5498367340702323E-6</v>
      </c>
      <c r="L90" s="142">
        <f t="shared" si="29"/>
        <v>2.0775407841408359E-4</v>
      </c>
      <c r="N90" s="145"/>
      <c r="O90" s="145"/>
      <c r="P90" s="398">
        <f t="shared" si="30"/>
        <v>2.3404685680395769E-2</v>
      </c>
      <c r="Q90" s="514">
        <f t="shared" si="19"/>
        <v>2.2101904109554189E-3</v>
      </c>
      <c r="R90" s="142">
        <f t="shared" si="20"/>
        <v>5193408.0034162216</v>
      </c>
    </row>
    <row r="91" spans="1:18" s="146" customFormat="1" x14ac:dyDescent="0.15">
      <c r="A91" s="145">
        <f t="shared" si="21"/>
        <v>3.6455557214278915E-6</v>
      </c>
      <c r="B91" s="145">
        <f t="shared" si="22"/>
        <v>1.5913427897169914E-3</v>
      </c>
      <c r="C91" s="145">
        <f t="shared" si="23"/>
        <v>6.0501165456158096E-4</v>
      </c>
      <c r="D91" s="146">
        <f t="shared" si="18"/>
        <v>3.1622776601683779E-9</v>
      </c>
      <c r="E91" s="145">
        <f t="shared" si="24"/>
        <v>1.9054607179632416E-5</v>
      </c>
      <c r="F91" s="141">
        <v>8.5</v>
      </c>
      <c r="G91" s="145">
        <f t="shared" si="33"/>
        <v>1.4590425984148747E-5</v>
      </c>
      <c r="H91" s="142">
        <f t="shared" si="25"/>
        <v>-3.0994490403095289E-4</v>
      </c>
      <c r="I91" s="145"/>
      <c r="J91" s="142">
        <f t="shared" si="27"/>
        <v>-4.7810046870744309E-9</v>
      </c>
      <c r="K91" s="142">
        <f t="shared" si="28"/>
        <v>1.1468831429340597E-5</v>
      </c>
      <c r="L91" s="142">
        <f t="shared" si="29"/>
        <v>2.9847129159692523E-4</v>
      </c>
      <c r="N91" s="145"/>
      <c r="O91" s="145"/>
      <c r="P91" s="398">
        <f t="shared" si="30"/>
        <v>1.2214091686751178E-2</v>
      </c>
      <c r="Q91" s="514">
        <f t="shared" si="19"/>
        <v>1.6570707824672232E-3</v>
      </c>
      <c r="R91" s="142">
        <f t="shared" si="20"/>
        <v>6926934.3776850421</v>
      </c>
    </row>
    <row r="92" spans="1:18" s="146" customFormat="1" x14ac:dyDescent="0.15">
      <c r="A92" s="145">
        <f t="shared" si="21"/>
        <v>2.7041389092563821E-6</v>
      </c>
      <c r="B92" s="145">
        <f t="shared" si="22"/>
        <v>1.4860348592251511E-3</v>
      </c>
      <c r="C92" s="145">
        <f t="shared" si="23"/>
        <v>7.1126100186559267E-4</v>
      </c>
      <c r="D92" s="146">
        <f t="shared" si="18"/>
        <v>2.5118864315095812E-9</v>
      </c>
      <c r="E92" s="145">
        <f t="shared" si="24"/>
        <v>2.3988329190194812E-5</v>
      </c>
      <c r="F92" s="141">
        <v>8.6</v>
      </c>
      <c r="G92" s="145">
        <f t="shared" si="33"/>
        <v>1.6473259608491764E-5</v>
      </c>
      <c r="H92" s="142">
        <f t="shared" si="25"/>
        <v>-4.1525283452279317E-4</v>
      </c>
      <c r="I92" s="145"/>
      <c r="J92" s="142">
        <f t="shared" si="27"/>
        <v>-5.431395915733228E-9</v>
      </c>
      <c r="K92" s="142">
        <f t="shared" si="28"/>
        <v>1.6402553439902993E-5</v>
      </c>
      <c r="L92" s="142">
        <f t="shared" si="29"/>
        <v>3.988448496869744E-4</v>
      </c>
      <c r="N92" s="145"/>
      <c r="O92" s="145"/>
      <c r="P92" s="398">
        <f t="shared" si="30"/>
        <v>6.7799268597267155E-3</v>
      </c>
      <c r="Q92" s="514">
        <f t="shared" si="19"/>
        <v>1.2291540496619918E-3</v>
      </c>
      <c r="R92" s="142">
        <f t="shared" si="20"/>
        <v>9338471.912846189</v>
      </c>
    </row>
    <row r="93" spans="1:18" s="146" customFormat="1" x14ac:dyDescent="0.15">
      <c r="A93" s="145">
        <f t="shared" si="21"/>
        <v>1.9825171644743584E-6</v>
      </c>
      <c r="B93" s="145">
        <f t="shared" si="22"/>
        <v>1.3715667747617468E-3</v>
      </c>
      <c r="C93" s="145">
        <f t="shared" si="23"/>
        <v>8.2645070807377881E-4</v>
      </c>
      <c r="D93" s="146">
        <f t="shared" si="18"/>
        <v>1.9952623149688824E-9</v>
      </c>
      <c r="E93" s="145">
        <f t="shared" si="24"/>
        <v>3.0199517204020019E-5</v>
      </c>
      <c r="F93" s="141">
        <v>8.6999999999999993</v>
      </c>
      <c r="G93" s="145">
        <f t="shared" si="33"/>
        <v>1.7916503098055812E-5</v>
      </c>
      <c r="H93" s="142">
        <f t="shared" si="25"/>
        <v>-5.2972091898619749E-4</v>
      </c>
      <c r="I93" s="145"/>
      <c r="J93" s="142">
        <f t="shared" si="27"/>
        <v>-5.9480200322739268E-9</v>
      </c>
      <c r="K93" s="142">
        <f t="shared" si="28"/>
        <v>2.26137414537282E-5</v>
      </c>
      <c r="L93" s="142">
        <f t="shared" si="29"/>
        <v>5.0710122951243709E-4</v>
      </c>
      <c r="N93" s="145"/>
      <c r="O93" s="145"/>
      <c r="P93" s="398">
        <f t="shared" si="30"/>
        <v>3.9095096779404193E-3</v>
      </c>
      <c r="Q93" s="514">
        <f t="shared" si="19"/>
        <v>9.0114416567016291E-4</v>
      </c>
      <c r="R93" s="142">
        <f t="shared" si="20"/>
        <v>12737607.373614173</v>
      </c>
    </row>
    <row r="94" spans="1:18" s="146" customFormat="1" x14ac:dyDescent="0.15">
      <c r="A94" s="145">
        <f t="shared" si="21"/>
        <v>1.4354157163059531E-6</v>
      </c>
      <c r="B94" s="145">
        <f t="shared" si="22"/>
        <v>1.2501948253532144E-3</v>
      </c>
      <c r="C94" s="145">
        <f t="shared" si="23"/>
        <v>9.4836975893047978E-4</v>
      </c>
      <c r="D94" s="146">
        <f t="shared" si="18"/>
        <v>1.584893192461106E-9</v>
      </c>
      <c r="E94" s="145">
        <f t="shared" si="24"/>
        <v>3.8018939632056239E-5</v>
      </c>
      <c r="F94" s="141">
        <v>8.8000000000000007</v>
      </c>
      <c r="G94" s="145">
        <f t="shared" si="33"/>
        <v>1.9010705994392622E-5</v>
      </c>
      <c r="H94" s="142">
        <f t="shared" si="25"/>
        <v>-6.5109286839472986E-4</v>
      </c>
      <c r="I94" s="145"/>
      <c r="J94" s="142">
        <f t="shared" si="27"/>
        <v>-6.3583891547817025E-9</v>
      </c>
      <c r="K94" s="142">
        <f t="shared" si="28"/>
        <v>3.0433163881764419E-5</v>
      </c>
      <c r="L94" s="142">
        <f t="shared" si="29"/>
        <v>6.2065334612381058E-4</v>
      </c>
      <c r="N94" s="145"/>
      <c r="O94" s="145"/>
      <c r="P94" s="398">
        <f t="shared" si="30"/>
        <v>2.3127495006199645E-3</v>
      </c>
      <c r="Q94" s="514">
        <f t="shared" si="19"/>
        <v>6.5246168922997866E-4</v>
      </c>
      <c r="R94" s="142">
        <f t="shared" si="20"/>
        <v>17592482.070290208</v>
      </c>
    </row>
    <row r="95" spans="1:18" s="146" customFormat="1" x14ac:dyDescent="0.15">
      <c r="A95" s="145">
        <f t="shared" si="21"/>
        <v>1.0258290970854542E-6</v>
      </c>
      <c r="B95" s="145">
        <f t="shared" si="22"/>
        <v>1.1247992379234525E-3</v>
      </c>
      <c r="C95" s="145">
        <f t="shared" si="23"/>
        <v>1.0741749329794621E-3</v>
      </c>
      <c r="D95" s="146">
        <f t="shared" si="18"/>
        <v>1.2589254117941623E-9</v>
      </c>
      <c r="E95" s="145">
        <f t="shared" si="24"/>
        <v>4.7863009232263932E-5</v>
      </c>
      <c r="F95" s="141">
        <v>8.9</v>
      </c>
      <c r="G95" s="145">
        <f t="shared" si="33"/>
        <v>1.9829879232833623E-5</v>
      </c>
      <c r="H95" s="142">
        <f t="shared" si="25"/>
        <v>-7.7648845582449174E-4</v>
      </c>
      <c r="I95" s="145"/>
      <c r="J95" s="142">
        <f t="shared" si="27"/>
        <v>-6.6843569354486466E-9</v>
      </c>
      <c r="K95" s="142">
        <f t="shared" si="28"/>
        <v>4.0277233481972113E-5</v>
      </c>
      <c r="L95" s="142">
        <f t="shared" si="29"/>
        <v>7.3620453798558421E-4</v>
      </c>
      <c r="N95" s="145"/>
      <c r="O95" s="145"/>
      <c r="P95" s="398">
        <f t="shared" si="30"/>
        <v>1.3934023007958437E-3</v>
      </c>
      <c r="Q95" s="514">
        <f t="shared" si="19"/>
        <v>4.6628595322066097E-4</v>
      </c>
      <c r="R95" s="142">
        <f t="shared" si="20"/>
        <v>24616698.165680572</v>
      </c>
    </row>
    <row r="96" spans="1:18" s="146" customFormat="1" x14ac:dyDescent="0.15">
      <c r="A96" s="145">
        <f t="shared" si="21"/>
        <v>7.234530929551166E-7</v>
      </c>
      <c r="B96" s="145">
        <f t="shared" si="22"/>
        <v>9.9864326569352839E-4</v>
      </c>
      <c r="C96" s="145">
        <f t="shared" si="23"/>
        <v>1.2006332812135167E-3</v>
      </c>
      <c r="D96" s="146">
        <f t="shared" si="18"/>
        <v>1.0000000000000001E-9</v>
      </c>
      <c r="E96" s="145">
        <f t="shared" si="24"/>
        <v>6.0255958607435637E-5</v>
      </c>
      <c r="F96" s="141">
        <v>9</v>
      </c>
      <c r="G96" s="145">
        <f t="shared" si="33"/>
        <v>2.0434631241094295E-5</v>
      </c>
      <c r="H96" s="142">
        <f t="shared" si="25"/>
        <v>-9.0264442805441589E-4</v>
      </c>
      <c r="I96" s="145"/>
      <c r="J96" s="142">
        <f t="shared" si="27"/>
        <v>-6.9432823472428089E-9</v>
      </c>
      <c r="K96" s="142">
        <f t="shared" si="28"/>
        <v>5.2670182857143817E-5</v>
      </c>
      <c r="L96" s="142">
        <f t="shared" si="29"/>
        <v>8.4996730191492478E-4</v>
      </c>
      <c r="N96" s="145"/>
      <c r="O96" s="145"/>
      <c r="P96" s="398">
        <f t="shared" si="30"/>
        <v>8.5115402830817212E-4</v>
      </c>
      <c r="Q96" s="514">
        <f t="shared" si="19"/>
        <v>3.2884231497959843E-4</v>
      </c>
      <c r="R96" s="142">
        <f t="shared" si="20"/>
        <v>34905546.051887482</v>
      </c>
    </row>
    <row r="97" spans="1:18" s="146" customFormat="1" x14ac:dyDescent="0.15">
      <c r="A97" s="145">
        <f t="shared" si="21"/>
        <v>5.0353979081413011E-7</v>
      </c>
      <c r="B97" s="145">
        <f t="shared" si="22"/>
        <v>8.7505186578508182E-4</v>
      </c>
      <c r="C97" s="145">
        <f t="shared" si="23"/>
        <v>1.3244445944241043E-3</v>
      </c>
      <c r="D97" s="146">
        <f t="shared" si="18"/>
        <v>7.9432823472428E-10</v>
      </c>
      <c r="E97" s="145">
        <f t="shared" si="24"/>
        <v>7.5857757502918399E-5</v>
      </c>
      <c r="F97" s="141">
        <v>9.1</v>
      </c>
      <c r="G97" s="145">
        <f t="shared" si="33"/>
        <v>2.087445784537627E-5</v>
      </c>
      <c r="H97" s="142">
        <f t="shared" si="25"/>
        <v>-1.0262358279628625E-3</v>
      </c>
      <c r="I97" s="145"/>
      <c r="J97" s="142">
        <f t="shared" si="27"/>
        <v>-7.1489541125185285E-9</v>
      </c>
      <c r="K97" s="142">
        <f t="shared" si="28"/>
        <v>6.8271981752626579E-5</v>
      </c>
      <c r="L97" s="142">
        <f t="shared" si="29"/>
        <v>9.5795669725612332E-4</v>
      </c>
      <c r="N97" s="145"/>
      <c r="O97" s="145"/>
      <c r="P97" s="398">
        <f t="shared" si="30"/>
        <v>5.256394075602998E-4</v>
      </c>
      <c r="Q97" s="514">
        <f t="shared" si="19"/>
        <v>2.2888172309733186E-4</v>
      </c>
      <c r="R97" s="142">
        <f t="shared" si="20"/>
        <v>50150009.419705682</v>
      </c>
    </row>
    <row r="98" spans="1:18" s="146" customFormat="1" x14ac:dyDescent="0.15">
      <c r="A98" s="145">
        <f t="shared" si="21"/>
        <v>3.4605039930018871E-7</v>
      </c>
      <c r="B98" s="145">
        <f t="shared" si="22"/>
        <v>7.5707578354137074E-4</v>
      </c>
      <c r="C98" s="145">
        <f t="shared" si="23"/>
        <v>1.4425781660593294E-3</v>
      </c>
      <c r="D98" s="146">
        <f t="shared" si="18"/>
        <v>6.309573444801927E-10</v>
      </c>
      <c r="E98" s="145">
        <f t="shared" si="24"/>
        <v>9.5499258602143526E-5</v>
      </c>
      <c r="F98" s="141">
        <v>9.1999999999999993</v>
      </c>
      <c r="G98" s="145">
        <f t="shared" si="33"/>
        <v>2.1189436628404151E-5</v>
      </c>
      <c r="H98" s="142">
        <f t="shared" si="25"/>
        <v>-1.1442119102065735E-3</v>
      </c>
      <c r="I98" s="145"/>
      <c r="J98" s="142">
        <f t="shared" si="27"/>
        <v>-7.3123250027626159E-9</v>
      </c>
      <c r="K98" s="142">
        <f t="shared" si="28"/>
        <v>8.7913482851851706E-5</v>
      </c>
      <c r="L98" s="142">
        <f t="shared" si="29"/>
        <v>1.0562911150297193E-3</v>
      </c>
      <c r="N98" s="145"/>
      <c r="O98" s="145"/>
      <c r="P98" s="398">
        <f t="shared" si="30"/>
        <v>3.2760892747872106E-4</v>
      </c>
      <c r="Q98" s="514">
        <f t="shared" si="19"/>
        <v>1.5729563604554032E-4</v>
      </c>
      <c r="R98" s="142">
        <f t="shared" si="20"/>
        <v>72973547.505198568</v>
      </c>
    </row>
    <row r="99" spans="1:18" s="146" customFormat="1" x14ac:dyDescent="0.15">
      <c r="A99" s="145">
        <f t="shared" si="21"/>
        <v>2.3498842702266509E-7</v>
      </c>
      <c r="B99" s="145">
        <f t="shared" si="22"/>
        <v>6.472118706581109E-4</v>
      </c>
      <c r="C99" s="145">
        <f t="shared" si="23"/>
        <v>1.5525531409148667E-3</v>
      </c>
      <c r="D99" s="146">
        <f t="shared" si="18"/>
        <v>5.011872336272705E-10</v>
      </c>
      <c r="E99" s="145">
        <f t="shared" si="24"/>
        <v>1.202264434617413E-4</v>
      </c>
      <c r="F99" s="141">
        <v>9.3000000000000007</v>
      </c>
      <c r="G99" s="145">
        <f t="shared" si="33"/>
        <v>2.1411560572959199E-5</v>
      </c>
      <c r="H99" s="142">
        <f t="shared" si="25"/>
        <v>-1.2540758230898334E-3</v>
      </c>
      <c r="I99" s="145"/>
      <c r="J99" s="142">
        <f t="shared" si="27"/>
        <v>-7.4420951136155379E-9</v>
      </c>
      <c r="K99" s="142">
        <f t="shared" si="28"/>
        <v>1.1264066771144948E-4</v>
      </c>
      <c r="L99" s="142">
        <f t="shared" si="29"/>
        <v>1.1414277132832703E-3</v>
      </c>
      <c r="N99" s="145"/>
      <c r="O99" s="145"/>
      <c r="P99" s="398">
        <f t="shared" si="30"/>
        <v>2.0587236869055024E-4</v>
      </c>
      <c r="Q99" s="514">
        <f t="shared" si="19"/>
        <v>1.0681292137393867E-4</v>
      </c>
      <c r="R99" s="142">
        <f t="shared" si="20"/>
        <v>107462846.45792195</v>
      </c>
    </row>
    <row r="100" spans="1:18" s="146" customFormat="1" x14ac:dyDescent="0.15">
      <c r="A100" s="145">
        <f t="shared" si="21"/>
        <v>1.5782314269507175E-7</v>
      </c>
      <c r="B100" s="145">
        <f t="shared" si="22"/>
        <v>5.4723099426609654E-4</v>
      </c>
      <c r="C100" s="145">
        <f t="shared" si="23"/>
        <v>1.6526111825912084E-3</v>
      </c>
      <c r="D100" s="146">
        <f t="shared" si="18"/>
        <v>3.9810717055349621E-10</v>
      </c>
      <c r="E100" s="145">
        <f t="shared" si="24"/>
        <v>1.5135612484362069E-4</v>
      </c>
      <c r="F100" s="141">
        <v>9.4</v>
      </c>
      <c r="G100" s="145">
        <f t="shared" si="33"/>
        <v>2.1565891141614386E-5</v>
      </c>
      <c r="H100" s="142">
        <f t="shared" si="25"/>
        <v>-1.3540566994818476E-3</v>
      </c>
      <c r="I100" s="145"/>
      <c r="J100" s="142">
        <f t="shared" si="27"/>
        <v>-7.5451751766893128E-9</v>
      </c>
      <c r="K100" s="142">
        <f t="shared" si="28"/>
        <v>1.4377034909332888E-4</v>
      </c>
      <c r="L100" s="142">
        <f t="shared" si="29"/>
        <v>1.2102788052133419E-3</v>
      </c>
      <c r="N100" s="145"/>
      <c r="O100" s="145"/>
      <c r="P100" s="398">
        <f t="shared" si="30"/>
        <v>1.304023023581343E-4</v>
      </c>
      <c r="Q100" s="514">
        <f t="shared" si="19"/>
        <v>7.1737792134123521E-5</v>
      </c>
      <c r="R100" s="142">
        <f t="shared" si="20"/>
        <v>160005211.03115633</v>
      </c>
    </row>
    <row r="101" spans="1:18" s="146" customFormat="1" x14ac:dyDescent="0.15">
      <c r="A101" s="145">
        <f t="shared" si="21"/>
        <v>1.0495168040560005E-7</v>
      </c>
      <c r="B101" s="145">
        <f t="shared" si="22"/>
        <v>4.581307011725437E-4</v>
      </c>
      <c r="C101" s="145">
        <f t="shared" si="23"/>
        <v>1.7417643471470507E-3</v>
      </c>
      <c r="D101" s="146">
        <f t="shared" si="18"/>
        <v>3.1622776601683744E-10</v>
      </c>
      <c r="E101" s="145">
        <f t="shared" si="24"/>
        <v>1.9054607179632438E-4</v>
      </c>
      <c r="F101" s="141">
        <v>9.5</v>
      </c>
      <c r="G101" s="145">
        <f t="shared" si="33"/>
        <v>2.1671634066193328E-5</v>
      </c>
      <c r="H101" s="142">
        <f t="shared" si="25"/>
        <v>-1.4431569925754005E-3</v>
      </c>
      <c r="I101" s="145"/>
      <c r="J101" s="142">
        <f t="shared" si="27"/>
        <v>-7.6270545812259716E-9</v>
      </c>
      <c r="K101" s="142">
        <f t="shared" si="28"/>
        <v>1.8296029604603257E-4</v>
      </c>
      <c r="L101" s="142">
        <f t="shared" si="29"/>
        <v>1.2601890694747867E-3</v>
      </c>
      <c r="N101" s="145"/>
      <c r="O101" s="145"/>
      <c r="P101" s="398">
        <f t="shared" si="30"/>
        <v>8.3282487483676655E-5</v>
      </c>
      <c r="Q101" s="514">
        <f t="shared" si="19"/>
        <v>4.7705309275272748E-5</v>
      </c>
      <c r="R101" s="142">
        <f t="shared" si="20"/>
        <v>240610966.44602004</v>
      </c>
    </row>
    <row r="102" spans="1:18" s="146" customFormat="1" x14ac:dyDescent="0.15">
      <c r="A102" s="145">
        <f t="shared" si="21"/>
        <v>6.918437266217189E-8</v>
      </c>
      <c r="B102" s="145">
        <f t="shared" si="22"/>
        <v>3.8019640610061415E-4</v>
      </c>
      <c r="C102" s="145">
        <f t="shared" si="23"/>
        <v>1.8197344095267237E-3</v>
      </c>
      <c r="D102" s="146">
        <f t="shared" si="18"/>
        <v>2.5118864315095784E-10</v>
      </c>
      <c r="E102" s="145">
        <f t="shared" si="24"/>
        <v>2.3988329190194837E-4</v>
      </c>
      <c r="F102" s="141">
        <v>9.6</v>
      </c>
      <c r="G102" s="145">
        <f t="shared" si="33"/>
        <v>2.1743168681680188E-5</v>
      </c>
      <c r="H102" s="142">
        <f t="shared" si="25"/>
        <v>-1.52109128764733E-3</v>
      </c>
      <c r="I102" s="145"/>
      <c r="J102" s="142">
        <f t="shared" si="27"/>
        <v>-7.6920937040918511E-9</v>
      </c>
      <c r="K102" s="142">
        <f t="shared" si="28"/>
        <v>2.3229751615165656E-4</v>
      </c>
      <c r="L102" s="142">
        <f t="shared" si="29"/>
        <v>1.2887860794019693E-3</v>
      </c>
      <c r="N102" s="145"/>
      <c r="O102" s="145"/>
      <c r="P102" s="398">
        <f t="shared" si="30"/>
        <v>5.3681812496202056E-5</v>
      </c>
      <c r="Q102" s="514">
        <f t="shared" ref="Q102:Q133" si="34">A102/DIC_concentration</f>
        <v>3.144744211916904E-5</v>
      </c>
      <c r="R102" s="142">
        <f t="shared" ref="R102:R133" si="35">1/(molar_mass*mc_efficiency*A102)</f>
        <v>365003313.33253008</v>
      </c>
    </row>
    <row r="103" spans="1:18" s="146" customFormat="1" x14ac:dyDescent="0.15">
      <c r="A103" s="145">
        <f t="shared" si="21"/>
        <v>4.5261670834071887E-8</v>
      </c>
      <c r="B103" s="145">
        <f t="shared" si="22"/>
        <v>3.1313425678549165E-4</v>
      </c>
      <c r="C103" s="145">
        <f t="shared" si="23"/>
        <v>1.8868204815436743E-3</v>
      </c>
      <c r="D103" s="146">
        <f t="shared" si="18"/>
        <v>1.9952623149688802E-10</v>
      </c>
      <c r="E103" s="145">
        <f t="shared" si="24"/>
        <v>3.019951720402005E-4</v>
      </c>
      <c r="F103" s="141">
        <v>9.6999999999999993</v>
      </c>
      <c r="G103" s="145">
        <f t="shared" si="33"/>
        <v>2.1791014085336388E-5</v>
      </c>
      <c r="H103" s="142">
        <f t="shared" si="25"/>
        <v>-1.5881534369624527E-3</v>
      </c>
      <c r="I103" s="145"/>
      <c r="J103" s="142">
        <f t="shared" si="27"/>
        <v>-7.7437561157459204E-9</v>
      </c>
      <c r="K103" s="142">
        <f t="shared" si="28"/>
        <v>2.9440939628990869E-4</v>
      </c>
      <c r="L103" s="142">
        <f t="shared" si="29"/>
        <v>1.2937362969164283E-3</v>
      </c>
      <c r="N103" s="145"/>
      <c r="O103" s="145"/>
      <c r="P103" s="398">
        <f t="shared" si="30"/>
        <v>3.4985236900248819E-5</v>
      </c>
      <c r="Q103" s="514">
        <f t="shared" si="34"/>
        <v>2.0573486742759946E-5</v>
      </c>
      <c r="R103" s="142">
        <f t="shared" si="35"/>
        <v>557922957.48648691</v>
      </c>
    </row>
    <row r="104" spans="1:18" s="146" customFormat="1" x14ac:dyDescent="0.15">
      <c r="A104" s="145">
        <f t="shared" si="21"/>
        <v>2.9419638510157709E-8</v>
      </c>
      <c r="B104" s="145">
        <f t="shared" si="22"/>
        <v>2.5623433972017109E-4</v>
      </c>
      <c r="C104" s="145">
        <f t="shared" si="23"/>
        <v>1.9437362406413187E-3</v>
      </c>
      <c r="D104" s="146">
        <f t="shared" si="18"/>
        <v>1.5848931924611098E-10</v>
      </c>
      <c r="E104" s="145">
        <f t="shared" si="24"/>
        <v>3.8018939632056113E-4</v>
      </c>
      <c r="F104" s="141">
        <v>9.8000000000000007</v>
      </c>
      <c r="G104" s="145">
        <f t="shared" si="33"/>
        <v>2.1822698149984214E-5</v>
      </c>
      <c r="H104" s="142">
        <f t="shared" si="25"/>
        <v>-1.6450533540277733E-3</v>
      </c>
      <c r="I104" s="145"/>
      <c r="J104" s="142">
        <f t="shared" si="27"/>
        <v>-7.7847930279966972E-9</v>
      </c>
      <c r="K104" s="142">
        <f t="shared" si="28"/>
        <v>3.7260362057026932E-4</v>
      </c>
      <c r="L104" s="142">
        <f t="shared" si="29"/>
        <v>1.272441948664476E-3</v>
      </c>
      <c r="N104" s="145"/>
      <c r="O104" s="145"/>
      <c r="P104" s="398">
        <f t="shared" si="30"/>
        <v>2.31206135109235E-5</v>
      </c>
      <c r="Q104" s="514">
        <f t="shared" si="34"/>
        <v>1.3372562959162594E-5</v>
      </c>
      <c r="R104" s="142">
        <f t="shared" si="35"/>
        <v>858356068.64463425</v>
      </c>
    </row>
    <row r="105" spans="1:18" s="146" customFormat="1" x14ac:dyDescent="0.15">
      <c r="A105" s="145">
        <f t="shared" si="21"/>
        <v>1.9018204756685863E-8</v>
      </c>
      <c r="B105" s="145">
        <f t="shared" si="22"/>
        <v>2.0853046845492626E-4</v>
      </c>
      <c r="C105" s="145">
        <f t="shared" si="23"/>
        <v>1.9914505133403174E-3</v>
      </c>
      <c r="D105" s="146">
        <f t="shared" si="18"/>
        <v>1.2589254117941656E-10</v>
      </c>
      <c r="E105" s="145">
        <f t="shared" si="24"/>
        <v>4.7863009232263772E-4</v>
      </c>
      <c r="F105" s="141">
        <v>9.9</v>
      </c>
      <c r="G105" s="145">
        <f t="shared" si="33"/>
        <v>2.1843501017491157E-5</v>
      </c>
      <c r="H105" s="142">
        <f t="shared" si="25"/>
        <v>-1.692757225293018E-3</v>
      </c>
      <c r="I105" s="145"/>
      <c r="J105" s="142">
        <f t="shared" si="27"/>
        <v>-7.8173898060633927E-9</v>
      </c>
      <c r="K105" s="142">
        <f t="shared" si="28"/>
        <v>4.7104431657234592E-4</v>
      </c>
      <c r="L105" s="142">
        <f t="shared" si="29"/>
        <v>1.2217050913308661E-3</v>
      </c>
      <c r="N105" s="145"/>
      <c r="O105" s="145"/>
      <c r="P105" s="398">
        <f t="shared" si="30"/>
        <v>1.5566935827343044E-5</v>
      </c>
      <c r="Q105" s="514">
        <f t="shared" si="34"/>
        <v>8.6446385257663006E-6</v>
      </c>
      <c r="R105" s="142">
        <f t="shared" si="35"/>
        <v>1327808043.6928577</v>
      </c>
    </row>
    <row r="106" spans="1:18" s="146" customFormat="1" x14ac:dyDescent="0.15">
      <c r="A106" s="145">
        <f t="shared" si="21"/>
        <v>1.2238299718050722E-8</v>
      </c>
      <c r="B106" s="145">
        <f t="shared" si="22"/>
        <v>1.6893556356291093E-4</v>
      </c>
      <c r="C106" s="145">
        <f t="shared" si="23"/>
        <v>2.0310521981373713E-3</v>
      </c>
      <c r="D106" s="146">
        <f t="shared" si="18"/>
        <v>1E-10</v>
      </c>
      <c r="E106" s="145">
        <f t="shared" si="24"/>
        <v>6.0255958607435649E-4</v>
      </c>
      <c r="F106" s="141">
        <v>10</v>
      </c>
      <c r="G106" s="145">
        <f t="shared" si="33"/>
        <v>2.185706082756843E-5</v>
      </c>
      <c r="H106" s="142">
        <f t="shared" si="25"/>
        <v>-1.7323521301850333E-3</v>
      </c>
      <c r="I106" s="145"/>
      <c r="J106" s="142">
        <f t="shared" si="27"/>
        <v>-7.8432823472428095E-9</v>
      </c>
      <c r="K106" s="142">
        <f t="shared" si="28"/>
        <v>5.9497381032406463E-4</v>
      </c>
      <c r="L106" s="142">
        <f t="shared" si="29"/>
        <v>1.1373704765786214E-3</v>
      </c>
      <c r="N106" s="145"/>
      <c r="O106" s="145"/>
      <c r="P106" s="398">
        <f t="shared" si="30"/>
        <v>1.0760170032604801E-5</v>
      </c>
      <c r="Q106" s="514">
        <f t="shared" si="34"/>
        <v>5.5628635082048735E-6</v>
      </c>
      <c r="R106" s="142">
        <f t="shared" si="35"/>
        <v>2063401439.2766807</v>
      </c>
    </row>
    <row r="107" spans="1:18" s="146" customFormat="1" x14ac:dyDescent="0.15">
      <c r="A107" s="145">
        <f t="shared" si="21"/>
        <v>7.8457718825249225E-9</v>
      </c>
      <c r="B107" s="145">
        <f t="shared" si="22"/>
        <v>1.363438887963036E-4</v>
      </c>
      <c r="C107" s="145">
        <f t="shared" si="23"/>
        <v>2.0636482654318141E-3</v>
      </c>
      <c r="D107" s="146">
        <f t="shared" si="18"/>
        <v>7.943282347242792E-11</v>
      </c>
      <c r="E107" s="145">
        <f t="shared" si="24"/>
        <v>7.5857757502918483E-4</v>
      </c>
      <c r="F107" s="141">
        <v>10.1</v>
      </c>
      <c r="G107" s="145">
        <f t="shared" si="33"/>
        <v>2.1865845883239479E-5</v>
      </c>
      <c r="H107" s="142">
        <f t="shared" si="25"/>
        <v>-1.7649438049516407E-3</v>
      </c>
      <c r="I107" s="145"/>
      <c r="J107" s="142">
        <f t="shared" si="27"/>
        <v>-7.86384952377038E-9</v>
      </c>
      <c r="K107" s="142">
        <f t="shared" si="28"/>
        <v>7.5099179927889297E-4</v>
      </c>
      <c r="L107" s="142">
        <f t="shared" si="29"/>
        <v>1.0139441418232239E-3</v>
      </c>
      <c r="N107" s="145"/>
      <c r="O107" s="145"/>
      <c r="P107" s="398">
        <f t="shared" si="30"/>
        <v>7.7378738718456885E-6</v>
      </c>
      <c r="Q107" s="514">
        <f t="shared" si="34"/>
        <v>3.5662599466022373E-6</v>
      </c>
      <c r="R107" s="142">
        <f t="shared" si="35"/>
        <v>3218615788.303865</v>
      </c>
    </row>
    <row r="108" spans="1:18" s="146" customFormat="1" x14ac:dyDescent="0.15">
      <c r="A108" s="145">
        <f t="shared" si="21"/>
        <v>5.0142678746227503E-9</v>
      </c>
      <c r="B108" s="145">
        <f t="shared" si="22"/>
        <v>1.0970022828302734E-4</v>
      </c>
      <c r="C108" s="145">
        <f t="shared" si="23"/>
        <v>2.0902947574490982E-3</v>
      </c>
      <c r="D108" s="146">
        <f t="shared" si="18"/>
        <v>6.3095734448019192E-11</v>
      </c>
      <c r="E108" s="145">
        <f t="shared" si="24"/>
        <v>9.5499258602143634E-4</v>
      </c>
      <c r="F108" s="141">
        <v>10.199999999999999</v>
      </c>
      <c r="G108" s="145">
        <f t="shared" si="33"/>
        <v>2.1871508891255285E-5</v>
      </c>
      <c r="H108" s="142">
        <f t="shared" si="25"/>
        <v>-1.7915874654649169E-3</v>
      </c>
      <c r="I108" s="145"/>
      <c r="J108" s="142">
        <f t="shared" si="27"/>
        <v>-7.88018661279479E-9</v>
      </c>
      <c r="K108" s="142">
        <f t="shared" si="28"/>
        <v>9.4740681027114448E-4</v>
      </c>
      <c r="L108" s="142">
        <f t="shared" si="29"/>
        <v>8.441727750071596E-4</v>
      </c>
      <c r="N108" s="145"/>
      <c r="O108" s="145"/>
      <c r="P108" s="398">
        <f t="shared" si="30"/>
        <v>5.9398597337852114E-6</v>
      </c>
      <c r="Q108" s="514">
        <f t="shared" si="34"/>
        <v>2.279212670283068E-6</v>
      </c>
      <c r="R108" s="142">
        <f t="shared" si="35"/>
        <v>5036134064.6215744</v>
      </c>
    </row>
    <row r="109" spans="1:18" s="146" customFormat="1" x14ac:dyDescent="0.15">
      <c r="A109" s="145">
        <f t="shared" si="21"/>
        <v>3.1965745040752546E-9</v>
      </c>
      <c r="B109" s="145">
        <f t="shared" si="22"/>
        <v>8.8040972514830511E-5</v>
      </c>
      <c r="C109" s="145">
        <f t="shared" si="23"/>
        <v>2.1119558309106658E-3</v>
      </c>
      <c r="D109" s="146">
        <f t="shared" si="18"/>
        <v>5.0118723362726993E-11</v>
      </c>
      <c r="E109" s="145">
        <f t="shared" si="24"/>
        <v>1.2022644346174176E-3</v>
      </c>
      <c r="F109" s="141">
        <v>10.3</v>
      </c>
      <c r="G109" s="145">
        <f t="shared" si="33"/>
        <v>2.187514427799638E-5</v>
      </c>
      <c r="H109" s="142">
        <f t="shared" si="25"/>
        <v>-1.8132467212331137E-3</v>
      </c>
      <c r="I109" s="145"/>
      <c r="J109" s="142">
        <f t="shared" si="27"/>
        <v>-7.8931636238800814E-9</v>
      </c>
      <c r="K109" s="142">
        <f t="shared" si="28"/>
        <v>1.1946786588671258E-3</v>
      </c>
      <c r="L109" s="142">
        <f t="shared" si="29"/>
        <v>6.1856016920236402E-4</v>
      </c>
      <c r="N109" s="145"/>
      <c r="O109" s="145"/>
      <c r="P109" s="398">
        <f t="shared" si="30"/>
        <v>5.1677664732232132E-6</v>
      </c>
      <c r="Q109" s="514">
        <f t="shared" si="34"/>
        <v>1.4529884109432974E-6</v>
      </c>
      <c r="R109" s="142">
        <f t="shared" si="35"/>
        <v>7899870696.0626984</v>
      </c>
    </row>
    <row r="110" spans="1:18" s="146" customFormat="1" x14ac:dyDescent="0.15">
      <c r="A110" s="145">
        <f t="shared" si="21"/>
        <v>2.0336415465347846E-9</v>
      </c>
      <c r="B110" s="145">
        <f t="shared" si="22"/>
        <v>7.0513846479488751E-5</v>
      </c>
      <c r="C110" s="145">
        <f t="shared" si="23"/>
        <v>2.1294841198789645E-3</v>
      </c>
      <c r="D110" s="146">
        <f t="shared" si="18"/>
        <v>3.9810717055349579E-11</v>
      </c>
      <c r="E110" s="145">
        <f t="shared" si="24"/>
        <v>1.5135612484362126E-3</v>
      </c>
      <c r="F110" s="141">
        <v>10.4</v>
      </c>
      <c r="G110" s="145">
        <f t="shared" si="33"/>
        <v>2.187747014391146E-5</v>
      </c>
      <c r="H110" s="142">
        <f t="shared" si="25"/>
        <v>-1.8307738472684554E-3</v>
      </c>
      <c r="I110" s="145"/>
      <c r="J110" s="142">
        <f t="shared" si="27"/>
        <v>-7.9034716301874596E-9</v>
      </c>
      <c r="K110" s="142">
        <f t="shared" si="28"/>
        <v>1.5059754726859209E-3</v>
      </c>
      <c r="L110" s="142">
        <f t="shared" si="29"/>
        <v>3.2479047111090434E-4</v>
      </c>
      <c r="N110" s="145"/>
      <c r="O110" s="145"/>
      <c r="P110" s="398">
        <f t="shared" si="30"/>
        <v>6.261395353068621E-6</v>
      </c>
      <c r="Q110" s="514">
        <f t="shared" si="34"/>
        <v>9.2438252115217477E-7</v>
      </c>
      <c r="R110" s="142">
        <f t="shared" si="35"/>
        <v>12417392482.738266</v>
      </c>
    </row>
    <row r="111" spans="1:18" s="146" customFormat="1" x14ac:dyDescent="0.15">
      <c r="A111" s="145">
        <f t="shared" si="21"/>
        <v>1.2916562891255322E-9</v>
      </c>
      <c r="B111" s="145">
        <f t="shared" si="22"/>
        <v>5.6382842001587617E-5</v>
      </c>
      <c r="C111" s="145">
        <f t="shared" si="23"/>
        <v>2.1436158663421232E-3</v>
      </c>
      <c r="D111" s="146">
        <f t="shared" si="18"/>
        <v>3.162277660168371E-11</v>
      </c>
      <c r="E111" s="145">
        <f t="shared" si="24"/>
        <v>1.905460717963251E-3</v>
      </c>
      <c r="F111" s="141">
        <v>10.5</v>
      </c>
      <c r="G111" s="145">
        <f t="shared" si="33"/>
        <v>2.187895411442628E-5</v>
      </c>
      <c r="H111" s="142">
        <f t="shared" si="25"/>
        <v>-1.8449048517463567E-3</v>
      </c>
      <c r="I111" s="145"/>
      <c r="J111" s="142">
        <f t="shared" si="27"/>
        <v>-7.9116595706411257E-9</v>
      </c>
      <c r="K111" s="142">
        <f t="shared" si="28"/>
        <v>1.8978749422129593E-3</v>
      </c>
      <c r="L111" s="142">
        <f t="shared" si="29"/>
        <v>-5.297800212617322E-5</v>
      </c>
      <c r="N111" s="145"/>
      <c r="O111" s="145"/>
      <c r="P111" s="398">
        <f t="shared" si="30"/>
        <v>-2.4380992813758885E-5</v>
      </c>
      <c r="Q111" s="514">
        <f t="shared" si="34"/>
        <v>5.8711649505706003E-7</v>
      </c>
      <c r="R111" s="142">
        <f t="shared" si="35"/>
        <v>19550499204.104473</v>
      </c>
    </row>
    <row r="112" spans="1:18" s="146" customFormat="1" x14ac:dyDescent="0.15">
      <c r="A112" s="145">
        <f t="shared" si="21"/>
        <v>8.1929878265047393E-10</v>
      </c>
      <c r="B112" s="145">
        <f t="shared" si="22"/>
        <v>4.5023816896822904E-5</v>
      </c>
      <c r="C112" s="145">
        <f t="shared" si="23"/>
        <v>2.1549753638043941E-3</v>
      </c>
      <c r="D112" s="146">
        <f t="shared" si="18"/>
        <v>2.5118864315095759E-11</v>
      </c>
      <c r="E112" s="145">
        <f t="shared" si="24"/>
        <v>2.3988329190194929E-3</v>
      </c>
      <c r="F112" s="141">
        <v>10.6</v>
      </c>
      <c r="G112" s="145">
        <f t="shared" si="33"/>
        <v>2.1879898829439227E-5</v>
      </c>
      <c r="H112" s="142">
        <f t="shared" si="25"/>
        <v>-1.8562638768511214E-3</v>
      </c>
      <c r="I112" s="145"/>
      <c r="J112" s="142">
        <f t="shared" si="27"/>
        <v>-7.9181634829277128E-9</v>
      </c>
      <c r="K112" s="142">
        <f t="shared" si="28"/>
        <v>2.3912471432692012E-3</v>
      </c>
      <c r="L112" s="142">
        <f t="shared" si="29"/>
        <v>-5.3499118458156278E-4</v>
      </c>
      <c r="N112" s="145"/>
      <c r="O112" s="145"/>
      <c r="P112" s="398">
        <f t="shared" si="30"/>
        <v>-1.5314248276656728E-6</v>
      </c>
      <c r="Q112" s="514">
        <f t="shared" si="34"/>
        <v>3.724085375683972E-7</v>
      </c>
      <c r="R112" s="142">
        <f t="shared" si="35"/>
        <v>30822119826.459435</v>
      </c>
    </row>
    <row r="113" spans="1:18" s="146" customFormat="1" x14ac:dyDescent="0.15">
      <c r="A113" s="145">
        <f t="shared" si="21"/>
        <v>5.1912774162139209E-10</v>
      </c>
      <c r="B113" s="145">
        <f t="shared" si="22"/>
        <v>3.5914864951688183E-5</v>
      </c>
      <c r="C113" s="145">
        <f t="shared" si="23"/>
        <v>2.1640846159205708E-3</v>
      </c>
      <c r="D113" s="146">
        <f t="shared" si="18"/>
        <v>1.995262314968878E-11</v>
      </c>
      <c r="E113" s="145">
        <f t="shared" si="24"/>
        <v>3.0199517204020161E-3</v>
      </c>
      <c r="F113" s="141">
        <v>10.7</v>
      </c>
      <c r="G113" s="145">
        <f t="shared" si="33"/>
        <v>2.1880499171521287E-5</v>
      </c>
      <c r="H113" s="142">
        <f t="shared" si="25"/>
        <v>-1.8653728287962561E-3</v>
      </c>
      <c r="I113" s="145"/>
      <c r="J113" s="142">
        <f t="shared" si="27"/>
        <v>-7.9233297240931194E-9</v>
      </c>
      <c r="K113" s="142">
        <f t="shared" si="28"/>
        <v>3.0123659446517244E-3</v>
      </c>
      <c r="L113" s="142">
        <f t="shared" si="29"/>
        <v>-1.1470010391851923E-3</v>
      </c>
      <c r="N113" s="145"/>
      <c r="O113" s="145"/>
      <c r="P113" s="398">
        <f t="shared" si="30"/>
        <v>-4.5259570295609367E-7</v>
      </c>
      <c r="Q113" s="514">
        <f t="shared" si="34"/>
        <v>2.3596715528245094E-7</v>
      </c>
      <c r="R113" s="142">
        <f t="shared" si="35"/>
        <v>48644145222.626755</v>
      </c>
    </row>
    <row r="114" spans="1:18" s="146" customFormat="1" x14ac:dyDescent="0.15">
      <c r="A114" s="145">
        <f t="shared" si="21"/>
        <v>3.2865096146676254E-10</v>
      </c>
      <c r="B114" s="145">
        <f t="shared" si="22"/>
        <v>2.8624302124160917E-5</v>
      </c>
      <c r="C114" s="145">
        <f t="shared" si="23"/>
        <v>2.1713753692248778E-3</v>
      </c>
      <c r="D114" s="146">
        <f t="shared" si="18"/>
        <v>1.5848931924611082E-11</v>
      </c>
      <c r="E114" s="145">
        <f t="shared" si="24"/>
        <v>3.8018939632056123E-3</v>
      </c>
      <c r="F114" s="141">
        <v>10.8</v>
      </c>
      <c r="G114" s="145">
        <f t="shared" si="33"/>
        <v>2.1880880125081597E-5</v>
      </c>
      <c r="H114" s="142">
        <f t="shared" si="25"/>
        <v>-1.8726633916237834E-3</v>
      </c>
      <c r="I114" s="145"/>
      <c r="J114" s="142">
        <f t="shared" si="27"/>
        <v>-7.9274334153181984E-9</v>
      </c>
      <c r="K114" s="142">
        <f t="shared" si="28"/>
        <v>3.7943081874553205E-3</v>
      </c>
      <c r="L114" s="142">
        <f t="shared" si="29"/>
        <v>-1.9216527232649523E-3</v>
      </c>
      <c r="N114" s="145"/>
      <c r="O114" s="145"/>
      <c r="P114" s="398">
        <f t="shared" si="30"/>
        <v>-1.7102515844193407E-7</v>
      </c>
      <c r="Q114" s="514">
        <f t="shared" si="34"/>
        <v>1.4938680066671022E-7</v>
      </c>
      <c r="R114" s="142">
        <f t="shared" si="35"/>
        <v>76836912753.347046</v>
      </c>
    </row>
    <row r="115" spans="1:18" s="146" customFormat="1" x14ac:dyDescent="0.15">
      <c r="A115" s="145">
        <f t="shared" si="21"/>
        <v>2.0792114737678272E-10</v>
      </c>
      <c r="B115" s="145">
        <f t="shared" si="22"/>
        <v>2.2798100461571605E-5</v>
      </c>
      <c r="C115" s="145">
        <f t="shared" si="23"/>
        <v>2.1772016916172814E-3</v>
      </c>
      <c r="D115" s="146">
        <f t="shared" si="18"/>
        <v>1.2589254117941641E-11</v>
      </c>
      <c r="E115" s="145">
        <f t="shared" si="24"/>
        <v>4.7863009232263784E-3</v>
      </c>
      <c r="F115" s="141">
        <v>10.9</v>
      </c>
      <c r="G115" s="145">
        <f t="shared" si="33"/>
        <v>2.1881121584709778E-5</v>
      </c>
      <c r="H115" s="142">
        <f t="shared" si="25"/>
        <v>-1.8784895932863726E-3</v>
      </c>
      <c r="I115" s="145"/>
      <c r="J115" s="142">
        <f t="shared" si="27"/>
        <v>-7.9306930931248666E-9</v>
      </c>
      <c r="K115" s="142">
        <f t="shared" si="28"/>
        <v>4.7787151474760863E-3</v>
      </c>
      <c r="L115" s="142">
        <f t="shared" si="29"/>
        <v>-2.9002334848828065E-3</v>
      </c>
      <c r="N115" s="145"/>
      <c r="O115" s="145"/>
      <c r="P115" s="398">
        <f t="shared" si="30"/>
        <v>-7.169117536934598E-8</v>
      </c>
      <c r="Q115" s="514">
        <f t="shared" si="34"/>
        <v>9.4509612443992144E-8</v>
      </c>
      <c r="R115" s="142">
        <f t="shared" si="35"/>
        <v>121452413913.26147</v>
      </c>
    </row>
    <row r="116" spans="1:18" s="146" customFormat="1" x14ac:dyDescent="0.15">
      <c r="A116" s="145">
        <f t="shared" si="21"/>
        <v>1.3146958463948284E-10</v>
      </c>
      <c r="B116" s="145">
        <f t="shared" si="22"/>
        <v>1.8147854591021878E-5</v>
      </c>
      <c r="C116" s="145">
        <f t="shared" si="23"/>
        <v>2.1818520139393932E-3</v>
      </c>
      <c r="D116" s="146">
        <f t="shared" si="18"/>
        <v>9.9999999999999994E-12</v>
      </c>
      <c r="E116" s="145">
        <f t="shared" si="24"/>
        <v>6.0255958607435666E-3</v>
      </c>
      <c r="F116" s="141">
        <v>11</v>
      </c>
      <c r="G116" s="145">
        <f t="shared" si="33"/>
        <v>2.1881274487835252E-5</v>
      </c>
      <c r="H116" s="142">
        <f t="shared" si="25"/>
        <v>-1.8831398391569224E-3</v>
      </c>
      <c r="I116" s="145"/>
      <c r="J116" s="142">
        <f t="shared" si="27"/>
        <v>-7.933282347242809E-9</v>
      </c>
      <c r="K116" s="142">
        <f t="shared" si="28"/>
        <v>6.0180100849932744E-3</v>
      </c>
      <c r="L116" s="142">
        <f t="shared" si="29"/>
        <v>-4.1348781791186989E-3</v>
      </c>
      <c r="N116" s="145"/>
      <c r="O116" s="145"/>
      <c r="P116" s="398">
        <f t="shared" si="30"/>
        <v>-3.1795273994626862E-8</v>
      </c>
      <c r="Q116" s="514">
        <f t="shared" si="34"/>
        <v>5.9758902108855832E-8</v>
      </c>
      <c r="R116" s="142">
        <f t="shared" si="35"/>
        <v>192078839541.27469</v>
      </c>
    </row>
    <row r="117" spans="1:18" s="146" customFormat="1" x14ac:dyDescent="0.15">
      <c r="A117" s="145">
        <f t="shared" si="21"/>
        <v>8.309267616423688E-11</v>
      </c>
      <c r="B117" s="145">
        <f t="shared" si="22"/>
        <v>1.44398521501214E-5</v>
      </c>
      <c r="C117" s="145">
        <f t="shared" si="23"/>
        <v>2.1855600647572031E-3</v>
      </c>
      <c r="D117" s="146">
        <f t="shared" si="18"/>
        <v>7.9432823472428101E-12</v>
      </c>
      <c r="E117" s="145">
        <f t="shared" si="24"/>
        <v>7.5857757502918169E-3</v>
      </c>
      <c r="F117" s="141">
        <v>11.1</v>
      </c>
      <c r="G117" s="145">
        <f t="shared" si="33"/>
        <v>2.1881371241652202E-5</v>
      </c>
      <c r="H117" s="142">
        <f t="shared" si="25"/>
        <v>-1.8868478415978228E-3</v>
      </c>
      <c r="I117" s="145"/>
      <c r="J117" s="142">
        <f t="shared" si="27"/>
        <v>-7.9353390648955667E-9</v>
      </c>
      <c r="K117" s="142">
        <f t="shared" si="28"/>
        <v>7.5781899745415247E-3</v>
      </c>
      <c r="L117" s="142">
        <f t="shared" si="29"/>
        <v>-5.6913500682827661E-3</v>
      </c>
      <c r="N117" s="145"/>
      <c r="O117" s="145"/>
      <c r="P117" s="398">
        <f t="shared" si="30"/>
        <v>-1.4599818174478973E-8</v>
      </c>
      <c r="Q117" s="514">
        <f t="shared" si="34"/>
        <v>3.7769398256471306E-8</v>
      </c>
      <c r="R117" s="142">
        <f t="shared" si="35"/>
        <v>303907954566.44531</v>
      </c>
    </row>
    <row r="118" spans="1:18" s="146" customFormat="1" x14ac:dyDescent="0.15">
      <c r="A118" s="145">
        <f t="shared" si="21"/>
        <v>5.2498805312249651E-11</v>
      </c>
      <c r="B118" s="145">
        <f t="shared" si="22"/>
        <v>1.1485487156533838E-5</v>
      </c>
      <c r="C118" s="145">
        <f t="shared" si="23"/>
        <v>2.1885144603446612E-3</v>
      </c>
      <c r="D118" s="146">
        <f t="shared" si="18"/>
        <v>6.3095734448019345E-12</v>
      </c>
      <c r="E118" s="145">
        <f t="shared" si="24"/>
        <v>9.5499258602143242E-3</v>
      </c>
      <c r="F118" s="141">
        <v>11.2</v>
      </c>
      <c r="G118" s="145">
        <f t="shared" si="33"/>
        <v>2.1881432429393904E-5</v>
      </c>
      <c r="H118" s="142">
        <f t="shared" si="25"/>
        <v>-1.8898022065914105E-3</v>
      </c>
      <c r="I118" s="145"/>
      <c r="J118" s="142">
        <f t="shared" si="27"/>
        <v>-7.9369727737980067E-9</v>
      </c>
      <c r="K118" s="142">
        <f t="shared" si="28"/>
        <v>9.5423400844640328E-3</v>
      </c>
      <c r="L118" s="142">
        <f t="shared" si="29"/>
        <v>-7.6525458148453962E-3</v>
      </c>
      <c r="N118" s="145"/>
      <c r="O118" s="145"/>
      <c r="P118" s="398">
        <f t="shared" si="30"/>
        <v>-6.8603059141972977E-9</v>
      </c>
      <c r="Q118" s="514">
        <f t="shared" si="34"/>
        <v>2.3863093323749839E-8</v>
      </c>
      <c r="R118" s="142">
        <f t="shared" si="35"/>
        <v>481011426875.89948</v>
      </c>
    </row>
    <row r="119" spans="1:18" s="146" customFormat="1" x14ac:dyDescent="0.15">
      <c r="A119" s="145">
        <f t="shared" si="21"/>
        <v>3.3160112606715995E-11</v>
      </c>
      <c r="B119" s="145">
        <f t="shared" si="22"/>
        <v>9.1330533947343267E-6</v>
      </c>
      <c r="C119" s="145">
        <f t="shared" si="23"/>
        <v>2.1908669134451529E-3</v>
      </c>
      <c r="D119" s="146">
        <f t="shared" si="18"/>
        <v>5.0118723362726945E-12</v>
      </c>
      <c r="E119" s="145">
        <f t="shared" si="24"/>
        <v>1.2022644346174179E-2</v>
      </c>
      <c r="F119" s="141">
        <v>11.3</v>
      </c>
      <c r="G119" s="145">
        <f t="shared" si="33"/>
        <v>2.1881471106779316E-5</v>
      </c>
      <c r="H119" s="142">
        <f t="shared" si="25"/>
        <v>-1.89215464035321E-3</v>
      </c>
      <c r="I119" s="145"/>
      <c r="J119" s="142">
        <f t="shared" si="27"/>
        <v>-7.9382704749065363E-9</v>
      </c>
      <c r="K119" s="142">
        <f t="shared" si="28"/>
        <v>1.2015058570423887E-2</v>
      </c>
      <c r="L119" s="142">
        <f t="shared" si="29"/>
        <v>-1.0122911868341153E-2</v>
      </c>
      <c r="N119" s="145"/>
      <c r="O119" s="145"/>
      <c r="P119" s="398">
        <f t="shared" si="30"/>
        <v>-3.2757484247612996E-9</v>
      </c>
      <c r="Q119" s="514">
        <f t="shared" si="34"/>
        <v>1.5072778457598178E-8</v>
      </c>
      <c r="R119" s="142">
        <f t="shared" si="35"/>
        <v>761533157381.70325</v>
      </c>
    </row>
    <row r="120" spans="1:18" s="146" customFormat="1" x14ac:dyDescent="0.15">
      <c r="A120" s="145">
        <f t="shared" si="21"/>
        <v>2.0940496192604672E-11</v>
      </c>
      <c r="B120" s="145">
        <f t="shared" si="22"/>
        <v>7.2608416967369895E-6</v>
      </c>
      <c r="C120" s="145">
        <f t="shared" si="23"/>
        <v>2.1927391373627665E-3</v>
      </c>
      <c r="D120" s="146">
        <f t="shared" si="18"/>
        <v>3.9810717055349533E-12</v>
      </c>
      <c r="E120" s="145">
        <f t="shared" si="24"/>
        <v>1.5135612484362128E-2</v>
      </c>
      <c r="F120" s="141">
        <v>11.4</v>
      </c>
      <c r="G120" s="145">
        <f t="shared" si="33"/>
        <v>2.1881495546012146E-5</v>
      </c>
      <c r="H120" s="142">
        <f t="shared" si="25"/>
        <v>-1.8940268520512072E-3</v>
      </c>
      <c r="I120" s="145"/>
      <c r="J120" s="142">
        <f t="shared" si="27"/>
        <v>-7.9393012755372741E-9</v>
      </c>
      <c r="K120" s="142">
        <f t="shared" si="28"/>
        <v>1.5128026708611837E-2</v>
      </c>
      <c r="L120" s="142">
        <f t="shared" si="29"/>
        <v>-1.3234007795861905E-2</v>
      </c>
      <c r="N120" s="145"/>
      <c r="O120" s="145"/>
      <c r="P120" s="398">
        <f t="shared" si="30"/>
        <v>-1.5823246076031844E-9</v>
      </c>
      <c r="Q120" s="514">
        <f t="shared" si="34"/>
        <v>9.51840736027485E-9</v>
      </c>
      <c r="R120" s="142">
        <f t="shared" si="35"/>
        <v>1205918189342.7825</v>
      </c>
    </row>
    <row r="121" spans="1:18" s="146" customFormat="1" x14ac:dyDescent="0.15">
      <c r="A121" s="145">
        <f t="shared" si="21"/>
        <v>1.3221534634615015E-11</v>
      </c>
      <c r="B121" s="145">
        <f t="shared" si="22"/>
        <v>5.7714091945211595E-6</v>
      </c>
      <c r="C121" s="145">
        <f t="shared" si="23"/>
        <v>2.1942285775839441E-3</v>
      </c>
      <c r="D121" s="146">
        <f t="shared" si="18"/>
        <v>3.1622776601683669E-12</v>
      </c>
      <c r="E121" s="145">
        <f t="shared" si="24"/>
        <v>1.9054607179632515E-2</v>
      </c>
      <c r="F121" s="141">
        <v>11.5</v>
      </c>
      <c r="G121" s="145">
        <f t="shared" si="33"/>
        <v>2.1881510983935262E-5</v>
      </c>
      <c r="H121" s="142">
        <f t="shared" si="25"/>
        <v>-1.895516284553423E-3</v>
      </c>
      <c r="I121" s="145"/>
      <c r="J121" s="142">
        <f t="shared" si="27"/>
        <v>-7.9401200695826404E-9</v>
      </c>
      <c r="K121" s="142">
        <f t="shared" si="28"/>
        <v>1.9047021403882224E-2</v>
      </c>
      <c r="L121" s="142">
        <f t="shared" si="29"/>
        <v>-1.715151305944887E-2</v>
      </c>
      <c r="N121" s="145"/>
      <c r="O121" s="145"/>
      <c r="P121" s="398">
        <f t="shared" si="30"/>
        <v>-7.7086695434903298E-10</v>
      </c>
      <c r="Q121" s="514">
        <f t="shared" si="34"/>
        <v>6.0097884702795521E-9</v>
      </c>
      <c r="R121" s="142">
        <f t="shared" si="35"/>
        <v>1909954173278.2034</v>
      </c>
    </row>
    <row r="122" spans="1:18" s="146" customFormat="1" x14ac:dyDescent="0.15">
      <c r="A122" s="145">
        <f t="shared" si="21"/>
        <v>8.3467279010100735E-12</v>
      </c>
      <c r="B122" s="145">
        <f t="shared" si="22"/>
        <v>4.5868681445728938E-6</v>
      </c>
      <c r="C122" s="145">
        <f t="shared" si="23"/>
        <v>2.1954131235086996E-3</v>
      </c>
      <c r="D122" s="146">
        <f t="shared" si="18"/>
        <v>2.5118864315095726E-12</v>
      </c>
      <c r="E122" s="145">
        <f t="shared" si="24"/>
        <v>2.3988329190194935E-2</v>
      </c>
      <c r="F122" s="141">
        <v>11.6</v>
      </c>
      <c r="G122" s="145">
        <f t="shared" si="33"/>
        <v>2.1881520733548728E-5</v>
      </c>
      <c r="H122" s="142">
        <f t="shared" si="25"/>
        <v>-1.8967008256033713E-3</v>
      </c>
      <c r="I122" s="145"/>
      <c r="J122" s="142">
        <f t="shared" si="27"/>
        <v>-7.9407704608112988E-9</v>
      </c>
      <c r="K122" s="142">
        <f t="shared" si="28"/>
        <v>2.3980743414444644E-2</v>
      </c>
      <c r="L122" s="142">
        <f t="shared" si="29"/>
        <v>-2.2084050529611734E-2</v>
      </c>
      <c r="N122" s="145"/>
      <c r="O122" s="145"/>
      <c r="P122" s="398">
        <f t="shared" si="30"/>
        <v>-3.7795276232583498E-10</v>
      </c>
      <c r="Q122" s="514">
        <f t="shared" si="34"/>
        <v>3.7939672277318515E-9</v>
      </c>
      <c r="R122" s="142">
        <f t="shared" si="35"/>
        <v>3025440094850.7422</v>
      </c>
    </row>
    <row r="123" spans="1:18" s="146" customFormat="1" x14ac:dyDescent="0.15">
      <c r="A123" s="145">
        <f t="shared" si="21"/>
        <v>5.2686885626462359E-12</v>
      </c>
      <c r="B123" s="145">
        <f t="shared" si="22"/>
        <v>3.6450419237650393E-6</v>
      </c>
      <c r="C123" s="145">
        <f t="shared" si="23"/>
        <v>2.1963549528075466E-3</v>
      </c>
      <c r="D123" s="146">
        <f t="shared" si="18"/>
        <v>1.9952623149688759E-12</v>
      </c>
      <c r="E123" s="145">
        <f t="shared" si="24"/>
        <v>3.0199517204020185E-2</v>
      </c>
      <c r="F123" s="141">
        <v>11.7</v>
      </c>
      <c r="G123" s="145">
        <f t="shared" si="33"/>
        <v>2.1881526889627403E-5</v>
      </c>
      <c r="H123" s="142">
        <f t="shared" si="25"/>
        <v>-1.8976426518241792E-3</v>
      </c>
      <c r="I123" s="145"/>
      <c r="J123" s="142">
        <f t="shared" si="27"/>
        <v>-7.9412870849278398E-9</v>
      </c>
      <c r="K123" s="142">
        <f t="shared" si="28"/>
        <v>3.0191931428269893E-2</v>
      </c>
      <c r="L123" s="142">
        <f t="shared" si="29"/>
        <v>-2.82942967177328E-2</v>
      </c>
      <c r="N123" s="145"/>
      <c r="O123" s="145"/>
      <c r="P123" s="398">
        <f t="shared" si="30"/>
        <v>-1.8621026757467368E-10</v>
      </c>
      <c r="Q123" s="514">
        <f t="shared" si="34"/>
        <v>2.3948584375664708E-9</v>
      </c>
      <c r="R123" s="142">
        <f t="shared" si="35"/>
        <v>4792943244275.1934</v>
      </c>
    </row>
    <row r="124" spans="1:18" s="146" customFormat="1" x14ac:dyDescent="0.15">
      <c r="A124" s="145">
        <f t="shared" si="21"/>
        <v>3.325450943411474E-12</v>
      </c>
      <c r="B124" s="145">
        <f t="shared" si="22"/>
        <v>2.8963466918964973E-6</v>
      </c>
      <c r="C124" s="145">
        <f t="shared" si="23"/>
        <v>2.1971036499826529E-3</v>
      </c>
      <c r="D124" s="146">
        <f t="shared" si="18"/>
        <v>1.5848931924611065E-12</v>
      </c>
      <c r="E124" s="145">
        <f t="shared" si="24"/>
        <v>3.8018939632056263E-2</v>
      </c>
      <c r="F124" s="141">
        <v>11.8</v>
      </c>
      <c r="G124" s="145">
        <f t="shared" si="33"/>
        <v>2.1881530776102645E-5</v>
      </c>
      <c r="H124" s="142">
        <f t="shared" si="25"/>
        <v>-1.8983913470560479E-3</v>
      </c>
      <c r="I124" s="145"/>
      <c r="J124" s="142">
        <f t="shared" si="27"/>
        <v>-7.9416974540503474E-9</v>
      </c>
      <c r="K124" s="142">
        <f t="shared" si="28"/>
        <v>3.8011353856305968E-2</v>
      </c>
      <c r="L124" s="142">
        <f t="shared" si="29"/>
        <v>-3.6112970450947371E-2</v>
      </c>
      <c r="N124" s="145"/>
      <c r="O124" s="145"/>
      <c r="P124" s="398">
        <f t="shared" si="30"/>
        <v>-9.2084669355251992E-11</v>
      </c>
      <c r="Q124" s="514">
        <f t="shared" si="34"/>
        <v>1.5115686106415791E-9</v>
      </c>
      <c r="R124" s="142">
        <f t="shared" si="35"/>
        <v>7593714561496.2812</v>
      </c>
    </row>
    <row r="125" spans="1:18" s="146" customFormat="1" x14ac:dyDescent="0.15">
      <c r="A125" s="145">
        <f t="shared" si="21"/>
        <v>2.0987859885179991E-12</v>
      </c>
      <c r="B125" s="145">
        <f t="shared" si="22"/>
        <v>2.3012730747808088E-6</v>
      </c>
      <c r="C125" s="145">
        <f t="shared" si="23"/>
        <v>2.1976987248264333E-3</v>
      </c>
      <c r="D125" s="146">
        <f t="shared" si="18"/>
        <v>1.2589254117941629E-12</v>
      </c>
      <c r="E125" s="145">
        <f t="shared" si="24"/>
        <v>4.7863009232263991E-2</v>
      </c>
      <c r="F125" s="141">
        <v>11.9</v>
      </c>
      <c r="G125" s="145">
        <f t="shared" si="33"/>
        <v>2.1881533229432552E-5</v>
      </c>
      <c r="H125" s="142">
        <f t="shared" si="25"/>
        <v>-1.8989864206731635E-3</v>
      </c>
      <c r="I125" s="145"/>
      <c r="J125" s="142">
        <f t="shared" si="27"/>
        <v>-7.9420234218310153E-9</v>
      </c>
      <c r="K125" s="142">
        <f t="shared" si="28"/>
        <v>4.7855423456513696E-2</v>
      </c>
      <c r="L125" s="142">
        <f t="shared" si="29"/>
        <v>-4.5956444977863956E-2</v>
      </c>
      <c r="N125" s="145"/>
      <c r="O125" s="145"/>
      <c r="P125" s="398">
        <f t="shared" si="30"/>
        <v>-4.5669023997154926E-11</v>
      </c>
      <c r="Q125" s="514">
        <f t="shared" si="34"/>
        <v>9.5399363114454497E-10</v>
      </c>
      <c r="R125" s="142">
        <f t="shared" si="35"/>
        <v>12031967714038.648</v>
      </c>
    </row>
    <row r="126" spans="1:18" s="146" customFormat="1" x14ac:dyDescent="0.15">
      <c r="A126" s="145">
        <f t="shared" si="21"/>
        <v>1.3245293930026226E-12</v>
      </c>
      <c r="B126" s="145">
        <f t="shared" si="22"/>
        <v>1.8283595321048257E-6</v>
      </c>
      <c r="C126" s="145">
        <f t="shared" si="23"/>
        <v>2.1981716391433659E-3</v>
      </c>
      <c r="D126" s="146">
        <f t="shared" si="18"/>
        <v>9.9999999999999998E-13</v>
      </c>
      <c r="E126" s="145">
        <f t="shared" si="24"/>
        <v>6.025595860743567E-2</v>
      </c>
      <c r="F126" s="141">
        <v>12</v>
      </c>
      <c r="G126" s="145">
        <f t="shared" si="33"/>
        <v>2.1881534777945745E-5</v>
      </c>
      <c r="H126" s="142">
        <f t="shared" si="25"/>
        <v>-1.8994593342158395E-3</v>
      </c>
      <c r="I126" s="145"/>
      <c r="J126" s="142">
        <f t="shared" si="27"/>
        <v>-7.9422823472428092E-9</v>
      </c>
      <c r="K126" s="142">
        <f t="shared" si="28"/>
        <v>6.0248372831685375E-2</v>
      </c>
      <c r="L126" s="142">
        <f t="shared" si="29"/>
        <v>-5.8348921439751879E-2</v>
      </c>
      <c r="N126" s="145"/>
      <c r="O126" s="145"/>
      <c r="P126" s="398">
        <f t="shared" si="30"/>
        <v>-2.2700152124838573E-11</v>
      </c>
      <c r="Q126" s="514">
        <f t="shared" si="34"/>
        <v>6.0205881500119205E-10</v>
      </c>
      <c r="R126" s="142">
        <f t="shared" si="35"/>
        <v>19065281137536.262</v>
      </c>
    </row>
    <row r="127" spans="1:18" s="146" customFormat="1" x14ac:dyDescent="0.15">
      <c r="A127" s="145">
        <f t="shared" si="21"/>
        <v>8.3586442144077911E-13</v>
      </c>
      <c r="B127" s="145">
        <f t="shared" si="22"/>
        <v>1.4525658843019012E-6</v>
      </c>
      <c r="C127" s="145">
        <f t="shared" si="23"/>
        <v>2.1985474332798338E-3</v>
      </c>
      <c r="D127" s="146">
        <f t="shared" si="18"/>
        <v>7.9432823472428024E-13</v>
      </c>
      <c r="E127" s="145">
        <f t="shared" si="24"/>
        <v>7.5857757502918483E-2</v>
      </c>
      <c r="F127" s="141">
        <v>12.1</v>
      </c>
      <c r="G127" s="145">
        <f t="shared" si="33"/>
        <v>2.1881535755275687E-5</v>
      </c>
      <c r="H127" s="142">
        <f t="shared" si="25"/>
        <v>-1.8998351278636423E-3</v>
      </c>
      <c r="I127" s="145"/>
      <c r="J127" s="142">
        <f t="shared" si="27"/>
        <v>-7.9424880190080837E-9</v>
      </c>
      <c r="K127" s="142">
        <f t="shared" si="28"/>
        <v>7.5850171727168195E-2</v>
      </c>
      <c r="L127" s="142">
        <f t="shared" si="29"/>
        <v>-7.395034454179257E-2</v>
      </c>
      <c r="N127" s="145"/>
      <c r="O127" s="145"/>
      <c r="P127" s="398">
        <f t="shared" si="30"/>
        <v>-1.130304972370204E-11</v>
      </c>
      <c r="Q127" s="514">
        <f t="shared" si="34"/>
        <v>3.7993837338217233E-10</v>
      </c>
      <c r="R127" s="142">
        <f t="shared" si="35"/>
        <v>30211269441277.914</v>
      </c>
    </row>
    <row r="128" spans="1:18" s="146" customFormat="1" x14ac:dyDescent="0.15">
      <c r="A128" s="145">
        <f t="shared" si="21"/>
        <v>5.274664237435464E-13</v>
      </c>
      <c r="B128" s="145">
        <f t="shared" si="22"/>
        <v>1.1539707997880417E-6</v>
      </c>
      <c r="C128" s="145">
        <f t="shared" si="23"/>
        <v>2.198846028672746E-3</v>
      </c>
      <c r="D128" s="146">
        <f t="shared" si="18"/>
        <v>6.3095734448019283E-13</v>
      </c>
      <c r="E128" s="145">
        <f t="shared" si="24"/>
        <v>9.5499258602143686E-2</v>
      </c>
      <c r="F128" s="141">
        <v>12.2</v>
      </c>
      <c r="G128" s="145">
        <f t="shared" si="33"/>
        <v>2.1881536372071683E-5</v>
      </c>
      <c r="H128" s="142">
        <f t="shared" si="25"/>
        <v>-1.9001337229481562E-3</v>
      </c>
      <c r="I128" s="145"/>
      <c r="J128" s="142">
        <f t="shared" si="27"/>
        <v>-7.9426513898983282E-9</v>
      </c>
      <c r="K128" s="142">
        <f t="shared" si="28"/>
        <v>9.5491672826393398E-2</v>
      </c>
      <c r="L128" s="142">
        <f t="shared" si="29"/>
        <v>-9.3591547046096624E-2</v>
      </c>
      <c r="N128" s="145"/>
      <c r="O128" s="145"/>
      <c r="P128" s="398">
        <f t="shared" si="30"/>
        <v>-5.6358340084254987E-12</v>
      </c>
      <c r="Q128" s="514">
        <f t="shared" si="34"/>
        <v>2.3975746533797564E-10</v>
      </c>
      <c r="R128" s="142">
        <f t="shared" si="35"/>
        <v>47875133119000.203</v>
      </c>
    </row>
    <row r="129" spans="1:18" s="146" customFormat="1" x14ac:dyDescent="0.15">
      <c r="A129" s="145">
        <f t="shared" si="21"/>
        <v>3.328447218316052E-13</v>
      </c>
      <c r="B129" s="145">
        <f t="shared" si="22"/>
        <v>9.1673048662321518E-7</v>
      </c>
      <c r="C129" s="145">
        <f t="shared" si="23"/>
        <v>2.1990832691805326E-3</v>
      </c>
      <c r="D129" s="146">
        <f t="shared" si="18"/>
        <v>5.0118723362727066E-13</v>
      </c>
      <c r="E129" s="145">
        <f t="shared" si="24"/>
        <v>0.12022644346174129</v>
      </c>
      <c r="F129" s="141">
        <v>12.3</v>
      </c>
      <c r="G129" s="145">
        <f t="shared" si="33"/>
        <v>2.1881536761315086E-5</v>
      </c>
      <c r="H129" s="142">
        <f t="shared" si="25"/>
        <v>-1.9003709632613212E-3</v>
      </c>
      <c r="I129" s="145"/>
      <c r="J129" s="142">
        <f t="shared" si="27"/>
        <v>-7.9427811600091808E-9</v>
      </c>
      <c r="K129" s="142">
        <f t="shared" si="28"/>
        <v>0.120218857685991</v>
      </c>
      <c r="L129" s="142">
        <f t="shared" si="29"/>
        <v>-0.11831849466551084</v>
      </c>
      <c r="N129" s="145"/>
      <c r="O129" s="145"/>
      <c r="P129" s="398">
        <f t="shared" si="30"/>
        <v>-2.8131250551535922E-12</v>
      </c>
      <c r="Q129" s="514">
        <f t="shared" si="34"/>
        <v>1.5129305537800235E-10</v>
      </c>
      <c r="R129" s="142">
        <f t="shared" si="35"/>
        <v>75868786843197</v>
      </c>
    </row>
    <row r="130" spans="1:18" s="146" customFormat="1" x14ac:dyDescent="0.15">
      <c r="A130" s="145">
        <f t="shared" si="21"/>
        <v>2.100288218253432E-13</v>
      </c>
      <c r="B130" s="145">
        <f t="shared" si="22"/>
        <v>7.2824732183975428E-7</v>
      </c>
      <c r="C130" s="145">
        <f t="shared" si="23"/>
        <v>2.1992717524681317E-3</v>
      </c>
      <c r="D130" s="146">
        <f t="shared" si="18"/>
        <v>3.9810717055349631E-13</v>
      </c>
      <c r="E130" s="145">
        <f t="shared" si="24"/>
        <v>0.15135612484362068</v>
      </c>
      <c r="F130" s="141">
        <v>12.4</v>
      </c>
      <c r="G130" s="145">
        <f t="shared" si="33"/>
        <v>2.1881537006946885E-5</v>
      </c>
      <c r="H130" s="142">
        <f t="shared" si="25"/>
        <v>-1.9005594464261044E-3</v>
      </c>
      <c r="I130" s="145"/>
      <c r="J130" s="142">
        <f t="shared" si="27"/>
        <v>-7.9428842400722551E-9</v>
      </c>
      <c r="K130" s="142">
        <f t="shared" si="28"/>
        <v>0.15134853906787038</v>
      </c>
      <c r="L130" s="142">
        <f t="shared" si="29"/>
        <v>-0.1494479875643285</v>
      </c>
      <c r="N130" s="145"/>
      <c r="O130" s="145"/>
      <c r="P130" s="398">
        <f t="shared" si="30"/>
        <v>-1.4053640015389183E-12</v>
      </c>
      <c r="Q130" s="514">
        <f t="shared" si="34"/>
        <v>9.546764628424691E-11</v>
      </c>
      <c r="R130" s="142">
        <f t="shared" si="35"/>
        <v>120233618572239.92</v>
      </c>
    </row>
    <row r="131" spans="1:18" s="146" customFormat="1" x14ac:dyDescent="0.15">
      <c r="A131" s="145">
        <f t="shared" si="21"/>
        <v>1.3252825044685584E-13</v>
      </c>
      <c r="B131" s="145">
        <f t="shared" si="22"/>
        <v>5.7850679539142359E-7</v>
      </c>
      <c r="C131" s="145">
        <f t="shared" si="23"/>
        <v>2.1994214930720806E-3</v>
      </c>
      <c r="D131" s="146">
        <f t="shared" si="18"/>
        <v>3.1622776601683746E-13</v>
      </c>
      <c r="E131" s="145">
        <f t="shared" si="24"/>
        <v>0.19054607179632441</v>
      </c>
      <c r="F131" s="141">
        <v>12.5</v>
      </c>
      <c r="G131" s="145">
        <f t="shared" si="33"/>
        <v>2.1881537161948029E-5</v>
      </c>
      <c r="H131" s="142">
        <f t="shared" si="25"/>
        <v>-1.9007091869525528E-3</v>
      </c>
      <c r="I131" s="145"/>
      <c r="J131" s="142">
        <f t="shared" si="27"/>
        <v>-7.9429661194767926E-9</v>
      </c>
      <c r="K131" s="142">
        <f t="shared" si="28"/>
        <v>0.1905384860205741</v>
      </c>
      <c r="L131" s="142">
        <f t="shared" si="29"/>
        <v>-0.18863778477658766</v>
      </c>
      <c r="N131" s="145"/>
      <c r="O131" s="145"/>
      <c r="P131" s="398">
        <f t="shared" si="30"/>
        <v>-7.0255410708843461E-13</v>
      </c>
      <c r="Q131" s="514">
        <f t="shared" si="34"/>
        <v>6.024011383947992E-11</v>
      </c>
      <c r="R131" s="142">
        <f t="shared" si="35"/>
        <v>190544470083769.62</v>
      </c>
    </row>
    <row r="132" spans="1:18" s="146" customFormat="1" x14ac:dyDescent="0.15">
      <c r="A132" s="145">
        <f t="shared" si="21"/>
        <v>8.3624195616509574E-14</v>
      </c>
      <c r="B132" s="145">
        <f t="shared" si="22"/>
        <v>4.5954913534737519E-7</v>
      </c>
      <c r="C132" s="145">
        <f t="shared" si="23"/>
        <v>2.1995404507810287E-3</v>
      </c>
      <c r="D132" s="146">
        <f t="shared" si="18"/>
        <v>2.511886431509579E-13</v>
      </c>
      <c r="E132" s="145">
        <f t="shared" si="24"/>
        <v>0.23988329190194846</v>
      </c>
      <c r="F132" s="141">
        <v>12.6</v>
      </c>
      <c r="G132" s="145">
        <f t="shared" si="33"/>
        <v>2.188153725975614E-5</v>
      </c>
      <c r="H132" s="142">
        <f t="shared" si="25"/>
        <v>-1.9008281446125969E-3</v>
      </c>
      <c r="I132" s="145"/>
      <c r="J132" s="142">
        <f t="shared" si="27"/>
        <v>-7.9430311585996571E-9</v>
      </c>
      <c r="K132" s="142">
        <f t="shared" si="28"/>
        <v>0.23987570612619816</v>
      </c>
      <c r="L132" s="142">
        <f t="shared" si="29"/>
        <v>-0.23797488592461671</v>
      </c>
      <c r="N132" s="145"/>
      <c r="O132" s="145"/>
      <c r="P132" s="398">
        <f t="shared" si="30"/>
        <v>-3.513992465700738E-13</v>
      </c>
      <c r="Q132" s="514">
        <f t="shared" si="34"/>
        <v>3.8010998007504351E-11</v>
      </c>
      <c r="R132" s="142">
        <f t="shared" si="35"/>
        <v>301976300834393.38</v>
      </c>
    </row>
    <row r="133" spans="1:18" s="146" customFormat="1" x14ac:dyDescent="0.15">
      <c r="A133" s="145">
        <f t="shared" si="21"/>
        <v>5.2765567312695674E-14</v>
      </c>
      <c r="B133" s="145">
        <f t="shared" si="22"/>
        <v>3.650485366503063E-7</v>
      </c>
      <c r="C133" s="145">
        <f t="shared" si="23"/>
        <v>2.1996349514105842E-3</v>
      </c>
      <c r="D133" s="146">
        <f t="shared" si="18"/>
        <v>1.9952623149688807E-13</v>
      </c>
      <c r="E133" s="145">
        <f t="shared" si="24"/>
        <v>0.3019951720402006</v>
      </c>
      <c r="F133" s="141">
        <v>12.7</v>
      </c>
      <c r="G133" s="145">
        <f t="shared" si="33"/>
        <v>2.1881537321473396E-5</v>
      </c>
      <c r="H133" s="142">
        <f t="shared" si="25"/>
        <v>-1.9009226452112939E-3</v>
      </c>
      <c r="I133" s="145"/>
      <c r="J133" s="142">
        <f t="shared" si="27"/>
        <v>-7.9430828210113127E-9</v>
      </c>
      <c r="K133" s="142">
        <f t="shared" si="28"/>
        <v>0.30198758626445033</v>
      </c>
      <c r="L133" s="142">
        <f t="shared" si="29"/>
        <v>-0.30008667156232183</v>
      </c>
      <c r="N133" s="145"/>
      <c r="O133" s="145"/>
      <c r="P133" s="398">
        <f t="shared" si="30"/>
        <v>-1.7583442489460033E-13</v>
      </c>
      <c r="Q133" s="514">
        <f t="shared" si="34"/>
        <v>2.3984348778498032E-11</v>
      </c>
      <c r="R133" s="142">
        <f t="shared" si="35"/>
        <v>478579621874914.69</v>
      </c>
    </row>
    <row r="134" spans="1:18" s="146" customFormat="1" x14ac:dyDescent="0.15">
      <c r="A134" s="145">
        <f t="shared" si="21"/>
        <v>3.3293958466582192E-14</v>
      </c>
      <c r="B134" s="145">
        <f t="shared" si="22"/>
        <v>2.8997825589903159E-7</v>
      </c>
      <c r="C134" s="145">
        <f t="shared" si="23"/>
        <v>2.1997100217108069E-3</v>
      </c>
      <c r="D134" s="146">
        <f t="shared" ref="D134:D146" si="36">10^(-F134)</f>
        <v>1.5848931924611046E-13</v>
      </c>
      <c r="E134" s="145">
        <f t="shared" si="24"/>
        <v>0.38018939632056276</v>
      </c>
      <c r="F134" s="141">
        <v>12.8</v>
      </c>
      <c r="G134" s="145">
        <f t="shared" si="33"/>
        <v>2.1881537360416614E-5</v>
      </c>
      <c r="H134" s="142">
        <f t="shared" si="25"/>
        <v>-1.9009977154920451E-3</v>
      </c>
      <c r="I134" s="145"/>
      <c r="J134" s="142">
        <f t="shared" si="27"/>
        <v>-7.9431238579235624E-9</v>
      </c>
      <c r="K134" s="142">
        <f t="shared" si="28"/>
        <v>0.38018181054481248</v>
      </c>
      <c r="L134" s="142">
        <f t="shared" si="29"/>
        <v>-0.37828082077244429</v>
      </c>
      <c r="N134" s="145"/>
      <c r="O134" s="145"/>
      <c r="P134" s="398">
        <f t="shared" si="30"/>
        <v>-8.8013868634937349E-14</v>
      </c>
      <c r="Q134" s="514">
        <f t="shared" ref="Q134:Q146" si="37">A134/DIC_concentration</f>
        <v>1.5133617484810086E-11</v>
      </c>
      <c r="R134" s="142">
        <f t="shared" ref="R134:R146" si="38">1/(molar_mass*mc_efficiency*A134)</f>
        <v>758471699238518.5</v>
      </c>
    </row>
    <row r="135" spans="1:18" s="146" customFormat="1" x14ac:dyDescent="0.15">
      <c r="A135" s="145">
        <f t="shared" ref="A135:A146" si="39">$B$2/(1+($E$2/D135)+($E$2*$H$2/D135^2))</f>
        <v>2.100763712261501E-14</v>
      </c>
      <c r="B135" s="145">
        <f t="shared" ref="B135:B146" si="40">$B$2/(1+(D135/$E$2)+($H$2/D135))</f>
        <v>2.3034416057435566E-7</v>
      </c>
      <c r="C135" s="145">
        <f t="shared" ref="C135:C146" si="41">$B$2/(1+(D135/$H$2)+(D135^2/($E$2*$H$2)))</f>
        <v>2.1997696558184181E-3</v>
      </c>
      <c r="D135" s="146">
        <f t="shared" si="36"/>
        <v>1.2589254117941612E-13</v>
      </c>
      <c r="E135" s="145">
        <f t="shared" ref="E135:E146" si="42">10^(-(13.22+LOG(D135)))</f>
        <v>0.47863009232263992</v>
      </c>
      <c r="F135" s="141">
        <v>12.9</v>
      </c>
      <c r="G135" s="145">
        <f t="shared" si="33"/>
        <v>2.1881537384989256E-5</v>
      </c>
      <c r="H135" s="142">
        <f t="shared" ref="H135:H146" si="43">B135-$B$87</f>
        <v>-1.90105734958737E-3</v>
      </c>
      <c r="I135" s="145"/>
      <c r="J135" s="142">
        <f t="shared" ref="J135:J146" si="44">D135-$D$87</f>
        <v>-7.9431564547016299E-9</v>
      </c>
      <c r="K135" s="142">
        <f t="shared" ref="K135:K146" si="45">E135-$E$87</f>
        <v>0.47862250654688965</v>
      </c>
      <c r="L135" s="142">
        <f t="shared" ref="L135:L146" si="46">J135-(H135+I135+K135)</f>
        <v>-0.47672145714045877</v>
      </c>
      <c r="N135" s="145"/>
      <c r="O135" s="145"/>
      <c r="P135" s="398">
        <f t="shared" ref="P135:P146" si="47">A135/L135</f>
        <v>-4.4066900719397296E-14</v>
      </c>
      <c r="Q135" s="514">
        <f t="shared" si="37"/>
        <v>9.5489259648250046E-12</v>
      </c>
      <c r="R135" s="142">
        <f t="shared" si="38"/>
        <v>1202064044858265.5</v>
      </c>
    </row>
    <row r="136" spans="1:18" s="146" customFormat="1" x14ac:dyDescent="0.15">
      <c r="A136" s="145">
        <f t="shared" si="39"/>
        <v>1.3255208373345701E-14</v>
      </c>
      <c r="B136" s="145">
        <f t="shared" si="40"/>
        <v>1.8297281062598758E-7</v>
      </c>
      <c r="C136" s="145">
        <f t="shared" si="41"/>
        <v>2.1998170271761187E-3</v>
      </c>
      <c r="D136" s="146">
        <f t="shared" si="36"/>
        <v>1E-13</v>
      </c>
      <c r="E136" s="145">
        <f t="shared" si="42"/>
        <v>0.60255958607435678</v>
      </c>
      <c r="F136" s="141">
        <v>13</v>
      </c>
      <c r="G136" s="145">
        <f t="shared" si="33"/>
        <v>2.1881537400494113E-5</v>
      </c>
      <c r="H136" s="142">
        <f t="shared" si="43"/>
        <v>-1.9011047209373183E-3</v>
      </c>
      <c r="I136" s="145"/>
      <c r="J136" s="142">
        <f t="shared" si="44"/>
        <v>-7.9431823472428083E-9</v>
      </c>
      <c r="K136" s="142">
        <f t="shared" si="45"/>
        <v>0.60255200029860645</v>
      </c>
      <c r="L136" s="142">
        <f t="shared" si="46"/>
        <v>-0.60065090352085149</v>
      </c>
      <c r="N136" s="145"/>
      <c r="O136" s="145"/>
      <c r="P136" s="398">
        <f t="shared" si="47"/>
        <v>-2.2068073644187148E-14</v>
      </c>
      <c r="Q136" s="514">
        <f t="shared" si="37"/>
        <v>6.0250947151571368E-12</v>
      </c>
      <c r="R136" s="142">
        <f t="shared" si="38"/>
        <v>1905102095814986.8</v>
      </c>
    </row>
    <row r="137" spans="1:18" s="146" customFormat="1" x14ac:dyDescent="0.15">
      <c r="A137" s="145">
        <f t="shared" si="39"/>
        <v>8.3636141405140954E-15</v>
      </c>
      <c r="B137" s="145">
        <f t="shared" si="40"/>
        <v>1.4534295584725395E-7</v>
      </c>
      <c r="C137" s="145">
        <f t="shared" si="41"/>
        <v>2.1998546570357897E-3</v>
      </c>
      <c r="D137" s="146">
        <f t="shared" si="36"/>
        <v>7.9432823472427931E-14</v>
      </c>
      <c r="E137" s="145">
        <f t="shared" si="42"/>
        <v>0.7585775750291851</v>
      </c>
      <c r="F137" s="141">
        <v>13.1</v>
      </c>
      <c r="G137" s="145">
        <f t="shared" si="33"/>
        <v>2.1881537410277303E-5</v>
      </c>
      <c r="H137" s="142">
        <f t="shared" si="43"/>
        <v>-1.901142350792097E-3</v>
      </c>
      <c r="I137" s="145"/>
      <c r="J137" s="142">
        <f t="shared" si="44"/>
        <v>-7.9432029144193369E-9</v>
      </c>
      <c r="K137" s="142">
        <f t="shared" si="45"/>
        <v>0.75856998925343477</v>
      </c>
      <c r="L137" s="142">
        <f t="shared" si="46"/>
        <v>-0.75666885484584556</v>
      </c>
      <c r="N137" s="145"/>
      <c r="O137" s="145"/>
      <c r="P137" s="398">
        <f t="shared" si="47"/>
        <v>-1.1053202582545829E-14</v>
      </c>
      <c r="Q137" s="514">
        <f t="shared" si="37"/>
        <v>3.8016427911427705E-12</v>
      </c>
      <c r="R137" s="142">
        <f t="shared" si="38"/>
        <v>3019331694201405.5</v>
      </c>
    </row>
    <row r="138" spans="1:18" s="146" customFormat="1" x14ac:dyDescent="0.15">
      <c r="A138" s="145">
        <f t="shared" si="39"/>
        <v>5.2771554727741153E-15</v>
      </c>
      <c r="B138" s="145">
        <f t="shared" si="40"/>
        <v>1.1545158226950557E-7</v>
      </c>
      <c r="C138" s="145">
        <f t="shared" si="41"/>
        <v>2.1998845484124539E-3</v>
      </c>
      <c r="D138" s="146">
        <f t="shared" si="36"/>
        <v>6.3095734448019215E-14</v>
      </c>
      <c r="E138" s="145">
        <f t="shared" si="42"/>
        <v>0.95499258602143688</v>
      </c>
      <c r="F138" s="141">
        <v>13.2</v>
      </c>
      <c r="G138" s="145">
        <f t="shared" si="33"/>
        <v>2.1881537416450218E-5</v>
      </c>
      <c r="H138" s="142">
        <f t="shared" si="43"/>
        <v>-1.9011722421656747E-3</v>
      </c>
      <c r="I138" s="145"/>
      <c r="J138" s="142">
        <f t="shared" si="44"/>
        <v>-7.9432192515083605E-9</v>
      </c>
      <c r="K138" s="142">
        <f t="shared" si="45"/>
        <v>0.95498500024568655</v>
      </c>
      <c r="L138" s="142">
        <f t="shared" si="46"/>
        <v>-0.95308383594674018</v>
      </c>
      <c r="N138" s="145"/>
      <c r="O138" s="145"/>
      <c r="P138" s="398">
        <f t="shared" si="47"/>
        <v>-5.536926840787394E-15</v>
      </c>
      <c r="Q138" s="514">
        <f t="shared" si="37"/>
        <v>2.3987070330791432E-12</v>
      </c>
      <c r="R138" s="142">
        <f t="shared" si="38"/>
        <v>4785253226441405</v>
      </c>
    </row>
    <row r="139" spans="1:18" s="146" customFormat="1" x14ac:dyDescent="0.15">
      <c r="A139" s="145">
        <f t="shared" si="39"/>
        <v>3.3296959417251623E-15</v>
      </c>
      <c r="B139" s="145">
        <f t="shared" si="40"/>
        <v>9.1707441360880624E-8</v>
      </c>
      <c r="C139" s="145">
        <f t="shared" si="41"/>
        <v>2.1999082925553098E-3</v>
      </c>
      <c r="D139" s="146">
        <f t="shared" si="36"/>
        <v>5.0118723362727011E-14</v>
      </c>
      <c r="E139" s="145">
        <f t="shared" si="42"/>
        <v>1.2022644346174181</v>
      </c>
      <c r="F139" s="141">
        <v>13.3</v>
      </c>
      <c r="G139" s="145">
        <f t="shared" si="33"/>
        <v>2.1881537420345137E-5</v>
      </c>
      <c r="H139" s="142">
        <f t="shared" si="43"/>
        <v>-1.9011959863065833E-3</v>
      </c>
      <c r="I139" s="145"/>
      <c r="J139" s="142">
        <f t="shared" si="44"/>
        <v>-7.9432322285194454E-9</v>
      </c>
      <c r="K139" s="142">
        <f t="shared" si="45"/>
        <v>1.2022568488416678</v>
      </c>
      <c r="L139" s="142">
        <f t="shared" si="46"/>
        <v>-1.2003556607985935</v>
      </c>
      <c r="N139" s="145"/>
      <c r="O139" s="145"/>
      <c r="P139" s="398">
        <f t="shared" si="47"/>
        <v>-2.7739244712770584E-15</v>
      </c>
      <c r="Q139" s="514">
        <f t="shared" si="37"/>
        <v>1.5134981553296191E-12</v>
      </c>
      <c r="R139" s="142">
        <f t="shared" si="38"/>
        <v>7584033405597259</v>
      </c>
    </row>
    <row r="140" spans="1:18" s="146" customFormat="1" x14ac:dyDescent="0.15">
      <c r="A140" s="145">
        <f t="shared" si="39"/>
        <v>2.1009141214402274E-15</v>
      </c>
      <c r="B140" s="145">
        <f t="shared" si="40"/>
        <v>7.2846434553943257E-8</v>
      </c>
      <c r="C140" s="145">
        <f t="shared" si="41"/>
        <v>2.1999271535633452E-3</v>
      </c>
      <c r="D140" s="146">
        <f t="shared" si="36"/>
        <v>3.9810717055349592E-14</v>
      </c>
      <c r="E140" s="145">
        <f t="shared" si="42"/>
        <v>1.5135612484362135</v>
      </c>
      <c r="F140" s="141">
        <v>13.4</v>
      </c>
      <c r="G140" s="145">
        <f t="shared" si="33"/>
        <v>2.1881537422802701E-5</v>
      </c>
      <c r="H140" s="142">
        <f t="shared" si="43"/>
        <v>-1.9012148473133903E-3</v>
      </c>
      <c r="I140" s="145"/>
      <c r="J140" s="142">
        <f t="shared" si="44"/>
        <v>-7.943242536525753E-9</v>
      </c>
      <c r="K140" s="142">
        <f t="shared" si="45"/>
        <v>1.5135536626604633</v>
      </c>
      <c r="L140" s="142">
        <f t="shared" si="46"/>
        <v>-1.5116524557563924</v>
      </c>
      <c r="N140" s="145"/>
      <c r="O140" s="145"/>
      <c r="P140" s="398">
        <f t="shared" si="47"/>
        <v>-1.3898129252130136E-15</v>
      </c>
      <c r="Q140" s="514">
        <f t="shared" si="37"/>
        <v>9.5496096429101238E-13</v>
      </c>
      <c r="R140" s="142">
        <f t="shared" si="38"/>
        <v>1.2019779863830912E+16</v>
      </c>
    </row>
    <row r="141" spans="1:18" s="146" customFormat="1" x14ac:dyDescent="0.15">
      <c r="A141" s="145">
        <f t="shared" si="39"/>
        <v>1.3255962226296396E-15</v>
      </c>
      <c r="B141" s="145">
        <f t="shared" si="40"/>
        <v>5.7864373833559741E-8</v>
      </c>
      <c r="C141" s="145">
        <f t="shared" si="41"/>
        <v>2.1999421356248407E-3</v>
      </c>
      <c r="D141" s="146">
        <f t="shared" si="36"/>
        <v>3.1622776601683714E-14</v>
      </c>
      <c r="E141" s="145">
        <f t="shared" si="42"/>
        <v>1.9054607179632523</v>
      </c>
      <c r="F141" s="141">
        <v>13.5</v>
      </c>
      <c r="G141" s="145">
        <f t="shared" si="33"/>
        <v>2.1881537424353337E-5</v>
      </c>
      <c r="H141" s="142">
        <f t="shared" si="43"/>
        <v>-1.9012298293741108E-3</v>
      </c>
      <c r="I141" s="145"/>
      <c r="J141" s="142">
        <f t="shared" si="44"/>
        <v>-7.9432507244662068E-9</v>
      </c>
      <c r="K141" s="142">
        <f t="shared" si="45"/>
        <v>1.9054531321875021</v>
      </c>
      <c r="L141" s="142">
        <f t="shared" si="46"/>
        <v>-1.9035519103013787</v>
      </c>
      <c r="N141" s="145"/>
      <c r="O141" s="145"/>
      <c r="P141" s="398">
        <f t="shared" si="47"/>
        <v>-6.9638039049839484E-16</v>
      </c>
      <c r="Q141" s="514">
        <f t="shared" si="37"/>
        <v>6.0254373755892704E-13</v>
      </c>
      <c r="R141" s="142">
        <f t="shared" si="38"/>
        <v>1.904993754616378E+16</v>
      </c>
    </row>
    <row r="142" spans="1:18" s="146" customFormat="1" x14ac:dyDescent="0.15">
      <c r="A142" s="145">
        <f t="shared" si="39"/>
        <v>8.3639919704885379E-16</v>
      </c>
      <c r="B142" s="145">
        <f t="shared" si="40"/>
        <v>4.5963554564004217E-8</v>
      </c>
      <c r="C142" s="145">
        <f t="shared" si="41"/>
        <v>2.1999540364445996E-3</v>
      </c>
      <c r="D142" s="146">
        <f t="shared" si="36"/>
        <v>2.511886431509576E-14</v>
      </c>
      <c r="E142" s="145">
        <f t="shared" si="42"/>
        <v>2.3988329190194952</v>
      </c>
      <c r="F142" s="141">
        <v>13.6</v>
      </c>
      <c r="G142" s="145">
        <f t="shared" si="33"/>
        <v>2.1881537425331731E-5</v>
      </c>
      <c r="H142" s="142">
        <f t="shared" si="43"/>
        <v>-1.9012417301933803E-3</v>
      </c>
      <c r="I142" s="145"/>
      <c r="J142" s="142">
        <f t="shared" si="44"/>
        <v>-7.9432572283784936E-9</v>
      </c>
      <c r="K142" s="142">
        <f t="shared" si="45"/>
        <v>2.398825333243745</v>
      </c>
      <c r="L142" s="142">
        <f t="shared" si="46"/>
        <v>-2.3969240994568088</v>
      </c>
      <c r="N142" s="145"/>
      <c r="O142" s="145"/>
      <c r="P142" s="398">
        <f t="shared" si="47"/>
        <v>-3.4894688456693252E-16</v>
      </c>
      <c r="Q142" s="514">
        <f t="shared" si="37"/>
        <v>3.8018145320402441E-13</v>
      </c>
      <c r="R142" s="142">
        <f t="shared" si="38"/>
        <v>3.0191953007159884E+16</v>
      </c>
    </row>
    <row r="143" spans="1:18" s="146" customFormat="1" x14ac:dyDescent="0.15">
      <c r="A143" s="145">
        <f t="shared" si="39"/>
        <v>5.2773448397176012E-16</v>
      </c>
      <c r="B143" s="145">
        <f t="shared" si="40"/>
        <v>3.6510306043358596E-8</v>
      </c>
      <c r="C143" s="145">
        <f t="shared" si="41"/>
        <v>2.1999634896934291E-3</v>
      </c>
      <c r="D143" s="146">
        <f t="shared" si="36"/>
        <v>1.9952623149688784E-14</v>
      </c>
      <c r="E143" s="145">
        <f t="shared" si="42"/>
        <v>3.0199517204020196</v>
      </c>
      <c r="F143" s="141">
        <v>13.7</v>
      </c>
      <c r="G143" s="145">
        <f t="shared" si="33"/>
        <v>2.1881537425949062E-5</v>
      </c>
      <c r="H143" s="142">
        <f t="shared" si="43"/>
        <v>-1.9012511834419008E-3</v>
      </c>
      <c r="I143" s="145"/>
      <c r="J143" s="142">
        <f t="shared" si="44"/>
        <v>-7.9432623946196596E-9</v>
      </c>
      <c r="K143" s="142">
        <f t="shared" si="45"/>
        <v>3.0199441346262694</v>
      </c>
      <c r="L143" s="142">
        <f t="shared" si="46"/>
        <v>-3.0180428913860902</v>
      </c>
      <c r="N143" s="145"/>
      <c r="O143" s="145"/>
      <c r="P143" s="398">
        <f t="shared" si="47"/>
        <v>-1.7485983564978051E-16</v>
      </c>
      <c r="Q143" s="514">
        <f t="shared" si="37"/>
        <v>2.3987931089625461E-13</v>
      </c>
      <c r="R143" s="142">
        <f t="shared" si="38"/>
        <v>4.7850815172192832E+16</v>
      </c>
    </row>
    <row r="144" spans="1:18" s="146" customFormat="1" x14ac:dyDescent="0.15">
      <c r="A144" s="145">
        <f t="shared" si="39"/>
        <v>3.3297908513668638E-16</v>
      </c>
      <c r="B144" s="145">
        <f t="shared" si="40"/>
        <v>2.9001265937093998E-8</v>
      </c>
      <c r="C144" s="145">
        <f t="shared" si="41"/>
        <v>2.1999709987337301E-3</v>
      </c>
      <c r="D144" s="146">
        <f t="shared" si="36"/>
        <v>1.5848931924611084E-14</v>
      </c>
      <c r="E144" s="145">
        <f t="shared" si="42"/>
        <v>3.8018939632056128</v>
      </c>
      <c r="F144" s="141">
        <v>13.8</v>
      </c>
      <c r="G144" s="145">
        <f t="shared" si="33"/>
        <v>2.1881537426338572E-5</v>
      </c>
      <c r="H144" s="142">
        <f t="shared" si="43"/>
        <v>-1.9012586924820071E-3</v>
      </c>
      <c r="I144" s="145"/>
      <c r="J144" s="142">
        <f t="shared" si="44"/>
        <v>-7.9432664983108849E-9</v>
      </c>
      <c r="K144" s="142">
        <f t="shared" si="45"/>
        <v>3.8018863774298626</v>
      </c>
      <c r="L144" s="142">
        <f t="shared" si="46"/>
        <v>-3.7999851266806473</v>
      </c>
      <c r="N144" s="145"/>
      <c r="O144" s="145"/>
      <c r="P144" s="398">
        <f t="shared" si="47"/>
        <v>-8.7626418008522405E-17</v>
      </c>
      <c r="Q144" s="514">
        <f t="shared" si="37"/>
        <v>1.513541296075847E-13</v>
      </c>
      <c r="R144" s="142">
        <f t="shared" si="38"/>
        <v>7.5838172364967632E+16</v>
      </c>
    </row>
    <row r="145" spans="1:18" s="146" customFormat="1" x14ac:dyDescent="0.15">
      <c r="A145" s="145">
        <f t="shared" si="39"/>
        <v>2.1009616894773206E-16</v>
      </c>
      <c r="B145" s="145">
        <f t="shared" si="40"/>
        <v>2.30365868344403E-8</v>
      </c>
      <c r="C145" s="145">
        <f t="shared" si="41"/>
        <v>2.1999769634129555E-3</v>
      </c>
      <c r="D145" s="146">
        <f t="shared" si="36"/>
        <v>1.2589254117941644E-14</v>
      </c>
      <c r="E145" s="145">
        <f t="shared" si="42"/>
        <v>4.7863009232263813</v>
      </c>
      <c r="F145" s="141">
        <v>13.9</v>
      </c>
      <c r="G145" s="145">
        <f t="shared" si="33"/>
        <v>2.1881537426584337E-5</v>
      </c>
      <c r="H145" s="142">
        <f t="shared" si="43"/>
        <v>-1.9012646571611098E-3</v>
      </c>
      <c r="I145" s="145"/>
      <c r="J145" s="142">
        <f t="shared" si="44"/>
        <v>-7.9432697579886915E-9</v>
      </c>
      <c r="K145" s="142">
        <f t="shared" si="45"/>
        <v>4.7862933374506307</v>
      </c>
      <c r="L145" s="142">
        <f t="shared" si="46"/>
        <v>-4.7843920807367395</v>
      </c>
      <c r="N145" s="145"/>
      <c r="O145" s="145"/>
      <c r="P145" s="398">
        <f t="shared" si="47"/>
        <v>-4.3912824325923501E-17</v>
      </c>
      <c r="Q145" s="514">
        <f t="shared" si="37"/>
        <v>9.5498258612605468E-14</v>
      </c>
      <c r="R145" s="142">
        <f t="shared" si="38"/>
        <v>1.2019507723059722E+17</v>
      </c>
    </row>
    <row r="146" spans="1:18" s="146" customFormat="1" x14ac:dyDescent="0.15">
      <c r="A146" s="145">
        <f t="shared" si="39"/>
        <v>1.3256200633360815E-16</v>
      </c>
      <c r="B146" s="145">
        <f t="shared" si="40"/>
        <v>1.8298650762710018E-8</v>
      </c>
      <c r="C146" s="145">
        <f t="shared" si="41"/>
        <v>2.1999817013491048E-3</v>
      </c>
      <c r="D146" s="146">
        <f t="shared" si="36"/>
        <v>1E-14</v>
      </c>
      <c r="E146" s="145">
        <f t="shared" si="42"/>
        <v>6.0255958607435698</v>
      </c>
      <c r="F146" s="141">
        <v>14</v>
      </c>
      <c r="G146" s="145">
        <f t="shared" si="33"/>
        <v>2.1881537426739405E-5</v>
      </c>
      <c r="H146" s="142">
        <f t="shared" si="43"/>
        <v>-1.9012693950971817E-3</v>
      </c>
      <c r="I146" s="145"/>
      <c r="J146" s="142">
        <f t="shared" si="44"/>
        <v>-7.9432723472428088E-9</v>
      </c>
      <c r="K146" s="142">
        <f t="shared" si="45"/>
        <v>6.0255882749678191</v>
      </c>
      <c r="L146" s="142">
        <f t="shared" si="46"/>
        <v>-6.0236870135159943</v>
      </c>
      <c r="N146" s="145"/>
      <c r="O146" s="145"/>
      <c r="P146" s="398">
        <f t="shared" si="47"/>
        <v>-2.2006788539338866E-17</v>
      </c>
      <c r="Q146" s="514">
        <f t="shared" si="37"/>
        <v>6.0255457424367337E-14</v>
      </c>
      <c r="R146" s="142">
        <f t="shared" si="38"/>
        <v>1.9049594941233955E+17</v>
      </c>
    </row>
  </sheetData>
  <mergeCells count="2">
    <mergeCell ref="A4:E4"/>
    <mergeCell ref="G4:L4"/>
  </mergeCells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A43F5-658B-C64A-84D7-C8EF6B376D76}">
  <dimension ref="A1:N173"/>
  <sheetViews>
    <sheetView workbookViewId="0">
      <pane ySplit="1" topLeftCell="A143" activePane="bottomLeft" state="frozen"/>
      <selection pane="bottomLeft" activeCell="G151" sqref="G151"/>
    </sheetView>
  </sheetViews>
  <sheetFormatPr baseColWidth="10" defaultRowHeight="13" x14ac:dyDescent="0.15"/>
  <cols>
    <col min="1" max="1" width="28.6640625" style="12" customWidth="1"/>
    <col min="2" max="2" width="16.83203125" style="12" customWidth="1"/>
    <col min="3" max="4" width="16.83203125" style="523" customWidth="1"/>
    <col min="5" max="5" width="16.83203125" style="12" customWidth="1"/>
    <col min="6" max="6" width="16.83203125" style="523" customWidth="1"/>
    <col min="7" max="22" width="16.83203125" style="12" customWidth="1"/>
    <col min="23" max="16384" width="10.83203125" style="12"/>
  </cols>
  <sheetData>
    <row r="1" spans="1:3" s="617" customFormat="1" ht="27" x14ac:dyDescent="0.35">
      <c r="A1" s="615" t="s">
        <v>344</v>
      </c>
      <c r="B1" s="616">
        <f>H2_cost_infl*tons_to_kg</f>
        <v>138.15249440013105</v>
      </c>
      <c r="C1" s="615" t="s">
        <v>150</v>
      </c>
    </row>
    <row r="2" spans="1:3" s="617" customFormat="1" ht="23" x14ac:dyDescent="0.25">
      <c r="A2" s="615"/>
      <c r="B2" s="616"/>
      <c r="C2" s="615"/>
    </row>
    <row r="3" spans="1:3" ht="20" x14ac:dyDescent="0.25">
      <c r="A3" s="618" t="s">
        <v>533</v>
      </c>
    </row>
    <row r="33" spans="1:11" ht="18" x14ac:dyDescent="0.2">
      <c r="A33" s="618" t="s">
        <v>534</v>
      </c>
    </row>
    <row r="34" spans="1:11" x14ac:dyDescent="0.15">
      <c r="C34" s="12"/>
    </row>
    <row r="35" spans="1:11" x14ac:dyDescent="0.15">
      <c r="A35" s="7" t="s">
        <v>535</v>
      </c>
      <c r="C35" s="12"/>
      <c r="E35" s="7" t="s">
        <v>536</v>
      </c>
    </row>
    <row r="36" spans="1:11" ht="16" x14ac:dyDescent="0.15">
      <c r="A36" s="619" t="s">
        <v>289</v>
      </c>
      <c r="B36" s="417"/>
      <c r="C36" s="417"/>
      <c r="E36" s="619" t="s">
        <v>289</v>
      </c>
      <c r="F36" s="417"/>
      <c r="G36" s="417"/>
    </row>
    <row r="37" spans="1:11" x14ac:dyDescent="0.15">
      <c r="A37" s="620" t="s">
        <v>472</v>
      </c>
      <c r="B37" s="319">
        <v>7709</v>
      </c>
      <c r="C37" s="417" t="s">
        <v>471</v>
      </c>
      <c r="E37" s="620" t="s">
        <v>472</v>
      </c>
      <c r="F37" s="319">
        <v>1000000</v>
      </c>
      <c r="G37" s="417" t="s">
        <v>471</v>
      </c>
    </row>
    <row r="38" spans="1:11" ht="15" x14ac:dyDescent="0.2">
      <c r="A38" s="621" t="s">
        <v>286</v>
      </c>
      <c r="B38" s="622">
        <f>B37*tons_to_kg/365</f>
        <v>21120.547945205479</v>
      </c>
      <c r="C38" s="623" t="s">
        <v>109</v>
      </c>
      <c r="E38" s="621" t="s">
        <v>286</v>
      </c>
      <c r="F38" s="622">
        <f>F37*tons_to_kg/365</f>
        <v>2739726.0273972601</v>
      </c>
      <c r="G38" s="623" t="s">
        <v>109</v>
      </c>
      <c r="I38" s="7" t="s">
        <v>537</v>
      </c>
      <c r="J38" s="7" t="s">
        <v>538</v>
      </c>
    </row>
    <row r="39" spans="1:11" ht="16" x14ac:dyDescent="0.2">
      <c r="A39" s="621" t="s">
        <v>287</v>
      </c>
      <c r="B39" s="368">
        <f>B38/molar_mass*vol_mol*l_to_m3/ft3_to_m3/day_to_min</f>
        <v>263.69011981115818</v>
      </c>
      <c r="C39" s="417" t="s">
        <v>539</v>
      </c>
      <c r="E39" s="621" t="s">
        <v>287</v>
      </c>
      <c r="F39" s="368">
        <f>F38/molar_mass*vol_mol*l_to_m3/ft3_to_m3/day_to_min</f>
        <v>34205.489662882108</v>
      </c>
      <c r="G39" s="417" t="s">
        <v>539</v>
      </c>
      <c r="I39" s="624">
        <v>7709</v>
      </c>
      <c r="J39" s="625">
        <v>667</v>
      </c>
      <c r="K39" s="12" t="s">
        <v>540</v>
      </c>
    </row>
    <row r="40" spans="1:11" ht="14" x14ac:dyDescent="0.15">
      <c r="A40" s="621" t="s">
        <v>117</v>
      </c>
      <c r="B40" s="369">
        <f>B38/molar_mass/day_to_min/60</f>
        <v>5.5556996909736638</v>
      </c>
      <c r="C40" s="417" t="s">
        <v>117</v>
      </c>
      <c r="E40" s="621" t="s">
        <v>117</v>
      </c>
      <c r="F40" s="369">
        <f>F38/molar_mass/day_to_min/60</f>
        <v>720.67709054010425</v>
      </c>
      <c r="G40" s="417" t="s">
        <v>117</v>
      </c>
      <c r="I40" s="624">
        <v>100000</v>
      </c>
      <c r="J40" s="625">
        <v>250.02</v>
      </c>
    </row>
    <row r="41" spans="1:11" ht="14" x14ac:dyDescent="0.15">
      <c r="A41" s="621" t="s">
        <v>470</v>
      </c>
      <c r="B41" s="369">
        <f>B38/molar_mass/24/1000</f>
        <v>20.000518887505191</v>
      </c>
      <c r="C41" s="417" t="s">
        <v>470</v>
      </c>
      <c r="E41" s="621" t="s">
        <v>470</v>
      </c>
      <c r="F41" s="369">
        <f>F38/molar_mass/24/1000</f>
        <v>2594.437525944375</v>
      </c>
      <c r="G41" s="417" t="s">
        <v>470</v>
      </c>
      <c r="I41" s="624">
        <v>1000000</v>
      </c>
      <c r="J41" s="625">
        <v>163.97</v>
      </c>
    </row>
    <row r="42" spans="1:11" ht="14" x14ac:dyDescent="0.15">
      <c r="A42" s="621" t="s">
        <v>288</v>
      </c>
      <c r="B42" s="369">
        <f>B38/day_to_min/60</f>
        <v>0.24445078640284118</v>
      </c>
      <c r="C42" s="417" t="s">
        <v>288</v>
      </c>
      <c r="E42" s="621" t="s">
        <v>288</v>
      </c>
      <c r="F42" s="369">
        <f>F38/day_to_min/60</f>
        <v>31.709791983764585</v>
      </c>
      <c r="G42" s="417" t="s">
        <v>288</v>
      </c>
    </row>
    <row r="43" spans="1:11" x14ac:dyDescent="0.15">
      <c r="C43" s="12"/>
      <c r="F43" s="12"/>
    </row>
    <row r="44" spans="1:11" x14ac:dyDescent="0.15">
      <c r="F44" s="12"/>
      <c r="G44" s="523"/>
    </row>
    <row r="45" spans="1:11" ht="16" x14ac:dyDescent="0.15">
      <c r="A45" s="171" t="s">
        <v>204</v>
      </c>
      <c r="B45" s="414"/>
      <c r="C45" s="414"/>
      <c r="E45" s="171" t="s">
        <v>204</v>
      </c>
      <c r="F45" s="414"/>
      <c r="G45" s="414"/>
    </row>
    <row r="46" spans="1:11" ht="16" x14ac:dyDescent="0.15">
      <c r="A46" s="626" t="s">
        <v>302</v>
      </c>
      <c r="B46" s="393">
        <f>B38/m3OW_to_kgCO2</f>
        <v>272734.3484659798</v>
      </c>
      <c r="C46" s="414" t="s">
        <v>262</v>
      </c>
      <c r="E46" s="626" t="s">
        <v>302</v>
      </c>
      <c r="F46" s="393">
        <f>F38/m3OW_to_kgCO2</f>
        <v>35378693.53560511</v>
      </c>
      <c r="G46" s="414" t="s">
        <v>262</v>
      </c>
    </row>
    <row r="47" spans="1:11" ht="16" x14ac:dyDescent="0.15">
      <c r="A47" s="626" t="s">
        <v>303</v>
      </c>
      <c r="B47" s="393">
        <f>B46/24</f>
        <v>11363.931186082491</v>
      </c>
      <c r="C47" s="414" t="s">
        <v>290</v>
      </c>
      <c r="E47" s="626" t="s">
        <v>303</v>
      </c>
      <c r="F47" s="393">
        <f>F46/24</f>
        <v>1474112.2306502128</v>
      </c>
      <c r="G47" s="414" t="s">
        <v>290</v>
      </c>
    </row>
    <row r="48" spans="1:11" ht="14" x14ac:dyDescent="0.15">
      <c r="A48" s="626" t="s">
        <v>122</v>
      </c>
      <c r="B48" s="393">
        <f>B47*264.172/60</f>
        <v>50033.873821496403</v>
      </c>
      <c r="C48" s="414" t="s">
        <v>122</v>
      </c>
      <c r="E48" s="626" t="s">
        <v>122</v>
      </c>
      <c r="F48" s="393">
        <f>F47*264.172/60</f>
        <v>6490319.6032554675</v>
      </c>
      <c r="G48" s="414" t="s">
        <v>122</v>
      </c>
    </row>
    <row r="49" spans="1:14" ht="14" x14ac:dyDescent="0.15">
      <c r="A49" s="626" t="s">
        <v>291</v>
      </c>
      <c r="B49" s="393">
        <f>B46*264.172/1000000</f>
        <v>72.04877830295483</v>
      </c>
      <c r="C49" s="627" t="s">
        <v>291</v>
      </c>
      <c r="E49" s="626" t="s">
        <v>291</v>
      </c>
      <c r="F49" s="393">
        <f>F46*264.172/1000000</f>
        <v>9346.060228687873</v>
      </c>
      <c r="G49" s="627" t="s">
        <v>291</v>
      </c>
    </row>
    <row r="50" spans="1:14" x14ac:dyDescent="0.15">
      <c r="A50" s="414" t="s">
        <v>304</v>
      </c>
      <c r="B50" s="393">
        <f>B47/hr_to_s/l_to_m3</f>
        <v>3156.6475516895807</v>
      </c>
      <c r="C50" s="414" t="s">
        <v>304</v>
      </c>
      <c r="E50" s="414" t="s">
        <v>304</v>
      </c>
      <c r="F50" s="393">
        <f>F47/hr_to_s/l_to_m3</f>
        <v>409475.61962505913</v>
      </c>
      <c r="G50" s="414" t="s">
        <v>304</v>
      </c>
    </row>
    <row r="51" spans="1:14" x14ac:dyDescent="0.15">
      <c r="A51" s="414"/>
      <c r="B51" s="393"/>
      <c r="C51" s="414"/>
      <c r="E51" s="414"/>
      <c r="F51" s="393"/>
      <c r="G51" s="414"/>
    </row>
    <row r="52" spans="1:14" x14ac:dyDescent="0.15">
      <c r="C52" s="12"/>
    </row>
    <row r="53" spans="1:14" ht="18" x14ac:dyDescent="0.2">
      <c r="A53" s="618" t="s">
        <v>541</v>
      </c>
    </row>
    <row r="55" spans="1:14" ht="16" x14ac:dyDescent="0.2">
      <c r="A55" s="416" t="s">
        <v>468</v>
      </c>
      <c r="B55" s="417"/>
      <c r="C55" s="628"/>
      <c r="D55" s="628"/>
      <c r="E55" s="417" t="s">
        <v>542</v>
      </c>
      <c r="F55" s="628"/>
      <c r="H55" s="416" t="s">
        <v>362</v>
      </c>
      <c r="I55" s="417"/>
      <c r="J55" s="417"/>
      <c r="K55" s="417"/>
      <c r="L55" s="417"/>
      <c r="M55" s="417"/>
      <c r="N55" s="417"/>
    </row>
    <row r="56" spans="1:14" x14ac:dyDescent="0.15">
      <c r="A56" s="417"/>
      <c r="B56" s="417"/>
      <c r="C56" s="628"/>
      <c r="D56" s="628"/>
      <c r="E56" s="417"/>
      <c r="F56" s="628"/>
      <c r="H56" s="417"/>
      <c r="I56" s="417"/>
      <c r="J56" s="417"/>
      <c r="K56" s="417"/>
      <c r="L56" s="417"/>
      <c r="M56" s="417"/>
      <c r="N56" s="417"/>
    </row>
    <row r="57" spans="1:14" x14ac:dyDescent="0.15">
      <c r="A57" s="417"/>
      <c r="B57" s="418" t="s">
        <v>432</v>
      </c>
      <c r="C57" s="629" t="s">
        <v>430</v>
      </c>
      <c r="D57" s="629" t="s">
        <v>431</v>
      </c>
      <c r="E57" s="418" t="s">
        <v>543</v>
      </c>
      <c r="F57" s="630" t="s">
        <v>544</v>
      </c>
      <c r="H57" s="417"/>
      <c r="I57" s="418" t="s">
        <v>432</v>
      </c>
      <c r="J57" s="418" t="s">
        <v>430</v>
      </c>
      <c r="K57" s="418" t="s">
        <v>431</v>
      </c>
      <c r="L57" s="418" t="s">
        <v>394</v>
      </c>
      <c r="M57" s="418" t="s">
        <v>392</v>
      </c>
      <c r="N57" s="418" t="s">
        <v>393</v>
      </c>
    </row>
    <row r="58" spans="1:14" x14ac:dyDescent="0.15">
      <c r="A58" s="417" t="s">
        <v>112</v>
      </c>
      <c r="B58" s="445">
        <v>40</v>
      </c>
      <c r="C58" s="628">
        <v>58</v>
      </c>
      <c r="D58" s="628">
        <v>15</v>
      </c>
      <c r="E58" s="631">
        <v>9</v>
      </c>
      <c r="F58" s="632"/>
      <c r="H58" s="240" t="s">
        <v>189</v>
      </c>
      <c r="I58" s="445">
        <v>23.489623599017968</v>
      </c>
      <c r="J58" s="445">
        <v>20.945834494765315</v>
      </c>
      <c r="K58" s="445">
        <v>0</v>
      </c>
      <c r="L58" s="542">
        <v>0.15474652882225337</v>
      </c>
      <c r="M58" s="446">
        <v>0.17863402914781995</v>
      </c>
      <c r="N58" s="434">
        <v>0</v>
      </c>
    </row>
    <row r="59" spans="1:14" x14ac:dyDescent="0.15">
      <c r="A59" s="417" t="s">
        <v>545</v>
      </c>
      <c r="B59" s="445">
        <v>169</v>
      </c>
      <c r="C59" s="628">
        <v>15</v>
      </c>
      <c r="D59" s="628">
        <v>56</v>
      </c>
      <c r="E59" s="631">
        <v>54</v>
      </c>
      <c r="F59" s="632"/>
      <c r="H59" s="243" t="s">
        <v>113</v>
      </c>
      <c r="I59" s="445">
        <v>30.510205299020118</v>
      </c>
      <c r="J59" s="445">
        <v>0</v>
      </c>
      <c r="K59" s="445">
        <v>0</v>
      </c>
      <c r="L59" s="444">
        <v>0.20099719111186909</v>
      </c>
      <c r="M59" s="446">
        <v>0</v>
      </c>
      <c r="N59" s="434">
        <v>0</v>
      </c>
    </row>
    <row r="60" spans="1:14" x14ac:dyDescent="0.15">
      <c r="A60" s="417" t="s">
        <v>29</v>
      </c>
      <c r="B60" s="445">
        <f>SUM(B58:B59)</f>
        <v>209</v>
      </c>
      <c r="C60" s="628">
        <f>SUM(C58:C59)</f>
        <v>73</v>
      </c>
      <c r="D60" s="628">
        <f>SUM(D58:D59)</f>
        <v>71</v>
      </c>
      <c r="E60" s="445">
        <f>SUM(E58:E59)</f>
        <v>63</v>
      </c>
      <c r="F60" s="628">
        <v>20</v>
      </c>
      <c r="H60" s="243" t="s">
        <v>404</v>
      </c>
      <c r="I60" s="445">
        <v>16.167343454376901</v>
      </c>
      <c r="J60" s="445">
        <v>0.84717221897353479</v>
      </c>
      <c r="K60" s="445">
        <v>29.635732238666428</v>
      </c>
      <c r="L60" s="444">
        <v>0.10650831714249348</v>
      </c>
      <c r="M60" s="446">
        <v>7.2250063321737008E-3</v>
      </c>
      <c r="N60" s="434">
        <v>0.13821274921063112</v>
      </c>
    </row>
    <row r="61" spans="1:14" x14ac:dyDescent="0.15">
      <c r="A61" s="417"/>
      <c r="B61" s="633"/>
      <c r="C61" s="628"/>
      <c r="D61" s="628"/>
      <c r="E61" s="418" t="s">
        <v>258</v>
      </c>
      <c r="F61" s="629">
        <f>SUM(B60:F60)</f>
        <v>436</v>
      </c>
      <c r="H61" s="58" t="s">
        <v>148</v>
      </c>
      <c r="I61" s="445">
        <v>3.3820784105128228</v>
      </c>
      <c r="J61" s="445">
        <v>0.73941210145141745</v>
      </c>
      <c r="K61" s="445">
        <v>0</v>
      </c>
      <c r="L61" s="443">
        <v>2.2280684576547399E-2</v>
      </c>
      <c r="M61" s="446">
        <v>6.3059871362935276E-3</v>
      </c>
      <c r="N61" s="434">
        <v>0</v>
      </c>
    </row>
    <row r="62" spans="1:14" x14ac:dyDescent="0.15">
      <c r="A62" s="634"/>
      <c r="B62" s="401"/>
      <c r="H62" s="58" t="s">
        <v>112</v>
      </c>
      <c r="I62" s="445">
        <v>34.858521714244063</v>
      </c>
      <c r="J62" s="445">
        <v>83.01186359301802</v>
      </c>
      <c r="K62" s="445">
        <v>88.072324499650378</v>
      </c>
      <c r="L62" s="443">
        <v>0.22964332367505164</v>
      </c>
      <c r="M62" s="446">
        <v>0.70795669011879026</v>
      </c>
      <c r="N62" s="434">
        <v>0.41074463760289592</v>
      </c>
    </row>
    <row r="63" spans="1:14" ht="16" x14ac:dyDescent="0.2">
      <c r="A63" s="416" t="s">
        <v>546</v>
      </c>
      <c r="B63" s="417"/>
      <c r="C63" s="628"/>
      <c r="D63" s="628"/>
      <c r="E63" s="417" t="s">
        <v>547</v>
      </c>
      <c r="F63" s="628"/>
      <c r="H63" s="58" t="s">
        <v>577</v>
      </c>
      <c r="I63" s="445">
        <v>43.386414945273458</v>
      </c>
      <c r="J63" s="445">
        <v>11.711285272194868</v>
      </c>
      <c r="K63" s="445">
        <v>44.5095563142768</v>
      </c>
      <c r="L63" s="443">
        <v>0.28582395467178506</v>
      </c>
      <c r="M63" s="446">
        <v>9.9878287264922483E-2</v>
      </c>
      <c r="N63" s="434">
        <v>0.207580096040793</v>
      </c>
    </row>
    <row r="64" spans="1:14" x14ac:dyDescent="0.15">
      <c r="A64" s="417"/>
      <c r="B64" s="417"/>
      <c r="C64" s="628"/>
      <c r="D64" s="628"/>
      <c r="E64" s="417"/>
      <c r="F64" s="628"/>
      <c r="H64" s="58" t="s">
        <v>345</v>
      </c>
      <c r="I64" s="445">
        <v>0</v>
      </c>
      <c r="J64" s="445">
        <v>0</v>
      </c>
      <c r="K64" s="445">
        <v>52.203505172199485</v>
      </c>
      <c r="L64" s="434">
        <v>0</v>
      </c>
      <c r="M64" s="434">
        <v>0</v>
      </c>
      <c r="N64" s="434">
        <v>0.24346251714567951</v>
      </c>
    </row>
    <row r="65" spans="1:14" x14ac:dyDescent="0.15">
      <c r="A65" s="417"/>
      <c r="B65" s="418" t="s">
        <v>432</v>
      </c>
      <c r="C65" s="629" t="s">
        <v>430</v>
      </c>
      <c r="D65" s="629" t="s">
        <v>431</v>
      </c>
      <c r="E65" s="418" t="s">
        <v>543</v>
      </c>
      <c r="F65" s="635" t="s">
        <v>544</v>
      </c>
      <c r="H65" s="141" t="s">
        <v>29</v>
      </c>
      <c r="I65" s="445">
        <v>151.79418742244533</v>
      </c>
      <c r="J65" s="445">
        <v>117.25556768040316</v>
      </c>
      <c r="K65" s="445">
        <v>214.42111822479308</v>
      </c>
      <c r="L65" s="434">
        <v>1</v>
      </c>
      <c r="M65" s="434">
        <v>1</v>
      </c>
      <c r="N65" s="434">
        <v>0.99999999999999956</v>
      </c>
    </row>
    <row r="66" spans="1:14" x14ac:dyDescent="0.15">
      <c r="A66" s="417" t="s">
        <v>112</v>
      </c>
      <c r="B66" s="445">
        <f>I62</f>
        <v>34.858521714244063</v>
      </c>
      <c r="C66" s="445">
        <f>J62</f>
        <v>83.01186359301802</v>
      </c>
      <c r="D66" s="445">
        <f>K62</f>
        <v>88.072324499650378</v>
      </c>
      <c r="E66" s="318"/>
      <c r="F66" s="636"/>
      <c r="H66" s="399"/>
      <c r="I66" s="401"/>
      <c r="J66" s="452" t="s">
        <v>29</v>
      </c>
      <c r="K66" s="441">
        <v>729.04625303218165</v>
      </c>
    </row>
    <row r="67" spans="1:14" x14ac:dyDescent="0.15">
      <c r="A67" s="417" t="s">
        <v>545</v>
      </c>
      <c r="B67" s="445">
        <f>B68-B66</f>
        <v>116.93566570820127</v>
      </c>
      <c r="C67" s="445">
        <f>C68-C66</f>
        <v>34.24370408738514</v>
      </c>
      <c r="D67" s="445">
        <f>D68-D66</f>
        <v>126.3487937251427</v>
      </c>
      <c r="E67" s="318">
        <v>216.59</v>
      </c>
      <c r="F67" s="636"/>
    </row>
    <row r="68" spans="1:14" x14ac:dyDescent="0.15">
      <c r="A68" s="417" t="s">
        <v>29</v>
      </c>
      <c r="B68" s="445">
        <f>I65</f>
        <v>151.79418742244533</v>
      </c>
      <c r="C68" s="445">
        <f>J65</f>
        <v>117.25556768040316</v>
      </c>
      <c r="D68" s="445">
        <f>K65</f>
        <v>214.42111822479308</v>
      </c>
      <c r="E68" s="445">
        <f>E67</f>
        <v>216.59</v>
      </c>
      <c r="F68" s="628">
        <v>20</v>
      </c>
    </row>
    <row r="69" spans="1:14" x14ac:dyDescent="0.15">
      <c r="A69" s="417"/>
      <c r="B69" s="637"/>
      <c r="C69" s="628"/>
      <c r="D69" s="628"/>
      <c r="E69" s="418" t="s">
        <v>258</v>
      </c>
      <c r="F69" s="629">
        <f>SUM(B68:F68)</f>
        <v>720.06087332764162</v>
      </c>
    </row>
    <row r="72" spans="1:14" ht="18" x14ac:dyDescent="0.2">
      <c r="A72" s="618" t="s">
        <v>548</v>
      </c>
      <c r="C72" s="12"/>
    </row>
    <row r="73" spans="1:14" x14ac:dyDescent="0.15">
      <c r="C73" s="12"/>
    </row>
    <row r="74" spans="1:14" ht="16" x14ac:dyDescent="0.2">
      <c r="A74" s="539"/>
      <c r="B74" s="540" t="s">
        <v>546</v>
      </c>
      <c r="C74" s="638" t="s">
        <v>549</v>
      </c>
      <c r="E74" s="236" t="s">
        <v>28</v>
      </c>
      <c r="F74" s="236"/>
      <c r="G74" s="237"/>
      <c r="H74" s="238"/>
      <c r="I74" s="238"/>
    </row>
    <row r="75" spans="1:14" ht="42" x14ac:dyDescent="0.15">
      <c r="A75" s="539" t="s">
        <v>550</v>
      </c>
      <c r="B75" s="639">
        <v>0.02</v>
      </c>
      <c r="C75" s="639">
        <f>40*0.001</f>
        <v>0.04</v>
      </c>
      <c r="E75" s="316"/>
      <c r="F75" s="316"/>
      <c r="G75" s="101" t="s">
        <v>334</v>
      </c>
      <c r="H75" s="101" t="s">
        <v>176</v>
      </c>
      <c r="I75" s="101" t="s">
        <v>335</v>
      </c>
    </row>
    <row r="76" spans="1:14" x14ac:dyDescent="0.15">
      <c r="A76" s="539" t="s">
        <v>551</v>
      </c>
      <c r="B76" s="640">
        <f>6600/80</f>
        <v>82.5</v>
      </c>
      <c r="C76" s="640">
        <v>110</v>
      </c>
      <c r="E76" s="240" t="s">
        <v>189</v>
      </c>
      <c r="F76" s="240"/>
      <c r="G76" s="241">
        <f>cap_intake</f>
        <v>3249551.2565396908</v>
      </c>
      <c r="H76" s="242">
        <f>G76*CEPCI_inflator</f>
        <v>3249551.2565396908</v>
      </c>
      <c r="I76" s="98">
        <f>H76*scale_ratio^scaling_factor_exponent</f>
        <v>47844549.71554742</v>
      </c>
    </row>
    <row r="77" spans="1:14" x14ac:dyDescent="0.15">
      <c r="A77" s="539" t="s">
        <v>552</v>
      </c>
      <c r="B77" s="640">
        <f>0.04*10^4</f>
        <v>400</v>
      </c>
      <c r="C77" s="640">
        <v>460</v>
      </c>
      <c r="E77" s="243" t="s">
        <v>113</v>
      </c>
      <c r="F77" s="243"/>
      <c r="G77" s="244">
        <f>cap_screening</f>
        <v>4220777.5509378407</v>
      </c>
      <c r="H77" s="242">
        <f>G77*CEPCI_inflator</f>
        <v>4220777.5509378407</v>
      </c>
      <c r="I77" s="98" cm="1">
        <f t="array" ref="I77">H77*scale_ratio^scaling_factor_exponent</f>
        <v>62144334.842451639</v>
      </c>
    </row>
    <row r="78" spans="1:14" x14ac:dyDescent="0.15">
      <c r="A78" s="539" t="s">
        <v>553</v>
      </c>
      <c r="B78" s="641">
        <f>I76/MGD/1000000</f>
        <v>0.45277839547290599</v>
      </c>
      <c r="C78" s="642">
        <v>0.4</v>
      </c>
      <c r="E78" s="243" t="s">
        <v>192</v>
      </c>
      <c r="F78" s="243"/>
      <c r="G78" s="244">
        <f>cap_micro</f>
        <v>2236588.0413373508</v>
      </c>
      <c r="H78" s="242">
        <f>G78*CEPCI_inflator</f>
        <v>2236588.0413373508</v>
      </c>
      <c r="I78" s="98" cm="1">
        <f t="array" ref="I78">H78*scale_ratio^scaling_factor_exponent</f>
        <v>32930253.837852236</v>
      </c>
    </row>
    <row r="79" spans="1:14" x14ac:dyDescent="0.15">
      <c r="A79" s="539" t="s">
        <v>554</v>
      </c>
      <c r="B79" s="539"/>
      <c r="C79" s="642">
        <v>0.5</v>
      </c>
    </row>
    <row r="80" spans="1:14" x14ac:dyDescent="0.15">
      <c r="A80" s="539" t="s">
        <v>555</v>
      </c>
      <c r="B80" s="643">
        <f>SUM(I77:I78)/MGD/1000000</f>
        <v>0.89974134919961102</v>
      </c>
      <c r="C80" s="642">
        <v>0.5</v>
      </c>
    </row>
    <row r="81" spans="1:7" x14ac:dyDescent="0.15">
      <c r="C81" s="12"/>
    </row>
    <row r="82" spans="1:7" x14ac:dyDescent="0.15">
      <c r="C82" s="12"/>
    </row>
    <row r="83" spans="1:7" ht="18" x14ac:dyDescent="0.2">
      <c r="A83" s="618" t="s">
        <v>556</v>
      </c>
      <c r="C83" s="12"/>
    </row>
    <row r="84" spans="1:7" x14ac:dyDescent="0.15">
      <c r="C84" s="12"/>
    </row>
    <row r="85" spans="1:7" ht="16" x14ac:dyDescent="0.2">
      <c r="A85" s="422" t="s">
        <v>468</v>
      </c>
      <c r="B85" s="423"/>
      <c r="C85" s="519"/>
      <c r="D85" s="519" t="s">
        <v>557</v>
      </c>
      <c r="E85" s="423"/>
      <c r="F85" s="519"/>
    </row>
    <row r="86" spans="1:7" x14ac:dyDescent="0.15">
      <c r="A86" s="423"/>
      <c r="B86" s="423"/>
      <c r="C86" s="519"/>
      <c r="D86" s="519"/>
      <c r="E86" s="423"/>
      <c r="F86" s="519"/>
    </row>
    <row r="87" spans="1:7" x14ac:dyDescent="0.15">
      <c r="A87" s="424" t="s">
        <v>201</v>
      </c>
      <c r="B87" s="424" t="s">
        <v>558</v>
      </c>
      <c r="C87" s="644" t="s">
        <v>559</v>
      </c>
      <c r="D87" s="644" t="s">
        <v>560</v>
      </c>
      <c r="E87" s="424" t="s">
        <v>561</v>
      </c>
      <c r="F87" s="644" t="s">
        <v>562</v>
      </c>
      <c r="G87" s="7"/>
    </row>
    <row r="88" spans="1:7" x14ac:dyDescent="0.15">
      <c r="A88" s="423" t="s">
        <v>563</v>
      </c>
      <c r="B88" s="423">
        <v>192</v>
      </c>
      <c r="C88" s="519">
        <v>6930</v>
      </c>
      <c r="D88" s="519">
        <f>B88*C88</f>
        <v>1330560</v>
      </c>
      <c r="E88" s="423">
        <v>2.9</v>
      </c>
      <c r="F88" s="519">
        <f>D88*E88</f>
        <v>3858624</v>
      </c>
    </row>
    <row r="89" spans="1:7" x14ac:dyDescent="0.15">
      <c r="A89" s="423" t="s">
        <v>564</v>
      </c>
      <c r="B89" s="423">
        <v>1</v>
      </c>
      <c r="C89" s="519">
        <v>506500</v>
      </c>
      <c r="D89" s="519">
        <f t="shared" ref="D89:D96" si="0">B89*C89</f>
        <v>506500</v>
      </c>
      <c r="E89" s="423">
        <v>2.2999999999999998</v>
      </c>
      <c r="F89" s="519">
        <f t="shared" ref="F89:F96" si="1">D89*E89</f>
        <v>1164950</v>
      </c>
    </row>
    <row r="90" spans="1:7" x14ac:dyDescent="0.15">
      <c r="A90" s="423" t="s">
        <v>565</v>
      </c>
      <c r="B90" s="423">
        <v>1</v>
      </c>
      <c r="C90" s="519">
        <v>822400</v>
      </c>
      <c r="D90" s="519">
        <f t="shared" si="0"/>
        <v>822400</v>
      </c>
      <c r="E90" s="423">
        <v>2.2999999999999998</v>
      </c>
      <c r="F90" s="519">
        <f t="shared" si="1"/>
        <v>1891519.9999999998</v>
      </c>
    </row>
    <row r="91" spans="1:7" x14ac:dyDescent="0.15">
      <c r="A91" s="423" t="s">
        <v>566</v>
      </c>
      <c r="B91" s="423">
        <v>1</v>
      </c>
      <c r="C91" s="519">
        <v>69200</v>
      </c>
      <c r="D91" s="519">
        <f t="shared" si="0"/>
        <v>69200</v>
      </c>
      <c r="E91" s="423">
        <v>4.0999999999999996</v>
      </c>
      <c r="F91" s="519">
        <f t="shared" si="1"/>
        <v>283720</v>
      </c>
    </row>
    <row r="92" spans="1:7" x14ac:dyDescent="0.15">
      <c r="A92" s="423" t="s">
        <v>567</v>
      </c>
      <c r="B92" s="423">
        <v>1</v>
      </c>
      <c r="C92" s="519">
        <v>120700</v>
      </c>
      <c r="D92" s="519">
        <f t="shared" si="0"/>
        <v>120700</v>
      </c>
      <c r="E92" s="423">
        <v>4.0999999999999996</v>
      </c>
      <c r="F92" s="519">
        <f t="shared" si="1"/>
        <v>494869.99999999994</v>
      </c>
      <c r="G92" s="645">
        <f>SUM(F89:F92)</f>
        <v>3835060</v>
      </c>
    </row>
    <row r="93" spans="1:7" x14ac:dyDescent="0.15">
      <c r="A93" s="423" t="s">
        <v>568</v>
      </c>
      <c r="B93" s="423">
        <v>4</v>
      </c>
      <c r="C93" s="519">
        <v>422700</v>
      </c>
      <c r="D93" s="519">
        <f t="shared" si="0"/>
        <v>1690800</v>
      </c>
      <c r="E93" s="423">
        <v>1.4</v>
      </c>
      <c r="F93" s="519">
        <f t="shared" si="1"/>
        <v>2367120</v>
      </c>
    </row>
    <row r="94" spans="1:7" x14ac:dyDescent="0.15">
      <c r="A94" s="423" t="s">
        <v>115</v>
      </c>
      <c r="B94" s="423">
        <v>1</v>
      </c>
      <c r="C94" s="519">
        <v>21000</v>
      </c>
      <c r="D94" s="519">
        <f t="shared" si="0"/>
        <v>21000</v>
      </c>
      <c r="E94" s="423">
        <v>3.3</v>
      </c>
      <c r="F94" s="519">
        <f t="shared" si="1"/>
        <v>69300</v>
      </c>
    </row>
    <row r="95" spans="1:7" x14ac:dyDescent="0.15">
      <c r="A95" s="423" t="s">
        <v>569</v>
      </c>
      <c r="B95" s="423">
        <v>1</v>
      </c>
      <c r="C95" s="519">
        <v>316300</v>
      </c>
      <c r="D95" s="519">
        <f t="shared" si="0"/>
        <v>316300</v>
      </c>
      <c r="E95" s="423">
        <v>3.7</v>
      </c>
      <c r="F95" s="519">
        <f t="shared" si="1"/>
        <v>1170310</v>
      </c>
    </row>
    <row r="96" spans="1:7" x14ac:dyDescent="0.15">
      <c r="A96" s="423" t="s">
        <v>570</v>
      </c>
      <c r="B96" s="423">
        <v>1</v>
      </c>
      <c r="C96" s="519">
        <v>120000</v>
      </c>
      <c r="D96" s="519">
        <f t="shared" si="0"/>
        <v>120000</v>
      </c>
      <c r="E96" s="423">
        <v>2.2999999999999998</v>
      </c>
      <c r="F96" s="519">
        <f t="shared" si="1"/>
        <v>276000</v>
      </c>
    </row>
    <row r="97" spans="1:13" x14ac:dyDescent="0.15">
      <c r="A97" s="423"/>
      <c r="B97" s="423"/>
      <c r="C97" s="519"/>
      <c r="D97" s="519"/>
      <c r="E97" s="424" t="s">
        <v>258</v>
      </c>
      <c r="F97" s="519">
        <f>SUM(F88:F96)</f>
        <v>11576414</v>
      </c>
    </row>
    <row r="99" spans="1:13" ht="16" x14ac:dyDescent="0.2">
      <c r="A99" s="422" t="s">
        <v>546</v>
      </c>
      <c r="B99" s="423"/>
      <c r="C99" s="519"/>
      <c r="D99" s="519"/>
      <c r="E99" s="423"/>
      <c r="F99" s="519"/>
    </row>
    <row r="100" spans="1:13" x14ac:dyDescent="0.15">
      <c r="A100" s="423"/>
      <c r="B100" s="423"/>
      <c r="C100" s="519"/>
      <c r="D100" s="519"/>
      <c r="E100" s="423"/>
      <c r="F100" s="519"/>
    </row>
    <row r="101" spans="1:13" x14ac:dyDescent="0.15">
      <c r="A101" s="424" t="s">
        <v>201</v>
      </c>
      <c r="B101" s="424" t="s">
        <v>558</v>
      </c>
      <c r="C101" s="644" t="s">
        <v>559</v>
      </c>
      <c r="D101" s="644" t="s">
        <v>560</v>
      </c>
      <c r="E101" s="424" t="s">
        <v>561</v>
      </c>
      <c r="F101" s="644" t="s">
        <v>562</v>
      </c>
    </row>
    <row r="102" spans="1:13" x14ac:dyDescent="0.15">
      <c r="A102" s="423" t="s">
        <v>563</v>
      </c>
      <c r="B102" s="423">
        <v>209</v>
      </c>
      <c r="C102" s="519">
        <v>6600</v>
      </c>
      <c r="D102" s="519">
        <v>1379400</v>
      </c>
      <c r="E102" s="423">
        <v>2.9</v>
      </c>
      <c r="F102" s="519">
        <v>4000260</v>
      </c>
    </row>
    <row r="103" spans="1:13" x14ac:dyDescent="0.15">
      <c r="A103" s="423" t="s">
        <v>564</v>
      </c>
      <c r="B103" s="423">
        <v>753</v>
      </c>
      <c r="C103" s="519">
        <v>180</v>
      </c>
      <c r="D103" s="519">
        <f t="shared" ref="D103:D110" si="2">B103*C103</f>
        <v>135540</v>
      </c>
      <c r="E103" s="423">
        <v>2.2999999999999998</v>
      </c>
      <c r="F103" s="646">
        <f>D103*E103</f>
        <v>311742</v>
      </c>
    </row>
    <row r="104" spans="1:13" x14ac:dyDescent="0.15">
      <c r="A104" s="647" t="s">
        <v>565</v>
      </c>
      <c r="B104" s="423"/>
      <c r="C104" s="519"/>
      <c r="D104" s="519">
        <f t="shared" si="2"/>
        <v>0</v>
      </c>
      <c r="E104" s="423">
        <v>2.2999999999999998</v>
      </c>
      <c r="F104" s="519">
        <f t="shared" ref="F104:F110" si="3">D104*E104</f>
        <v>0</v>
      </c>
      <c r="G104" s="12" t="s">
        <v>571</v>
      </c>
    </row>
    <row r="105" spans="1:13" x14ac:dyDescent="0.15">
      <c r="A105" s="647" t="s">
        <v>566</v>
      </c>
      <c r="B105" s="423"/>
      <c r="C105" s="519"/>
      <c r="D105" s="519">
        <f t="shared" si="2"/>
        <v>0</v>
      </c>
      <c r="E105" s="423">
        <v>4.0999999999999996</v>
      </c>
      <c r="F105" s="519">
        <f t="shared" si="3"/>
        <v>0</v>
      </c>
      <c r="G105" s="12" t="s">
        <v>572</v>
      </c>
    </row>
    <row r="106" spans="1:13" x14ac:dyDescent="0.15">
      <c r="A106" s="647" t="s">
        <v>567</v>
      </c>
      <c r="B106" s="423"/>
      <c r="C106" s="519"/>
      <c r="D106" s="519">
        <f t="shared" si="2"/>
        <v>0</v>
      </c>
      <c r="E106" s="423">
        <v>4.0999999999999996</v>
      </c>
      <c r="F106" s="519">
        <f t="shared" si="3"/>
        <v>0</v>
      </c>
      <c r="G106" s="12" t="s">
        <v>572</v>
      </c>
    </row>
    <row r="107" spans="1:13" x14ac:dyDescent="0.15">
      <c r="A107" s="423" t="s">
        <v>568</v>
      </c>
      <c r="B107" s="423">
        <v>1</v>
      </c>
      <c r="C107" s="519">
        <v>3444516</v>
      </c>
      <c r="D107" s="519">
        <f t="shared" si="2"/>
        <v>3444516</v>
      </c>
      <c r="E107" s="423">
        <v>1.4</v>
      </c>
      <c r="F107" s="648">
        <f t="shared" si="3"/>
        <v>4822322.3999999994</v>
      </c>
    </row>
    <row r="108" spans="1:13" s="7" customFormat="1" x14ac:dyDescent="0.15">
      <c r="A108" s="647" t="s">
        <v>115</v>
      </c>
      <c r="B108" s="423"/>
      <c r="C108" s="519"/>
      <c r="D108" s="519">
        <f t="shared" si="2"/>
        <v>0</v>
      </c>
      <c r="E108" s="423">
        <v>3.3</v>
      </c>
      <c r="F108" s="519">
        <f t="shared" si="3"/>
        <v>0</v>
      </c>
      <c r="G108" s="12"/>
    </row>
    <row r="109" spans="1:13" x14ac:dyDescent="0.15">
      <c r="A109" s="423" t="s">
        <v>569</v>
      </c>
      <c r="B109" s="423">
        <v>2</v>
      </c>
      <c r="C109" s="519">
        <v>107930</v>
      </c>
      <c r="D109" s="519">
        <v>251785</v>
      </c>
      <c r="E109" s="423">
        <v>3.7</v>
      </c>
      <c r="F109" s="519">
        <f t="shared" si="3"/>
        <v>931604.5</v>
      </c>
    </row>
    <row r="110" spans="1:13" x14ac:dyDescent="0.15">
      <c r="A110" s="647" t="s">
        <v>570</v>
      </c>
      <c r="B110" s="423"/>
      <c r="C110" s="519"/>
      <c r="D110" s="519">
        <f t="shared" si="2"/>
        <v>0</v>
      </c>
      <c r="E110" s="423">
        <v>2.2999999999999998</v>
      </c>
      <c r="F110" s="519">
        <f t="shared" si="3"/>
        <v>0</v>
      </c>
    </row>
    <row r="111" spans="1:13" ht="16" x14ac:dyDescent="0.15">
      <c r="A111" s="423"/>
      <c r="B111" s="423"/>
      <c r="C111" s="519"/>
      <c r="D111" s="519"/>
      <c r="E111" s="424" t="s">
        <v>258</v>
      </c>
      <c r="F111" s="519">
        <f>SUM(F102:F110)</f>
        <v>10065928.899999999</v>
      </c>
      <c r="I111" s="649"/>
      <c r="J111" s="157"/>
      <c r="K111" s="157"/>
      <c r="L111" s="157"/>
      <c r="M111" s="157"/>
    </row>
    <row r="112" spans="1:13" ht="16" x14ac:dyDescent="0.15">
      <c r="I112" s="649"/>
      <c r="J112" s="649"/>
      <c r="K112" s="650"/>
      <c r="L112" s="650"/>
      <c r="M112" s="650"/>
    </row>
    <row r="113" spans="1:13" x14ac:dyDescent="0.15">
      <c r="I113" s="157"/>
      <c r="J113" s="157"/>
      <c r="K113" s="651"/>
      <c r="L113" s="652"/>
      <c r="M113" s="651"/>
    </row>
    <row r="114" spans="1:13" ht="18" x14ac:dyDescent="0.2">
      <c r="A114" s="618" t="s">
        <v>573</v>
      </c>
      <c r="I114" s="653"/>
      <c r="J114" s="401"/>
      <c r="K114" s="654"/>
      <c r="L114" s="655"/>
      <c r="M114" s="651"/>
    </row>
    <row r="115" spans="1:13" x14ac:dyDescent="0.15">
      <c r="I115" s="634"/>
      <c r="J115" s="401"/>
      <c r="K115" s="654"/>
      <c r="L115" s="655"/>
      <c r="M115" s="651"/>
    </row>
    <row r="116" spans="1:13" ht="16" x14ac:dyDescent="0.2">
      <c r="A116" s="416" t="s">
        <v>362</v>
      </c>
      <c r="B116" s="417"/>
      <c r="C116" s="417"/>
      <c r="D116" s="417"/>
      <c r="E116" s="417"/>
      <c r="F116" s="12"/>
      <c r="G116" s="401"/>
      <c r="H116" s="654"/>
      <c r="I116" s="655"/>
      <c r="J116" s="651"/>
    </row>
    <row r="117" spans="1:13" x14ac:dyDescent="0.15">
      <c r="A117" s="417"/>
      <c r="B117" s="417"/>
      <c r="C117" s="417"/>
      <c r="D117" s="417"/>
      <c r="E117" s="417"/>
      <c r="F117" s="12"/>
    </row>
    <row r="118" spans="1:13" x14ac:dyDescent="0.15">
      <c r="A118" s="417"/>
      <c r="B118" s="418" t="s">
        <v>432</v>
      </c>
      <c r="C118" s="418" t="s">
        <v>430</v>
      </c>
      <c r="D118" s="418" t="s">
        <v>431</v>
      </c>
      <c r="E118" s="418" t="s">
        <v>574</v>
      </c>
      <c r="F118" s="12"/>
    </row>
    <row r="119" spans="1:13" x14ac:dyDescent="0.15">
      <c r="A119" s="240" t="s">
        <v>189</v>
      </c>
      <c r="B119" s="445">
        <f>20*23.4786504143467</f>
        <v>469.573008286934</v>
      </c>
      <c r="C119" s="445">
        <v>10.472917247382661</v>
      </c>
      <c r="D119" s="445">
        <v>0</v>
      </c>
      <c r="E119" s="417"/>
      <c r="F119" s="656" t="s">
        <v>575</v>
      </c>
    </row>
    <row r="120" spans="1:13" x14ac:dyDescent="0.15">
      <c r="A120" s="243" t="s">
        <v>113</v>
      </c>
      <c r="B120" s="445">
        <f>10*30.4959524475135</f>
        <v>304.95952447513497</v>
      </c>
      <c r="C120" s="445">
        <v>0</v>
      </c>
      <c r="D120" s="445">
        <v>0</v>
      </c>
      <c r="E120" s="417"/>
      <c r="F120" s="656" t="s">
        <v>576</v>
      </c>
    </row>
    <row r="121" spans="1:13" x14ac:dyDescent="0.15">
      <c r="A121" s="243" t="s">
        <v>404</v>
      </c>
      <c r="B121" s="445">
        <f>10*16.1597908750595</f>
        <v>161.597908750595</v>
      </c>
      <c r="C121" s="445">
        <v>0.42358610948676756</v>
      </c>
      <c r="D121" s="445">
        <v>29.62188789751081</v>
      </c>
      <c r="E121" s="417"/>
      <c r="F121" s="656" t="s">
        <v>576</v>
      </c>
    </row>
    <row r="122" spans="1:13" ht="16" x14ac:dyDescent="0.2">
      <c r="A122" s="58" t="s">
        <v>148</v>
      </c>
      <c r="B122" s="445">
        <f>10*3.38049847157448</f>
        <v>33.804984715744801</v>
      </c>
      <c r="C122" s="445">
        <v>0.36970605072570883</v>
      </c>
      <c r="D122" s="445">
        <v>0</v>
      </c>
      <c r="E122" s="417"/>
      <c r="F122" s="656" t="s">
        <v>576</v>
      </c>
      <c r="G122" s="657"/>
      <c r="H122" s="658"/>
      <c r="I122" s="659"/>
      <c r="J122" s="659"/>
    </row>
    <row r="123" spans="1:13" x14ac:dyDescent="0.15">
      <c r="A123" s="58" t="s">
        <v>112</v>
      </c>
      <c r="B123" s="445">
        <f>34.842237545427</f>
        <v>34.842237545426997</v>
      </c>
      <c r="C123" s="445">
        <v>41.505931796509024</v>
      </c>
      <c r="D123" s="445">
        <v>88.031181486988416</v>
      </c>
      <c r="E123" s="417"/>
      <c r="F123" s="656"/>
      <c r="G123" s="7"/>
      <c r="H123" s="650"/>
      <c r="I123" s="650"/>
      <c r="J123" s="650"/>
    </row>
    <row r="124" spans="1:13" x14ac:dyDescent="0.15">
      <c r="A124" s="58" t="s">
        <v>577</v>
      </c>
      <c r="B124" s="445">
        <v>43.366146968589604</v>
      </c>
      <c r="C124" s="445">
        <v>5.8556426360974356</v>
      </c>
      <c r="D124" s="445">
        <v>44.488763661767372</v>
      </c>
      <c r="E124" s="417"/>
      <c r="F124" s="12"/>
      <c r="G124" s="653"/>
      <c r="H124" s="660"/>
      <c r="I124" s="661"/>
      <c r="J124" s="662"/>
    </row>
    <row r="125" spans="1:13" x14ac:dyDescent="0.15">
      <c r="A125" s="58" t="s">
        <v>345</v>
      </c>
      <c r="B125" s="445">
        <v>0</v>
      </c>
      <c r="C125" s="445">
        <v>0</v>
      </c>
      <c r="D125" s="445">
        <v>52.179118289185993</v>
      </c>
      <c r="E125" s="417"/>
      <c r="F125" s="12"/>
      <c r="G125" s="634"/>
      <c r="H125" s="663"/>
      <c r="I125" s="661"/>
      <c r="J125" s="662"/>
    </row>
    <row r="126" spans="1:13" x14ac:dyDescent="0.15">
      <c r="A126" s="141" t="s">
        <v>29</v>
      </c>
      <c r="B126" s="445">
        <f>SUM(B119:B125)</f>
        <v>1048.1438107424253</v>
      </c>
      <c r="C126" s="445">
        <f>SUM(C119:C125)</f>
        <v>58.627783840201595</v>
      </c>
      <c r="D126" s="445">
        <f>SUM(D119:D125)</f>
        <v>214.32095133545258</v>
      </c>
      <c r="E126" s="664">
        <f>200+0.25*B126</f>
        <v>462.03595268560633</v>
      </c>
      <c r="F126" s="12" t="s">
        <v>578</v>
      </c>
      <c r="G126" s="634"/>
      <c r="H126" s="663"/>
      <c r="I126" s="661"/>
      <c r="J126" s="662"/>
    </row>
    <row r="127" spans="1:13" x14ac:dyDescent="0.15">
      <c r="A127" s="399"/>
      <c r="B127" s="401"/>
      <c r="C127" s="452" t="s">
        <v>29</v>
      </c>
      <c r="D127" s="441">
        <v>669.22604242802709</v>
      </c>
      <c r="E127" s="441">
        <f>SUM(B126:E126)</f>
        <v>1783.1284986036858</v>
      </c>
      <c r="F127" s="12"/>
    </row>
    <row r="128" spans="1:13" x14ac:dyDescent="0.15">
      <c r="C128" s="12"/>
      <c r="D128" s="12"/>
      <c r="F128" s="12"/>
    </row>
    <row r="129" spans="1:9" x14ac:dyDescent="0.15">
      <c r="A129" s="7" t="s">
        <v>468</v>
      </c>
      <c r="B129" s="513">
        <v>1300</v>
      </c>
      <c r="C129" s="513">
        <v>150</v>
      </c>
      <c r="D129" s="513">
        <v>100</v>
      </c>
      <c r="E129" s="513">
        <v>300</v>
      </c>
      <c r="F129" s="12"/>
    </row>
    <row r="130" spans="1:9" x14ac:dyDescent="0.15">
      <c r="B130" s="513"/>
      <c r="C130" s="513"/>
      <c r="D130" s="513"/>
      <c r="E130" s="513">
        <v>1850</v>
      </c>
      <c r="F130" s="12"/>
    </row>
    <row r="131" spans="1:9" x14ac:dyDescent="0.15">
      <c r="B131" s="513"/>
      <c r="C131" s="513"/>
      <c r="D131" s="513"/>
      <c r="E131" s="513"/>
      <c r="F131" s="12"/>
    </row>
    <row r="132" spans="1:9" x14ac:dyDescent="0.15">
      <c r="B132" s="523" t="s">
        <v>579</v>
      </c>
      <c r="C132" s="523" t="s">
        <v>580</v>
      </c>
      <c r="D132" s="12" t="s">
        <v>581</v>
      </c>
      <c r="E132" s="523" t="s">
        <v>582</v>
      </c>
      <c r="F132" s="523" t="s">
        <v>407</v>
      </c>
      <c r="G132" s="513" t="s">
        <v>583</v>
      </c>
      <c r="H132" s="513" t="s">
        <v>111</v>
      </c>
      <c r="I132" s="12" t="s">
        <v>584</v>
      </c>
    </row>
    <row r="133" spans="1:9" x14ac:dyDescent="0.15">
      <c r="A133" s="12" t="s">
        <v>468</v>
      </c>
      <c r="B133" s="523">
        <f>55</f>
        <v>55</v>
      </c>
      <c r="C133" s="523">
        <v>1225</v>
      </c>
      <c r="D133" s="523">
        <f>58</f>
        <v>58</v>
      </c>
      <c r="E133" s="523">
        <v>150</v>
      </c>
      <c r="F133" s="523">
        <v>350</v>
      </c>
      <c r="G133" s="523">
        <f>SUM(B133:F133)</f>
        <v>1838</v>
      </c>
      <c r="H133" s="513"/>
      <c r="I133" s="523">
        <v>1839</v>
      </c>
    </row>
    <row r="134" spans="1:9" x14ac:dyDescent="0.15">
      <c r="A134" s="12" t="s">
        <v>585</v>
      </c>
      <c r="B134" s="523">
        <v>3.5098386890208348</v>
      </c>
      <c r="C134" s="523">
        <v>33.898083286780917</v>
      </c>
      <c r="D134" s="523">
        <v>41.505931796508982</v>
      </c>
      <c r="E134" s="523">
        <v>17.121852043692556</v>
      </c>
      <c r="F134" s="523">
        <v>20.887400876678484</v>
      </c>
      <c r="G134" s="523">
        <v>116.92310669268177</v>
      </c>
      <c r="I134" s="523">
        <v>115.31</v>
      </c>
    </row>
    <row r="135" spans="1:9" x14ac:dyDescent="0.15">
      <c r="A135" s="12" t="s">
        <v>586</v>
      </c>
      <c r="B135" s="523">
        <v>24.574683806483076</v>
      </c>
      <c r="C135" s="523">
        <v>237.34272490194328</v>
      </c>
      <c r="D135" s="523">
        <v>41.505931796509024</v>
      </c>
      <c r="E135" s="523">
        <v>17.12185204369257</v>
      </c>
      <c r="F135" s="523">
        <v>210.15654633036579</v>
      </c>
      <c r="G135" s="523">
        <v>530.70173887899375</v>
      </c>
      <c r="H135" s="12" t="s">
        <v>587</v>
      </c>
      <c r="I135" s="523">
        <v>503.77</v>
      </c>
    </row>
    <row r="136" spans="1:9" x14ac:dyDescent="0.15">
      <c r="A136" s="12" t="s">
        <v>588</v>
      </c>
      <c r="B136" s="523">
        <v>122.87341903241537</v>
      </c>
      <c r="C136" s="523">
        <v>243.17080902554795</v>
      </c>
      <c r="D136" s="523">
        <v>41.505931796509024</v>
      </c>
      <c r="E136" s="523">
        <v>17.12185204369257</v>
      </c>
      <c r="F136" s="513">
        <v>244.55403052986219</v>
      </c>
      <c r="G136" s="513">
        <v>669.22604242802709</v>
      </c>
      <c r="H136" s="12" t="s">
        <v>589</v>
      </c>
      <c r="I136" s="523">
        <v>587</v>
      </c>
    </row>
    <row r="137" spans="1:9" x14ac:dyDescent="0.15">
      <c r="A137" s="12" t="s">
        <v>590</v>
      </c>
      <c r="B137" s="523">
        <v>122.87341903241537</v>
      </c>
      <c r="C137" s="523">
        <v>243.17080902554795</v>
      </c>
      <c r="D137" s="523">
        <v>101.68953290144711</v>
      </c>
      <c r="E137" s="523">
        <v>41.948537507046808</v>
      </c>
      <c r="F137" s="513">
        <v>245.81968975179976</v>
      </c>
      <c r="G137" s="513">
        <v>755.501988218257</v>
      </c>
      <c r="H137" s="12" t="s">
        <v>591</v>
      </c>
      <c r="I137" s="523">
        <v>677</v>
      </c>
    </row>
    <row r="138" spans="1:9" x14ac:dyDescent="0.15">
      <c r="A138" s="12" t="s">
        <v>592</v>
      </c>
      <c r="B138" s="523">
        <v>122.87341903241534</v>
      </c>
      <c r="C138" s="523">
        <v>951.60125540987133</v>
      </c>
      <c r="D138" s="523">
        <v>101.68953290144711</v>
      </c>
      <c r="E138" s="523">
        <v>41.948537507046808</v>
      </c>
      <c r="F138" s="513">
        <v>662.81259213198518</v>
      </c>
      <c r="G138" s="513">
        <v>1880.9253369827657</v>
      </c>
      <c r="H138" s="12" t="s">
        <v>593</v>
      </c>
      <c r="I138" s="523">
        <v>1980</v>
      </c>
    </row>
    <row r="139" spans="1:9" x14ac:dyDescent="0.15">
      <c r="B139" s="523"/>
      <c r="E139" s="523"/>
      <c r="F139" s="513"/>
      <c r="G139" s="513"/>
    </row>
    <row r="140" spans="1:9" x14ac:dyDescent="0.15">
      <c r="B140" s="523"/>
      <c r="E140" s="523"/>
      <c r="F140" s="513"/>
      <c r="G140" s="513"/>
    </row>
    <row r="141" spans="1:9" x14ac:dyDescent="0.15">
      <c r="B141" s="523">
        <f>B161+D161</f>
        <v>3.7359948415314275</v>
      </c>
      <c r="C141" s="523">
        <f>B164+D164-(B161+D161)</f>
        <v>42.898567510314898</v>
      </c>
      <c r="D141" s="523">
        <f>C161</f>
        <v>46.058382956422676</v>
      </c>
      <c r="E141" s="523">
        <f>C164-C161</f>
        <v>20.193916964752134</v>
      </c>
      <c r="F141" s="523">
        <f>C171+C173</f>
        <v>25.265632127109974</v>
      </c>
      <c r="G141" s="523">
        <f>SUM(B141:F141)</f>
        <v>138.1524944001311</v>
      </c>
    </row>
    <row r="142" spans="1:9" x14ac:dyDescent="0.15">
      <c r="B142" s="523"/>
      <c r="E142" s="523"/>
      <c r="G142" s="513"/>
      <c r="H142" s="513"/>
    </row>
    <row r="143" spans="1:9" x14ac:dyDescent="0.15">
      <c r="B143" s="523"/>
      <c r="E143" s="523"/>
      <c r="G143" s="513"/>
      <c r="H143" s="513"/>
    </row>
    <row r="144" spans="1:9" x14ac:dyDescent="0.15">
      <c r="B144" s="523"/>
      <c r="E144" s="523"/>
      <c r="G144" s="513"/>
      <c r="H144" s="513"/>
    </row>
    <row r="145" spans="1:8" x14ac:dyDescent="0.15">
      <c r="B145" s="523"/>
      <c r="E145" s="523"/>
      <c r="G145" s="513"/>
      <c r="H145" s="513"/>
    </row>
    <row r="146" spans="1:8" x14ac:dyDescent="0.15">
      <c r="A146" s="417"/>
      <c r="B146" s="417"/>
      <c r="C146" s="628"/>
      <c r="D146" s="628"/>
      <c r="E146" s="417"/>
      <c r="F146" s="628"/>
      <c r="G146" s="513"/>
      <c r="H146" s="513"/>
    </row>
    <row r="147" spans="1:8" x14ac:dyDescent="0.15">
      <c r="A147" s="417"/>
      <c r="B147" s="418" t="s">
        <v>432</v>
      </c>
      <c r="C147" s="629" t="s">
        <v>430</v>
      </c>
      <c r="D147" s="629" t="s">
        <v>431</v>
      </c>
      <c r="E147" s="418" t="s">
        <v>543</v>
      </c>
      <c r="F147" s="630" t="s">
        <v>544</v>
      </c>
      <c r="G147" s="513"/>
      <c r="H147" s="513"/>
    </row>
    <row r="148" spans="1:8" x14ac:dyDescent="0.15">
      <c r="A148" s="417" t="s">
        <v>112</v>
      </c>
      <c r="B148" s="445">
        <v>40</v>
      </c>
      <c r="C148" s="628">
        <v>58</v>
      </c>
      <c r="D148" s="628">
        <v>15</v>
      </c>
      <c r="E148" s="631">
        <v>9</v>
      </c>
      <c r="F148" s="632"/>
    </row>
    <row r="149" spans="1:8" x14ac:dyDescent="0.15">
      <c r="A149" s="417" t="s">
        <v>545</v>
      </c>
      <c r="B149" s="445">
        <v>169</v>
      </c>
      <c r="C149" s="628">
        <v>15</v>
      </c>
      <c r="D149" s="628">
        <v>56</v>
      </c>
      <c r="E149" s="631">
        <v>54</v>
      </c>
      <c r="F149" s="632"/>
      <c r="G149" s="523"/>
      <c r="H149" s="523"/>
    </row>
    <row r="150" spans="1:8" x14ac:dyDescent="0.15">
      <c r="A150" s="417" t="s">
        <v>29</v>
      </c>
      <c r="B150" s="445">
        <f>SUM(B148:B149)</f>
        <v>209</v>
      </c>
      <c r="C150" s="628">
        <f>SUM(C148:C149)</f>
        <v>73</v>
      </c>
      <c r="D150" s="628">
        <f>SUM(D148:D149)</f>
        <v>71</v>
      </c>
      <c r="E150" s="445">
        <f>SUM(E148:E149)</f>
        <v>63</v>
      </c>
      <c r="F150" s="628">
        <v>20</v>
      </c>
      <c r="G150" s="523"/>
      <c r="H150" s="523"/>
    </row>
    <row r="151" spans="1:8" x14ac:dyDescent="0.15">
      <c r="A151" s="417"/>
      <c r="B151" s="633"/>
      <c r="C151" s="628"/>
      <c r="D151" s="628"/>
      <c r="E151" s="418" t="s">
        <v>258</v>
      </c>
      <c r="F151" s="629">
        <f>SUM(B150:F150)</f>
        <v>436</v>
      </c>
      <c r="G151" s="523"/>
      <c r="H151" s="523"/>
    </row>
    <row r="152" spans="1:8" x14ac:dyDescent="0.15">
      <c r="B152" s="523"/>
      <c r="E152" s="523"/>
      <c r="G152" s="523"/>
      <c r="H152" s="523"/>
    </row>
    <row r="154" spans="1:8" x14ac:dyDescent="0.15">
      <c r="A154" s="417" t="str">
        <f>Results!A29</f>
        <v>Breakdown by Process Step</v>
      </c>
      <c r="B154" s="417" t="s">
        <v>594</v>
      </c>
      <c r="C154" s="628"/>
      <c r="D154" s="628"/>
      <c r="E154" s="417"/>
      <c r="F154" s="628"/>
      <c r="G154" s="417"/>
    </row>
    <row r="155" spans="1:8" x14ac:dyDescent="0.15">
      <c r="A155" s="417"/>
      <c r="B155" s="417"/>
      <c r="C155" s="628"/>
      <c r="D155" s="628"/>
      <c r="E155" s="417"/>
      <c r="F155" s="628"/>
      <c r="G155" s="417"/>
    </row>
    <row r="156" spans="1:8" x14ac:dyDescent="0.15">
      <c r="A156" s="417"/>
      <c r="B156" s="417" t="str">
        <f>Results!B31</f>
        <v>Capital cost $/ton</v>
      </c>
      <c r="C156" s="628" t="str">
        <f>Results!C31</f>
        <v>Electricity cost $/ton</v>
      </c>
      <c r="D156" s="628" t="str">
        <f>Results!D31</f>
        <v>Replacements $/ton</v>
      </c>
      <c r="E156" s="417" t="str">
        <f>Results!E31</f>
        <v>Capital cost %</v>
      </c>
      <c r="F156" s="628" t="str">
        <f>Results!F31</f>
        <v>Electricity cost %</v>
      </c>
      <c r="G156" s="417" t="str">
        <f>Results!G31</f>
        <v>Replacements %</v>
      </c>
    </row>
    <row r="157" spans="1:8" x14ac:dyDescent="0.15">
      <c r="A157" s="417" t="str">
        <f>Results!A32</f>
        <v>Intake</v>
      </c>
      <c r="B157" s="628">
        <f>Results!B32</f>
        <v>3.5693690923900561</v>
      </c>
      <c r="C157" s="628">
        <f>Results!C32</f>
        <v>11.621607138366796</v>
      </c>
      <c r="D157" s="628">
        <f>Results!D32</f>
        <v>0</v>
      </c>
      <c r="E157" s="628">
        <f>Results!E32</f>
        <v>0.16314745345151097</v>
      </c>
      <c r="F157" s="628">
        <f>Results!F32</f>
        <v>0.17541439545787646</v>
      </c>
      <c r="G157" s="628">
        <f>Results!G32</f>
        <v>0</v>
      </c>
    </row>
    <row r="158" spans="1:8" x14ac:dyDescent="0.15">
      <c r="A158" s="417" t="str">
        <f>Results!A33</f>
        <v>Screening</v>
      </c>
      <c r="B158" s="628">
        <f>Results!B33</f>
        <v>4.6361825823956844</v>
      </c>
      <c r="C158" s="628">
        <f>Results!C33</f>
        <v>0</v>
      </c>
      <c r="D158" s="628">
        <f>Results!D33</f>
        <v>0</v>
      </c>
      <c r="E158" s="628">
        <f>Results!E33</f>
        <v>0.21190898516679638</v>
      </c>
      <c r="F158" s="628">
        <f>Results!F33</f>
        <v>0</v>
      </c>
      <c r="G158" s="628">
        <f>Results!G33</f>
        <v>0</v>
      </c>
    </row>
    <row r="159" spans="1:8" x14ac:dyDescent="0.15">
      <c r="A159" s="417" t="str">
        <f>Results!A34</f>
        <v>Microfiltration</v>
      </c>
      <c r="B159" s="628">
        <f>Results!B34</f>
        <v>2.4567109723512202</v>
      </c>
      <c r="C159" s="628">
        <f>Results!C34</f>
        <v>0.47004585612998195</v>
      </c>
      <c r="D159" s="628">
        <f>Results!D34</f>
        <v>4.5033019042274454</v>
      </c>
      <c r="E159" s="628">
        <f>Results!E34</f>
        <v>0.11229047168588173</v>
      </c>
      <c r="F159" s="628">
        <f>Results!F34</f>
        <v>7.0947854895487368E-3</v>
      </c>
      <c r="G159" s="628">
        <f>Results!G34</f>
        <v>0.18190467207530481</v>
      </c>
    </row>
    <row r="160" spans="1:8" x14ac:dyDescent="0.15">
      <c r="A160" s="417" t="str">
        <f>Results!A35</f>
        <v>Nanofiltration</v>
      </c>
      <c r="B160" s="628">
        <f>Results!B35</f>
        <v>0.51392420553851903</v>
      </c>
      <c r="C160" s="628">
        <f>Results!C35</f>
        <v>0.41025612794611499</v>
      </c>
      <c r="D160" s="628">
        <f>Results!D35</f>
        <v>0</v>
      </c>
      <c r="E160" s="628">
        <f>Results!E35</f>
        <v>2.3490264870466855E-2</v>
      </c>
      <c r="F160" s="628">
        <f>Results!F35</f>
        <v>6.1923303558401232E-3</v>
      </c>
      <c r="G160" s="628">
        <f>Results!G35</f>
        <v>0</v>
      </c>
    </row>
    <row r="161" spans="1:7" x14ac:dyDescent="0.15">
      <c r="A161" s="417" t="str">
        <f>Results!A36</f>
        <v>Electrodialysis</v>
      </c>
      <c r="B161" s="628">
        <f>Results!B36</f>
        <v>1.0593863242528261</v>
      </c>
      <c r="C161" s="628">
        <f>Results!C36</f>
        <v>46.058382956422676</v>
      </c>
      <c r="D161" s="628">
        <f>Results!D36</f>
        <v>2.6766085172786016</v>
      </c>
      <c r="E161" s="628">
        <f>Results!E36</f>
        <v>4.8422053463648342E-2</v>
      </c>
      <c r="F161" s="628">
        <f>Results!F36</f>
        <v>0.69519674050895885</v>
      </c>
      <c r="G161" s="628">
        <f>Results!G36</f>
        <v>0.10811791102712197</v>
      </c>
    </row>
    <row r="162" spans="1:7" x14ac:dyDescent="0.15">
      <c r="A162" s="417" t="str">
        <f>Results!A37</f>
        <v>CO2 stripping</v>
      </c>
      <c r="B162" s="628">
        <f>Results!B37</f>
        <v>9.6426052247401461</v>
      </c>
      <c r="C162" s="628">
        <f>Results!C37</f>
        <v>7.6920078423092315</v>
      </c>
      <c r="D162" s="628">
        <f>Results!D37</f>
        <v>9.8922227339658786</v>
      </c>
      <c r="E162" s="628">
        <f>Results!E37</f>
        <v>0.44074077136169587</v>
      </c>
      <c r="F162" s="628">
        <f>Results!F37</f>
        <v>0.11610174818777573</v>
      </c>
      <c r="G162" s="628">
        <f>Results!G37</f>
        <v>0.39958269971389759</v>
      </c>
    </row>
    <row r="163" spans="1:7" x14ac:dyDescent="0.15">
      <c r="A163" s="417" t="str">
        <f>Results!A38</f>
        <v>Other</v>
      </c>
      <c r="B163" s="628">
        <f>Results!B38</f>
        <v>0</v>
      </c>
      <c r="C163" s="628">
        <f>Results!C38</f>
        <v>0</v>
      </c>
      <c r="D163" s="628">
        <f>Results!D38</f>
        <v>7.6842507947059486</v>
      </c>
      <c r="E163" s="628">
        <f>Results!E38</f>
        <v>0</v>
      </c>
      <c r="F163" s="628">
        <f>Results!F38</f>
        <v>0</v>
      </c>
      <c r="G163" s="628">
        <f>Results!G38</f>
        <v>0.31039471718367567</v>
      </c>
    </row>
    <row r="164" spans="1:7" x14ac:dyDescent="0.15">
      <c r="A164" s="417" t="str">
        <f>Results!A39</f>
        <v>Total</v>
      </c>
      <c r="B164" s="628">
        <f>Results!B39</f>
        <v>21.87817840166845</v>
      </c>
      <c r="C164" s="628">
        <f>Results!C39</f>
        <v>66.25229992117481</v>
      </c>
      <c r="D164" s="628">
        <f>Results!D39</f>
        <v>24.756383950177874</v>
      </c>
      <c r="E164" s="628">
        <f>Results!E39</f>
        <v>1.0000000000000002</v>
      </c>
      <c r="F164" s="628">
        <f>Results!F39</f>
        <v>0.99999999999999989</v>
      </c>
      <c r="G164" s="628">
        <f>Results!G39</f>
        <v>1</v>
      </c>
    </row>
    <row r="165" spans="1:7" x14ac:dyDescent="0.15">
      <c r="A165" s="417"/>
      <c r="B165" s="417"/>
      <c r="C165" s="628" t="str">
        <f>Results!C40</f>
        <v>Total</v>
      </c>
      <c r="D165" s="628">
        <f>Results!D40</f>
        <v>138.1524944001311</v>
      </c>
      <c r="E165" s="417"/>
      <c r="F165" s="628"/>
      <c r="G165" s="417"/>
    </row>
    <row r="167" spans="1:7" x14ac:dyDescent="0.15">
      <c r="A167" s="414" t="str">
        <f>Results!F5</f>
        <v>Category</v>
      </c>
      <c r="B167" s="414" t="str">
        <f>Results!G5</f>
        <v>Cost breakdown</v>
      </c>
      <c r="C167" s="431" t="str">
        <f>Results!H5</f>
        <v>Contribution to CO2 price</v>
      </c>
      <c r="D167" s="523" t="s">
        <v>594</v>
      </c>
    </row>
    <row r="168" spans="1:7" x14ac:dyDescent="0.15">
      <c r="A168" s="414"/>
      <c r="B168" s="414"/>
      <c r="C168" s="431"/>
    </row>
    <row r="169" spans="1:7" x14ac:dyDescent="0.15">
      <c r="A169" s="414" t="str">
        <f>Results!F7</f>
        <v>CapEx</v>
      </c>
      <c r="B169" s="414">
        <f>Results!G7</f>
        <v>276377006.25358826</v>
      </c>
      <c r="C169" s="431">
        <f>Results!H7</f>
        <v>21.87817840166845</v>
      </c>
    </row>
    <row r="170" spans="1:7" x14ac:dyDescent="0.15">
      <c r="A170" s="414" t="str">
        <f>Results!F8</f>
        <v>Replacements</v>
      </c>
      <c r="B170" s="414">
        <f>Results!G8</f>
        <v>312736058.56019342</v>
      </c>
      <c r="C170" s="431">
        <f>Results!H8</f>
        <v>24.756383950177874</v>
      </c>
    </row>
    <row r="171" spans="1:7" x14ac:dyDescent="0.15">
      <c r="A171" s="414" t="str">
        <f>Results!F9</f>
        <v>Fixed OpEx</v>
      </c>
      <c r="B171" s="414">
        <f>Results!G9</f>
        <v>269906273.09919643</v>
      </c>
      <c r="C171" s="431">
        <f>Results!H9</f>
        <v>21.365951077621528</v>
      </c>
    </row>
    <row r="172" spans="1:7" x14ac:dyDescent="0.15">
      <c r="A172" s="414" t="str">
        <f>Results!F10</f>
        <v>Variable OpEx</v>
      </c>
      <c r="B172" s="414">
        <f>Results!G10</f>
        <v>836934957.44749725</v>
      </c>
      <c r="C172" s="431">
        <f>Results!H10</f>
        <v>66.25229992117481</v>
      </c>
    </row>
    <row r="173" spans="1:7" x14ac:dyDescent="0.15">
      <c r="A173" s="414" t="str">
        <f>Results!F11</f>
        <v>Taxes &amp; Working Capital</v>
      </c>
      <c r="B173" s="414">
        <f>Results!G11</f>
        <v>49262884.414512083</v>
      </c>
      <c r="C173" s="431">
        <f>Results!H11</f>
        <v>3.8996810494884446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141</vt:i4>
      </vt:variant>
    </vt:vector>
  </HeadingPairs>
  <TitlesOfParts>
    <vt:vector size="148" baseType="lpstr">
      <vt:lpstr>Main</vt:lpstr>
      <vt:lpstr>Results</vt:lpstr>
      <vt:lpstr>Cash flow analysis</vt:lpstr>
      <vt:lpstr>Process and cost assumptions</vt:lpstr>
      <vt:lpstr>Equipment reference</vt:lpstr>
      <vt:lpstr>Carbonate acidity</vt:lpstr>
      <vt:lpstr>Eisaman</vt:lpstr>
      <vt:lpstr>acid_concH</vt:lpstr>
      <vt:lpstr>acid_pH</vt:lpstr>
      <vt:lpstr>adiabatic_const</vt:lpstr>
      <vt:lpstr>adiabatic_N2</vt:lpstr>
      <vt:lpstr>also_calc</vt:lpstr>
      <vt:lpstr>anal_period</vt:lpstr>
      <vt:lpstr>anal_year</vt:lpstr>
      <vt:lpstr>avg_prod</vt:lpstr>
      <vt:lpstr>bar_to_fthead</vt:lpstr>
      <vt:lpstr>bar_to_pa</vt:lpstr>
      <vt:lpstr>baseline_cap</vt:lpstr>
      <vt:lpstr>basis_year</vt:lpstr>
      <vt:lpstr>breakdown_param</vt:lpstr>
      <vt:lpstr>breakdown_table</vt:lpstr>
      <vt:lpstr>cap_co2</vt:lpstr>
      <vt:lpstr>cap_co2_scaled</vt:lpstr>
      <vt:lpstr>cap_ed</vt:lpstr>
      <vt:lpstr>cap_ed_scaled</vt:lpstr>
      <vt:lpstr>cap_factor</vt:lpstr>
      <vt:lpstr>cap_intake</vt:lpstr>
      <vt:lpstr>cap_intake_scaled</vt:lpstr>
      <vt:lpstr>cap_micro</vt:lpstr>
      <vt:lpstr>cap_micro_scaled</vt:lpstr>
      <vt:lpstr>cap_nano</vt:lpstr>
      <vt:lpstr>cap_nano_scaled</vt:lpstr>
      <vt:lpstr>cap_screening</vt:lpstr>
      <vt:lpstr>cap_screening_scaled</vt:lpstr>
      <vt:lpstr>cashflow_table</vt:lpstr>
      <vt:lpstr>CEPCI_inflator</vt:lpstr>
      <vt:lpstr>chem_inflator</vt:lpstr>
      <vt:lpstr>co2_per_DIC</vt:lpstr>
      <vt:lpstr>construct_period</vt:lpstr>
      <vt:lpstr>cost_factors</vt:lpstr>
      <vt:lpstr>CPI_inflator</vt:lpstr>
      <vt:lpstr>ctf</vt:lpstr>
      <vt:lpstr>ctf_calc</vt:lpstr>
      <vt:lpstr>ctn</vt:lpstr>
      <vt:lpstr>ctn_calc</vt:lpstr>
      <vt:lpstr>current_density</vt:lpstr>
      <vt:lpstr>day_to_min</vt:lpstr>
      <vt:lpstr>debt_financing</vt:lpstr>
      <vt:lpstr>debt_interest_rate</vt:lpstr>
      <vt:lpstr>decom_prct</vt:lpstr>
      <vt:lpstr>density</vt:lpstr>
      <vt:lpstr>depr_cap_infl</vt:lpstr>
      <vt:lpstr>depr_length</vt:lpstr>
      <vt:lpstr>design_cap</vt:lpstr>
      <vt:lpstr>DIC_concentration</vt:lpstr>
      <vt:lpstr>direct_cap</vt:lpstr>
      <vt:lpstr>elec_cost</vt:lpstr>
      <vt:lpstr>energy_co2</vt:lpstr>
      <vt:lpstr>energy_ed</vt:lpstr>
      <vt:lpstr>energy_intake</vt:lpstr>
      <vt:lpstr>energy_micro</vt:lpstr>
      <vt:lpstr>energy_nano</vt:lpstr>
      <vt:lpstr>energy_screening</vt:lpstr>
      <vt:lpstr>energy_total</vt:lpstr>
      <vt:lpstr>equity_financing</vt:lpstr>
      <vt:lpstr>extraction_efficiency</vt:lpstr>
      <vt:lpstr>extraction_efficiency_calc</vt:lpstr>
      <vt:lpstr>faraday</vt:lpstr>
      <vt:lpstr>fraction_oceanwater</vt:lpstr>
      <vt:lpstr>ft3_to_m3</vt:lpstr>
      <vt:lpstr>gal_min</vt:lpstr>
      <vt:lpstr>gal_to_m3</vt:lpstr>
      <vt:lpstr>gas_const</vt:lpstr>
      <vt:lpstr>H2_cost</vt:lpstr>
      <vt:lpstr>H2_cost_infl</vt:lpstr>
      <vt:lpstr>how</vt:lpstr>
      <vt:lpstr>hr_to_s</vt:lpstr>
      <vt:lpstr>hyield</vt:lpstr>
      <vt:lpstr>inflation_factor</vt:lpstr>
      <vt:lpstr>inflation_rate</vt:lpstr>
      <vt:lpstr>kg_s</vt:lpstr>
      <vt:lpstr>kWh_to_Ws</vt:lpstr>
      <vt:lpstr>l_s</vt:lpstr>
      <vt:lpstr>l_to_m3</vt:lpstr>
      <vt:lpstr>labor_baseline_cap</vt:lpstr>
      <vt:lpstr>labor_inflator</vt:lpstr>
      <vt:lpstr>labor_scale_ratio</vt:lpstr>
      <vt:lpstr>lfr</vt:lpstr>
      <vt:lpstr>lfr_gfr</vt:lpstr>
      <vt:lpstr>lfr_multiplier</vt:lpstr>
      <vt:lpstr>LOW_to_kgCO2</vt:lpstr>
      <vt:lpstr>m3_day</vt:lpstr>
      <vt:lpstr>m3_h</vt:lpstr>
      <vt:lpstr>m3co2_h</vt:lpstr>
      <vt:lpstr>m3OW_to_kgCO2</vt:lpstr>
      <vt:lpstr>MACRS_table</vt:lpstr>
      <vt:lpstr>mc_efficiency</vt:lpstr>
      <vt:lpstr>mc_types</vt:lpstr>
      <vt:lpstr>MGD</vt:lpstr>
      <vt:lpstr>min_n_MCs</vt:lpstr>
      <vt:lpstr>min_n_VPs</vt:lpstr>
      <vt:lpstr>mol_s</vt:lpstr>
      <vt:lpstr>molar_mass</vt:lpstr>
      <vt:lpstr>molh_to_kgco2</vt:lpstr>
      <vt:lpstr>molh_to_molco2eq</vt:lpstr>
      <vt:lpstr>molh_to_molco2ex</vt:lpstr>
      <vt:lpstr>motor_types</vt:lpstr>
      <vt:lpstr>multiplier</vt:lpstr>
      <vt:lpstr>n_MCs</vt:lpstr>
      <vt:lpstr>n_VPs</vt:lpstr>
      <vt:lpstr>nominal_irr</vt:lpstr>
      <vt:lpstr>non_depr_cap</vt:lpstr>
      <vt:lpstr>OW_pH</vt:lpstr>
      <vt:lpstr>param_to_vary</vt:lpstr>
      <vt:lpstr>param1</vt:lpstr>
      <vt:lpstr>param2</vt:lpstr>
      <vt:lpstr>plant_life</vt:lpstr>
      <vt:lpstr>pressure_ss</vt:lpstr>
      <vt:lpstr>process_table</vt:lpstr>
      <vt:lpstr>pump_materials</vt:lpstr>
      <vt:lpstr>pump_types</vt:lpstr>
      <vt:lpstr>r_const</vt:lpstr>
      <vt:lpstr>real_irr</vt:lpstr>
      <vt:lpstr>recovery_period</vt:lpstr>
      <vt:lpstr>recovery_year</vt:lpstr>
      <vt:lpstr>ref_year</vt:lpstr>
      <vt:lpstr>salvage</vt:lpstr>
      <vt:lpstr>scale_factor</vt:lpstr>
      <vt:lpstr>scale_ratio</vt:lpstr>
      <vt:lpstr>scaling_factor_exponent</vt:lpstr>
      <vt:lpstr>secondary</vt:lpstr>
      <vt:lpstr>startup_perct_revs</vt:lpstr>
      <vt:lpstr>startup_time</vt:lpstr>
      <vt:lpstr>startup_year</vt:lpstr>
      <vt:lpstr>sweep_table</vt:lpstr>
      <vt:lpstr>sweep_table_2D</vt:lpstr>
      <vt:lpstr>table_costindex</vt:lpstr>
      <vt:lpstr>tax_rate</vt:lpstr>
      <vt:lpstr>temp</vt:lpstr>
      <vt:lpstr>test_cell</vt:lpstr>
      <vt:lpstr>tons_to_kg</vt:lpstr>
      <vt:lpstr>torr_to_pa</vt:lpstr>
      <vt:lpstr>total_capital</vt:lpstr>
      <vt:lpstr>vacuum_pump_types</vt:lpstr>
      <vt:lpstr>vol_mol</vt:lpstr>
      <vt:lpstr>voltage</vt:lpstr>
      <vt:lpstr>when</vt:lpstr>
      <vt:lpstr>working_cap_perct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Digdaya</dc:creator>
  <cp:lastModifiedBy>Cora Went</cp:lastModifiedBy>
  <cp:lastPrinted>2021-11-29T22:01:18Z</cp:lastPrinted>
  <dcterms:created xsi:type="dcterms:W3CDTF">2020-08-16T16:05:15Z</dcterms:created>
  <dcterms:modified xsi:type="dcterms:W3CDTF">2021-11-29T22:03:14Z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0x0101002C85DFCCB350BB47916F5322395C7C63</vt:lpwstr>
  </property>
</Properties>
</file>